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6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ayas\EnMo\Rumi-India\Global Data\Supply\Source\"/>
    </mc:Choice>
  </mc:AlternateContent>
  <bookViews>
    <workbookView xWindow="-120" yWindow="-120" windowWidth="20730" windowHeight="11160" tabRatio="770"/>
  </bookViews>
  <sheets>
    <sheet name="FileInfo" sheetId="25" r:id="rId1"/>
    <sheet name="Maps" sheetId="1" r:id="rId2"/>
    <sheet name="Growth-Rates" sheetId="15" r:id="rId3"/>
    <sheet name="COKING_COAL,STEAM_COAL" sheetId="3" r:id="rId4"/>
    <sheet name="CRUDE" sheetId="6" r:id="rId5"/>
    <sheet name="NATGAS" sheetId="7" r:id="rId6"/>
    <sheet name="BIOMASS, BIOGAS" sheetId="8" r:id="rId7"/>
    <sheet name="PEC_Info" sheetId="24" r:id="rId8"/>
    <sheet name="PEC_Info_Scen_assumptions" sheetId="27" r:id="rId9"/>
    <sheet name="PEC_Info LowREHighFossil" sheetId="28" r:id="rId10"/>
    <sheet name="PEC_Info HighRELowFossil" sheetId="29" r:id="rId11"/>
    <sheet name="ELECTRICITY" sheetId="5" r:id="rId12"/>
    <sheet name="LPG" sheetId="14" r:id="rId13"/>
    <sheet name="MS,HSD" sheetId="12" r:id="rId14"/>
    <sheet name="ATF,PP_OTHER" sheetId="10" r:id="rId15"/>
    <sheet name="DEC_Taxation" sheetId="18" r:id="rId16"/>
  </sheets>
  <definedNames>
    <definedName name="_xlnm._FilterDatabase" localSheetId="11" hidden="1">ELECTRICITY!$H$16:$U$48</definedName>
    <definedName name="ExternalData_1" localSheetId="15" hidden="1">DEC_Taxation!$A$1:$E$121</definedName>
    <definedName name="ExternalData_1" localSheetId="7" hidden="1">PEC_Info!$A$1:$K$169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9" l="1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2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2" i="29"/>
  <c r="K169" i="29"/>
  <c r="J169" i="29"/>
  <c r="H169" i="29"/>
  <c r="G169" i="29"/>
  <c r="E169" i="29"/>
  <c r="D169" i="29"/>
  <c r="C169" i="29"/>
  <c r="B169" i="29"/>
  <c r="A169" i="29"/>
  <c r="K168" i="29"/>
  <c r="J168" i="29"/>
  <c r="H168" i="29"/>
  <c r="G168" i="29"/>
  <c r="E168" i="29"/>
  <c r="D168" i="29"/>
  <c r="C168" i="29"/>
  <c r="B168" i="29"/>
  <c r="A168" i="29"/>
  <c r="K167" i="29"/>
  <c r="J167" i="29"/>
  <c r="H167" i="29"/>
  <c r="G167" i="29"/>
  <c r="E167" i="29"/>
  <c r="D167" i="29"/>
  <c r="C167" i="29"/>
  <c r="B167" i="29"/>
  <c r="A167" i="29"/>
  <c r="K166" i="29"/>
  <c r="J166" i="29"/>
  <c r="H166" i="29"/>
  <c r="G166" i="29"/>
  <c r="E166" i="29"/>
  <c r="D166" i="29"/>
  <c r="C166" i="29"/>
  <c r="B166" i="29"/>
  <c r="A166" i="29"/>
  <c r="K165" i="29"/>
  <c r="J165" i="29"/>
  <c r="H165" i="29"/>
  <c r="G165" i="29"/>
  <c r="E165" i="29"/>
  <c r="D165" i="29"/>
  <c r="C165" i="29"/>
  <c r="B165" i="29"/>
  <c r="A165" i="29"/>
  <c r="K164" i="29"/>
  <c r="J164" i="29"/>
  <c r="H164" i="29"/>
  <c r="G164" i="29"/>
  <c r="E164" i="29"/>
  <c r="D164" i="29"/>
  <c r="C164" i="29"/>
  <c r="B164" i="29"/>
  <c r="A164" i="29"/>
  <c r="K163" i="29"/>
  <c r="J163" i="29"/>
  <c r="H163" i="29"/>
  <c r="G163" i="29"/>
  <c r="E163" i="29"/>
  <c r="D163" i="29"/>
  <c r="C163" i="29"/>
  <c r="B163" i="29"/>
  <c r="A163" i="29"/>
  <c r="K162" i="29"/>
  <c r="J162" i="29"/>
  <c r="H162" i="29"/>
  <c r="G162" i="29"/>
  <c r="E162" i="29"/>
  <c r="D162" i="29"/>
  <c r="C162" i="29"/>
  <c r="B162" i="29"/>
  <c r="A162" i="29"/>
  <c r="K161" i="29"/>
  <c r="J161" i="29"/>
  <c r="H161" i="29"/>
  <c r="G161" i="29"/>
  <c r="E161" i="29"/>
  <c r="D161" i="29"/>
  <c r="C161" i="29"/>
  <c r="B161" i="29"/>
  <c r="A161" i="29"/>
  <c r="K160" i="29"/>
  <c r="J160" i="29"/>
  <c r="H160" i="29"/>
  <c r="G160" i="29"/>
  <c r="E160" i="29"/>
  <c r="D160" i="29"/>
  <c r="C160" i="29"/>
  <c r="B160" i="29"/>
  <c r="A160" i="29"/>
  <c r="K159" i="29"/>
  <c r="J159" i="29"/>
  <c r="H159" i="29"/>
  <c r="G159" i="29"/>
  <c r="E159" i="29"/>
  <c r="D159" i="29"/>
  <c r="C159" i="29"/>
  <c r="B159" i="29"/>
  <c r="A159" i="29"/>
  <c r="K158" i="29"/>
  <c r="J158" i="29"/>
  <c r="H158" i="29"/>
  <c r="G158" i="29"/>
  <c r="E158" i="29"/>
  <c r="D158" i="29"/>
  <c r="C158" i="29"/>
  <c r="B158" i="29"/>
  <c r="A158" i="29"/>
  <c r="K157" i="29"/>
  <c r="J157" i="29"/>
  <c r="H157" i="29"/>
  <c r="G157" i="29"/>
  <c r="E157" i="29"/>
  <c r="D157" i="29"/>
  <c r="C157" i="29"/>
  <c r="B157" i="29"/>
  <c r="A157" i="29"/>
  <c r="K156" i="29"/>
  <c r="J156" i="29"/>
  <c r="H156" i="29"/>
  <c r="G156" i="29"/>
  <c r="E156" i="29"/>
  <c r="D156" i="29"/>
  <c r="C156" i="29"/>
  <c r="B156" i="29"/>
  <c r="A156" i="29"/>
  <c r="K155" i="29"/>
  <c r="J155" i="29"/>
  <c r="H155" i="29"/>
  <c r="G155" i="29"/>
  <c r="E155" i="29"/>
  <c r="D155" i="29"/>
  <c r="C155" i="29"/>
  <c r="B155" i="29"/>
  <c r="A155" i="29"/>
  <c r="K154" i="29"/>
  <c r="J154" i="29"/>
  <c r="H154" i="29"/>
  <c r="G154" i="29"/>
  <c r="E154" i="29"/>
  <c r="D154" i="29"/>
  <c r="C154" i="29"/>
  <c r="B154" i="29"/>
  <c r="A154" i="29"/>
  <c r="K153" i="29"/>
  <c r="J153" i="29"/>
  <c r="H153" i="29"/>
  <c r="G153" i="29"/>
  <c r="E153" i="29"/>
  <c r="D153" i="29"/>
  <c r="C153" i="29"/>
  <c r="B153" i="29"/>
  <c r="A153" i="29"/>
  <c r="K152" i="29"/>
  <c r="J152" i="29"/>
  <c r="H152" i="29"/>
  <c r="G152" i="29"/>
  <c r="E152" i="29"/>
  <c r="D152" i="29"/>
  <c r="C152" i="29"/>
  <c r="B152" i="29"/>
  <c r="A152" i="29"/>
  <c r="K151" i="29"/>
  <c r="J151" i="29"/>
  <c r="H151" i="29"/>
  <c r="G151" i="29"/>
  <c r="E151" i="29"/>
  <c r="D151" i="29"/>
  <c r="C151" i="29"/>
  <c r="B151" i="29"/>
  <c r="A151" i="29"/>
  <c r="K150" i="29"/>
  <c r="J150" i="29"/>
  <c r="H150" i="29"/>
  <c r="G150" i="29"/>
  <c r="E150" i="29"/>
  <c r="D150" i="29"/>
  <c r="C150" i="29"/>
  <c r="B150" i="29"/>
  <c r="A150" i="29"/>
  <c r="K149" i="29"/>
  <c r="J149" i="29"/>
  <c r="H149" i="29"/>
  <c r="G149" i="29"/>
  <c r="E149" i="29"/>
  <c r="D149" i="29"/>
  <c r="C149" i="29"/>
  <c r="B149" i="29"/>
  <c r="A149" i="29"/>
  <c r="K148" i="29"/>
  <c r="J148" i="29"/>
  <c r="H148" i="29"/>
  <c r="G148" i="29"/>
  <c r="E148" i="29"/>
  <c r="D148" i="29"/>
  <c r="C148" i="29"/>
  <c r="B148" i="29"/>
  <c r="A148" i="29"/>
  <c r="K147" i="29"/>
  <c r="J147" i="29"/>
  <c r="H147" i="29"/>
  <c r="G147" i="29"/>
  <c r="E147" i="29"/>
  <c r="D147" i="29"/>
  <c r="C147" i="29"/>
  <c r="B147" i="29"/>
  <c r="A147" i="29"/>
  <c r="K146" i="29"/>
  <c r="J146" i="29"/>
  <c r="H146" i="29"/>
  <c r="G146" i="29"/>
  <c r="E146" i="29"/>
  <c r="D146" i="29"/>
  <c r="C146" i="29"/>
  <c r="B146" i="29"/>
  <c r="A146" i="29"/>
  <c r="K145" i="29"/>
  <c r="J145" i="29"/>
  <c r="H145" i="29"/>
  <c r="G145" i="29"/>
  <c r="E145" i="29"/>
  <c r="D145" i="29"/>
  <c r="C145" i="29"/>
  <c r="B145" i="29"/>
  <c r="A145" i="29"/>
  <c r="K144" i="29"/>
  <c r="J144" i="29"/>
  <c r="H144" i="29"/>
  <c r="G144" i="29"/>
  <c r="E144" i="29"/>
  <c r="D144" i="29"/>
  <c r="C144" i="29"/>
  <c r="B144" i="29"/>
  <c r="A144" i="29"/>
  <c r="K143" i="29"/>
  <c r="J143" i="29"/>
  <c r="H143" i="29"/>
  <c r="G143" i="29"/>
  <c r="E143" i="29"/>
  <c r="D143" i="29"/>
  <c r="C143" i="29"/>
  <c r="B143" i="29"/>
  <c r="A143" i="29"/>
  <c r="K142" i="29"/>
  <c r="J142" i="29"/>
  <c r="H142" i="29"/>
  <c r="G142" i="29"/>
  <c r="E142" i="29"/>
  <c r="D142" i="29"/>
  <c r="C142" i="29"/>
  <c r="B142" i="29"/>
  <c r="A142" i="29"/>
  <c r="K141" i="29"/>
  <c r="J141" i="29"/>
  <c r="H141" i="29"/>
  <c r="G141" i="29"/>
  <c r="E141" i="29"/>
  <c r="D141" i="29"/>
  <c r="C141" i="29"/>
  <c r="B141" i="29"/>
  <c r="A141" i="29"/>
  <c r="K140" i="29"/>
  <c r="J140" i="29"/>
  <c r="H140" i="29"/>
  <c r="G140" i="29"/>
  <c r="E140" i="29"/>
  <c r="D140" i="29"/>
  <c r="C140" i="29"/>
  <c r="B140" i="29"/>
  <c r="A140" i="29"/>
  <c r="K139" i="29"/>
  <c r="J139" i="29"/>
  <c r="H139" i="29"/>
  <c r="G139" i="29"/>
  <c r="E139" i="29"/>
  <c r="D139" i="29"/>
  <c r="C139" i="29"/>
  <c r="B139" i="29"/>
  <c r="A139" i="29"/>
  <c r="K138" i="29"/>
  <c r="J138" i="29"/>
  <c r="H138" i="29"/>
  <c r="G138" i="29"/>
  <c r="E138" i="29"/>
  <c r="D138" i="29"/>
  <c r="C138" i="29"/>
  <c r="B138" i="29"/>
  <c r="A138" i="29"/>
  <c r="K137" i="29"/>
  <c r="J137" i="29"/>
  <c r="H137" i="29"/>
  <c r="G137" i="29"/>
  <c r="E137" i="29"/>
  <c r="D137" i="29"/>
  <c r="C137" i="29"/>
  <c r="B137" i="29"/>
  <c r="A137" i="29"/>
  <c r="K136" i="29"/>
  <c r="J136" i="29"/>
  <c r="H136" i="29"/>
  <c r="G136" i="29"/>
  <c r="E136" i="29"/>
  <c r="D136" i="29"/>
  <c r="C136" i="29"/>
  <c r="B136" i="29"/>
  <c r="A136" i="29"/>
  <c r="K135" i="29"/>
  <c r="J135" i="29"/>
  <c r="H135" i="29"/>
  <c r="G135" i="29"/>
  <c r="E135" i="29"/>
  <c r="D135" i="29"/>
  <c r="C135" i="29"/>
  <c r="B135" i="29"/>
  <c r="A135" i="29"/>
  <c r="K134" i="29"/>
  <c r="J134" i="29"/>
  <c r="H134" i="29"/>
  <c r="G134" i="29"/>
  <c r="E134" i="29"/>
  <c r="D134" i="29"/>
  <c r="C134" i="29"/>
  <c r="B134" i="29"/>
  <c r="A134" i="29"/>
  <c r="K133" i="29"/>
  <c r="J133" i="29"/>
  <c r="H133" i="29"/>
  <c r="G133" i="29"/>
  <c r="E133" i="29"/>
  <c r="D133" i="29"/>
  <c r="C133" i="29"/>
  <c r="B133" i="29"/>
  <c r="A133" i="29"/>
  <c r="K132" i="29"/>
  <c r="J132" i="29"/>
  <c r="H132" i="29"/>
  <c r="G132" i="29"/>
  <c r="E132" i="29"/>
  <c r="D132" i="29"/>
  <c r="C132" i="29"/>
  <c r="B132" i="29"/>
  <c r="A132" i="29"/>
  <c r="K131" i="29"/>
  <c r="J131" i="29"/>
  <c r="H131" i="29"/>
  <c r="G131" i="29"/>
  <c r="E131" i="29"/>
  <c r="D131" i="29"/>
  <c r="C131" i="29"/>
  <c r="B131" i="29"/>
  <c r="A131" i="29"/>
  <c r="K130" i="29"/>
  <c r="J130" i="29"/>
  <c r="H130" i="29"/>
  <c r="G130" i="29"/>
  <c r="E130" i="29"/>
  <c r="D130" i="29"/>
  <c r="C130" i="29"/>
  <c r="B130" i="29"/>
  <c r="A130" i="29"/>
  <c r="K129" i="29"/>
  <c r="J129" i="29"/>
  <c r="H129" i="29"/>
  <c r="G129" i="29"/>
  <c r="E129" i="29"/>
  <c r="D129" i="29"/>
  <c r="C129" i="29"/>
  <c r="B129" i="29"/>
  <c r="A129" i="29"/>
  <c r="K128" i="29"/>
  <c r="J128" i="29"/>
  <c r="H128" i="29"/>
  <c r="G128" i="29"/>
  <c r="E128" i="29"/>
  <c r="D128" i="29"/>
  <c r="C128" i="29"/>
  <c r="B128" i="29"/>
  <c r="A128" i="29"/>
  <c r="K127" i="29"/>
  <c r="J127" i="29"/>
  <c r="H127" i="29"/>
  <c r="G127" i="29"/>
  <c r="E127" i="29"/>
  <c r="D127" i="29"/>
  <c r="C127" i="29"/>
  <c r="B127" i="29"/>
  <c r="A127" i="29"/>
  <c r="K126" i="29"/>
  <c r="J126" i="29"/>
  <c r="H126" i="29"/>
  <c r="G126" i="29"/>
  <c r="E126" i="29"/>
  <c r="D126" i="29"/>
  <c r="C126" i="29"/>
  <c r="B126" i="29"/>
  <c r="A126" i="29"/>
  <c r="K125" i="29"/>
  <c r="J125" i="29"/>
  <c r="H125" i="29"/>
  <c r="G125" i="29"/>
  <c r="E125" i="29"/>
  <c r="D125" i="29"/>
  <c r="C125" i="29"/>
  <c r="B125" i="29"/>
  <c r="A125" i="29"/>
  <c r="K124" i="29"/>
  <c r="J124" i="29"/>
  <c r="H124" i="29"/>
  <c r="G124" i="29"/>
  <c r="E124" i="29"/>
  <c r="D124" i="29"/>
  <c r="C124" i="29"/>
  <c r="B124" i="29"/>
  <c r="A124" i="29"/>
  <c r="K123" i="29"/>
  <c r="J123" i="29"/>
  <c r="H123" i="29"/>
  <c r="G123" i="29"/>
  <c r="E123" i="29"/>
  <c r="D123" i="29"/>
  <c r="C123" i="29"/>
  <c r="B123" i="29"/>
  <c r="A123" i="29"/>
  <c r="K122" i="29"/>
  <c r="J122" i="29"/>
  <c r="H122" i="29"/>
  <c r="G122" i="29"/>
  <c r="E122" i="29"/>
  <c r="D122" i="29"/>
  <c r="C122" i="29"/>
  <c r="B122" i="29"/>
  <c r="A122" i="29"/>
  <c r="K121" i="29"/>
  <c r="J121" i="29"/>
  <c r="H121" i="29"/>
  <c r="G121" i="29"/>
  <c r="E121" i="29"/>
  <c r="D121" i="29"/>
  <c r="C121" i="29"/>
  <c r="B121" i="29"/>
  <c r="A121" i="29"/>
  <c r="K120" i="29"/>
  <c r="J120" i="29"/>
  <c r="H120" i="29"/>
  <c r="G120" i="29"/>
  <c r="E120" i="29"/>
  <c r="D120" i="29"/>
  <c r="C120" i="29"/>
  <c r="B120" i="29"/>
  <c r="A120" i="29"/>
  <c r="K119" i="29"/>
  <c r="J119" i="29"/>
  <c r="H119" i="29"/>
  <c r="G119" i="29"/>
  <c r="E119" i="29"/>
  <c r="D119" i="29"/>
  <c r="C119" i="29"/>
  <c r="B119" i="29"/>
  <c r="A119" i="29"/>
  <c r="K118" i="29"/>
  <c r="J118" i="29"/>
  <c r="H118" i="29"/>
  <c r="G118" i="29"/>
  <c r="E118" i="29"/>
  <c r="D118" i="29"/>
  <c r="C118" i="29"/>
  <c r="B118" i="29"/>
  <c r="A118" i="29"/>
  <c r="K117" i="29"/>
  <c r="J117" i="29"/>
  <c r="H117" i="29"/>
  <c r="G117" i="29"/>
  <c r="E117" i="29"/>
  <c r="D117" i="29"/>
  <c r="C117" i="29"/>
  <c r="B117" i="29"/>
  <c r="A117" i="29"/>
  <c r="K116" i="29"/>
  <c r="J116" i="29"/>
  <c r="H116" i="29"/>
  <c r="G116" i="29"/>
  <c r="E116" i="29"/>
  <c r="D116" i="29"/>
  <c r="C116" i="29"/>
  <c r="B116" i="29"/>
  <c r="A116" i="29"/>
  <c r="K115" i="29"/>
  <c r="J115" i="29"/>
  <c r="H115" i="29"/>
  <c r="G115" i="29"/>
  <c r="E115" i="29"/>
  <c r="D115" i="29"/>
  <c r="C115" i="29"/>
  <c r="B115" i="29"/>
  <c r="A115" i="29"/>
  <c r="K114" i="29"/>
  <c r="J114" i="29"/>
  <c r="H114" i="29"/>
  <c r="G114" i="29"/>
  <c r="E114" i="29"/>
  <c r="D114" i="29"/>
  <c r="C114" i="29"/>
  <c r="B114" i="29"/>
  <c r="A114" i="29"/>
  <c r="K113" i="29"/>
  <c r="J113" i="29"/>
  <c r="H113" i="29"/>
  <c r="G113" i="29"/>
  <c r="E113" i="29"/>
  <c r="D113" i="29"/>
  <c r="C113" i="29"/>
  <c r="B113" i="29"/>
  <c r="A113" i="29"/>
  <c r="K112" i="29"/>
  <c r="J112" i="29"/>
  <c r="H112" i="29"/>
  <c r="G112" i="29"/>
  <c r="E112" i="29"/>
  <c r="D112" i="29"/>
  <c r="C112" i="29"/>
  <c r="B112" i="29"/>
  <c r="A112" i="29"/>
  <c r="K111" i="29"/>
  <c r="J111" i="29"/>
  <c r="H111" i="29"/>
  <c r="G111" i="29"/>
  <c r="E111" i="29"/>
  <c r="D111" i="29"/>
  <c r="C111" i="29"/>
  <c r="B111" i="29"/>
  <c r="A111" i="29"/>
  <c r="K110" i="29"/>
  <c r="J110" i="29"/>
  <c r="H110" i="29"/>
  <c r="G110" i="29"/>
  <c r="E110" i="29"/>
  <c r="D110" i="29"/>
  <c r="C110" i="29"/>
  <c r="B110" i="29"/>
  <c r="A110" i="29"/>
  <c r="K109" i="29"/>
  <c r="J109" i="29"/>
  <c r="H109" i="29"/>
  <c r="G109" i="29"/>
  <c r="E109" i="29"/>
  <c r="D109" i="29"/>
  <c r="C109" i="29"/>
  <c r="B109" i="29"/>
  <c r="A109" i="29"/>
  <c r="K108" i="29"/>
  <c r="J108" i="29"/>
  <c r="H108" i="29"/>
  <c r="G108" i="29"/>
  <c r="E108" i="29"/>
  <c r="D108" i="29"/>
  <c r="C108" i="29"/>
  <c r="B108" i="29"/>
  <c r="A108" i="29"/>
  <c r="K107" i="29"/>
  <c r="J107" i="29"/>
  <c r="H107" i="29"/>
  <c r="G107" i="29"/>
  <c r="E107" i="29"/>
  <c r="D107" i="29"/>
  <c r="C107" i="29"/>
  <c r="B107" i="29"/>
  <c r="A107" i="29"/>
  <c r="K106" i="29"/>
  <c r="J106" i="29"/>
  <c r="H106" i="29"/>
  <c r="G106" i="29"/>
  <c r="E106" i="29"/>
  <c r="D106" i="29"/>
  <c r="C106" i="29"/>
  <c r="B106" i="29"/>
  <c r="A106" i="29"/>
  <c r="K105" i="29"/>
  <c r="J105" i="29"/>
  <c r="H105" i="29"/>
  <c r="G105" i="29"/>
  <c r="E105" i="29"/>
  <c r="D105" i="29"/>
  <c r="C105" i="29"/>
  <c r="B105" i="29"/>
  <c r="A105" i="29"/>
  <c r="K104" i="29"/>
  <c r="J104" i="29"/>
  <c r="H104" i="29"/>
  <c r="G104" i="29"/>
  <c r="E104" i="29"/>
  <c r="D104" i="29"/>
  <c r="C104" i="29"/>
  <c r="B104" i="29"/>
  <c r="A104" i="29"/>
  <c r="K103" i="29"/>
  <c r="J103" i="29"/>
  <c r="H103" i="29"/>
  <c r="G103" i="29"/>
  <c r="E103" i="29"/>
  <c r="D103" i="29"/>
  <c r="C103" i="29"/>
  <c r="B103" i="29"/>
  <c r="A103" i="29"/>
  <c r="K102" i="29"/>
  <c r="J102" i="29"/>
  <c r="H102" i="29"/>
  <c r="G102" i="29"/>
  <c r="E102" i="29"/>
  <c r="D102" i="29"/>
  <c r="C102" i="29"/>
  <c r="B102" i="29"/>
  <c r="A102" i="29"/>
  <c r="K101" i="29"/>
  <c r="J101" i="29"/>
  <c r="H101" i="29"/>
  <c r="G101" i="29"/>
  <c r="E101" i="29"/>
  <c r="D101" i="29"/>
  <c r="C101" i="29"/>
  <c r="B101" i="29"/>
  <c r="A101" i="29"/>
  <c r="K100" i="29"/>
  <c r="J100" i="29"/>
  <c r="H100" i="29"/>
  <c r="G100" i="29"/>
  <c r="E100" i="29"/>
  <c r="D100" i="29"/>
  <c r="C100" i="29"/>
  <c r="B100" i="29"/>
  <c r="A100" i="29"/>
  <c r="K99" i="29"/>
  <c r="J99" i="29"/>
  <c r="H99" i="29"/>
  <c r="G99" i="29"/>
  <c r="E99" i="29"/>
  <c r="D99" i="29"/>
  <c r="C99" i="29"/>
  <c r="B99" i="29"/>
  <c r="A99" i="29"/>
  <c r="K98" i="29"/>
  <c r="J98" i="29"/>
  <c r="H98" i="29"/>
  <c r="G98" i="29"/>
  <c r="E98" i="29"/>
  <c r="D98" i="29"/>
  <c r="C98" i="29"/>
  <c r="B98" i="29"/>
  <c r="A98" i="29"/>
  <c r="K97" i="29"/>
  <c r="J97" i="29"/>
  <c r="H97" i="29"/>
  <c r="G97" i="29"/>
  <c r="E97" i="29"/>
  <c r="D97" i="29"/>
  <c r="C97" i="29"/>
  <c r="B97" i="29"/>
  <c r="A97" i="29"/>
  <c r="K96" i="29"/>
  <c r="J96" i="29"/>
  <c r="H96" i="29"/>
  <c r="G96" i="29"/>
  <c r="E96" i="29"/>
  <c r="D96" i="29"/>
  <c r="C96" i="29"/>
  <c r="B96" i="29"/>
  <c r="A96" i="29"/>
  <c r="K95" i="29"/>
  <c r="J95" i="29"/>
  <c r="H95" i="29"/>
  <c r="G95" i="29"/>
  <c r="E95" i="29"/>
  <c r="D95" i="29"/>
  <c r="C95" i="29"/>
  <c r="B95" i="29"/>
  <c r="A95" i="29"/>
  <c r="K94" i="29"/>
  <c r="J94" i="29"/>
  <c r="H94" i="29"/>
  <c r="G94" i="29"/>
  <c r="E94" i="29"/>
  <c r="D94" i="29"/>
  <c r="C94" i="29"/>
  <c r="B94" i="29"/>
  <c r="A94" i="29"/>
  <c r="K93" i="29"/>
  <c r="J93" i="29"/>
  <c r="H93" i="29"/>
  <c r="G93" i="29"/>
  <c r="E93" i="29"/>
  <c r="D93" i="29"/>
  <c r="C93" i="29"/>
  <c r="B93" i="29"/>
  <c r="A93" i="29"/>
  <c r="K92" i="29"/>
  <c r="J92" i="29"/>
  <c r="H92" i="29"/>
  <c r="G92" i="29"/>
  <c r="E92" i="29"/>
  <c r="D92" i="29"/>
  <c r="C92" i="29"/>
  <c r="B92" i="29"/>
  <c r="A92" i="29"/>
  <c r="K91" i="29"/>
  <c r="J91" i="29"/>
  <c r="H91" i="29"/>
  <c r="G91" i="29"/>
  <c r="E91" i="29"/>
  <c r="D91" i="29"/>
  <c r="C91" i="29"/>
  <c r="B91" i="29"/>
  <c r="A91" i="29"/>
  <c r="K90" i="29"/>
  <c r="J90" i="29"/>
  <c r="H90" i="29"/>
  <c r="G90" i="29"/>
  <c r="E90" i="29"/>
  <c r="D90" i="29"/>
  <c r="C90" i="29"/>
  <c r="B90" i="29"/>
  <c r="A90" i="29"/>
  <c r="K89" i="29"/>
  <c r="J89" i="29"/>
  <c r="H89" i="29"/>
  <c r="G89" i="29"/>
  <c r="E89" i="29"/>
  <c r="D89" i="29"/>
  <c r="C89" i="29"/>
  <c r="B89" i="29"/>
  <c r="A89" i="29"/>
  <c r="K88" i="29"/>
  <c r="J88" i="29"/>
  <c r="H88" i="29"/>
  <c r="G88" i="29"/>
  <c r="E88" i="29"/>
  <c r="D88" i="29"/>
  <c r="C88" i="29"/>
  <c r="B88" i="29"/>
  <c r="A88" i="29"/>
  <c r="K87" i="29"/>
  <c r="J87" i="29"/>
  <c r="H87" i="29"/>
  <c r="G87" i="29"/>
  <c r="E87" i="29"/>
  <c r="D87" i="29"/>
  <c r="C87" i="29"/>
  <c r="B87" i="29"/>
  <c r="A87" i="29"/>
  <c r="K86" i="29"/>
  <c r="J86" i="29"/>
  <c r="H86" i="29"/>
  <c r="G86" i="29"/>
  <c r="E86" i="29"/>
  <c r="D86" i="29"/>
  <c r="C86" i="29"/>
  <c r="B86" i="29"/>
  <c r="A86" i="29"/>
  <c r="K85" i="29"/>
  <c r="J85" i="29"/>
  <c r="H85" i="29"/>
  <c r="G85" i="29"/>
  <c r="E85" i="29"/>
  <c r="D85" i="29"/>
  <c r="C85" i="29"/>
  <c r="B85" i="29"/>
  <c r="A85" i="29"/>
  <c r="K84" i="29"/>
  <c r="J84" i="29"/>
  <c r="H84" i="29"/>
  <c r="G84" i="29"/>
  <c r="E84" i="29"/>
  <c r="D84" i="29"/>
  <c r="C84" i="29"/>
  <c r="B84" i="29"/>
  <c r="A84" i="29"/>
  <c r="K83" i="29"/>
  <c r="J83" i="29"/>
  <c r="H83" i="29"/>
  <c r="G83" i="29"/>
  <c r="E83" i="29"/>
  <c r="D83" i="29"/>
  <c r="C83" i="29"/>
  <c r="B83" i="29"/>
  <c r="A83" i="29"/>
  <c r="K82" i="29"/>
  <c r="J82" i="29"/>
  <c r="H82" i="29"/>
  <c r="G82" i="29"/>
  <c r="E82" i="29"/>
  <c r="D82" i="29"/>
  <c r="C82" i="29"/>
  <c r="B82" i="29"/>
  <c r="A82" i="29"/>
  <c r="K81" i="29"/>
  <c r="J81" i="29"/>
  <c r="H81" i="29"/>
  <c r="G81" i="29"/>
  <c r="E81" i="29"/>
  <c r="D81" i="29"/>
  <c r="C81" i="29"/>
  <c r="B81" i="29"/>
  <c r="A81" i="29"/>
  <c r="K80" i="29"/>
  <c r="J80" i="29"/>
  <c r="H80" i="29"/>
  <c r="G80" i="29"/>
  <c r="E80" i="29"/>
  <c r="D80" i="29"/>
  <c r="C80" i="29"/>
  <c r="B80" i="29"/>
  <c r="A80" i="29"/>
  <c r="K79" i="29"/>
  <c r="J79" i="29"/>
  <c r="H79" i="29"/>
  <c r="G79" i="29"/>
  <c r="E79" i="29"/>
  <c r="D79" i="29"/>
  <c r="C79" i="29"/>
  <c r="B79" i="29"/>
  <c r="A79" i="29"/>
  <c r="K78" i="29"/>
  <c r="J78" i="29"/>
  <c r="H78" i="29"/>
  <c r="G78" i="29"/>
  <c r="E78" i="29"/>
  <c r="D78" i="29"/>
  <c r="C78" i="29"/>
  <c r="B78" i="29"/>
  <c r="A78" i="29"/>
  <c r="K77" i="29"/>
  <c r="J77" i="29"/>
  <c r="H77" i="29"/>
  <c r="G77" i="29"/>
  <c r="E77" i="29"/>
  <c r="D77" i="29"/>
  <c r="C77" i="29"/>
  <c r="B77" i="29"/>
  <c r="A77" i="29"/>
  <c r="K76" i="29"/>
  <c r="J76" i="29"/>
  <c r="H76" i="29"/>
  <c r="G76" i="29"/>
  <c r="E76" i="29"/>
  <c r="D76" i="29"/>
  <c r="C76" i="29"/>
  <c r="B76" i="29"/>
  <c r="A76" i="29"/>
  <c r="K75" i="29"/>
  <c r="J75" i="29"/>
  <c r="H75" i="29"/>
  <c r="G75" i="29"/>
  <c r="E75" i="29"/>
  <c r="D75" i="29"/>
  <c r="C75" i="29"/>
  <c r="B75" i="29"/>
  <c r="A75" i="29"/>
  <c r="K74" i="29"/>
  <c r="J74" i="29"/>
  <c r="H74" i="29"/>
  <c r="G74" i="29"/>
  <c r="E74" i="29"/>
  <c r="D74" i="29"/>
  <c r="C74" i="29"/>
  <c r="B74" i="29"/>
  <c r="A74" i="29"/>
  <c r="K73" i="29"/>
  <c r="J73" i="29"/>
  <c r="H73" i="29"/>
  <c r="G73" i="29"/>
  <c r="E73" i="29"/>
  <c r="D73" i="29"/>
  <c r="C73" i="29"/>
  <c r="B73" i="29"/>
  <c r="A73" i="29"/>
  <c r="K72" i="29"/>
  <c r="J72" i="29"/>
  <c r="H72" i="29"/>
  <c r="G72" i="29"/>
  <c r="E72" i="29"/>
  <c r="D72" i="29"/>
  <c r="C72" i="29"/>
  <c r="B72" i="29"/>
  <c r="A72" i="29"/>
  <c r="K71" i="29"/>
  <c r="J71" i="29"/>
  <c r="H71" i="29"/>
  <c r="G71" i="29"/>
  <c r="E71" i="29"/>
  <c r="D71" i="29"/>
  <c r="C71" i="29"/>
  <c r="B71" i="29"/>
  <c r="A71" i="29"/>
  <c r="K70" i="29"/>
  <c r="J70" i="29"/>
  <c r="H70" i="29"/>
  <c r="G70" i="29"/>
  <c r="E70" i="29"/>
  <c r="D70" i="29"/>
  <c r="C70" i="29"/>
  <c r="B70" i="29"/>
  <c r="A70" i="29"/>
  <c r="K69" i="29"/>
  <c r="J69" i="29"/>
  <c r="H69" i="29"/>
  <c r="G69" i="29"/>
  <c r="E69" i="29"/>
  <c r="D69" i="29"/>
  <c r="C69" i="29"/>
  <c r="B69" i="29"/>
  <c r="A69" i="29"/>
  <c r="K68" i="29"/>
  <c r="J68" i="29"/>
  <c r="H68" i="29"/>
  <c r="G68" i="29"/>
  <c r="E68" i="29"/>
  <c r="D68" i="29"/>
  <c r="C68" i="29"/>
  <c r="B68" i="29"/>
  <c r="A68" i="29"/>
  <c r="K67" i="29"/>
  <c r="J67" i="29"/>
  <c r="H67" i="29"/>
  <c r="G67" i="29"/>
  <c r="E67" i="29"/>
  <c r="D67" i="29"/>
  <c r="C67" i="29"/>
  <c r="B67" i="29"/>
  <c r="A67" i="29"/>
  <c r="K66" i="29"/>
  <c r="J66" i="29"/>
  <c r="H66" i="29"/>
  <c r="G66" i="29"/>
  <c r="E66" i="29"/>
  <c r="D66" i="29"/>
  <c r="C66" i="29"/>
  <c r="B66" i="29"/>
  <c r="A66" i="29"/>
  <c r="K65" i="29"/>
  <c r="J65" i="29"/>
  <c r="H65" i="29"/>
  <c r="G65" i="29"/>
  <c r="E65" i="29"/>
  <c r="D65" i="29"/>
  <c r="C65" i="29"/>
  <c r="B65" i="29"/>
  <c r="A65" i="29"/>
  <c r="K64" i="29"/>
  <c r="J64" i="29"/>
  <c r="H64" i="29"/>
  <c r="G64" i="29"/>
  <c r="E64" i="29"/>
  <c r="D64" i="29"/>
  <c r="C64" i="29"/>
  <c r="B64" i="29"/>
  <c r="A64" i="29"/>
  <c r="K63" i="29"/>
  <c r="J63" i="29"/>
  <c r="H63" i="29"/>
  <c r="G63" i="29"/>
  <c r="E63" i="29"/>
  <c r="D63" i="29"/>
  <c r="C63" i="29"/>
  <c r="B63" i="29"/>
  <c r="A63" i="29"/>
  <c r="K62" i="29"/>
  <c r="J62" i="29"/>
  <c r="H62" i="29"/>
  <c r="G62" i="29"/>
  <c r="E62" i="29"/>
  <c r="D62" i="29"/>
  <c r="C62" i="29"/>
  <c r="B62" i="29"/>
  <c r="A62" i="29"/>
  <c r="K61" i="29"/>
  <c r="J61" i="29"/>
  <c r="H61" i="29"/>
  <c r="G61" i="29"/>
  <c r="E61" i="29"/>
  <c r="D61" i="29"/>
  <c r="C61" i="29"/>
  <c r="B61" i="29"/>
  <c r="A61" i="29"/>
  <c r="K60" i="29"/>
  <c r="J60" i="29"/>
  <c r="H60" i="29"/>
  <c r="G60" i="29"/>
  <c r="E60" i="29"/>
  <c r="D60" i="29"/>
  <c r="C60" i="29"/>
  <c r="B60" i="29"/>
  <c r="A60" i="29"/>
  <c r="K59" i="29"/>
  <c r="J59" i="29"/>
  <c r="H59" i="29"/>
  <c r="G59" i="29"/>
  <c r="E59" i="29"/>
  <c r="D59" i="29"/>
  <c r="C59" i="29"/>
  <c r="B59" i="29"/>
  <c r="A59" i="29"/>
  <c r="K58" i="29"/>
  <c r="J58" i="29"/>
  <c r="H58" i="29"/>
  <c r="G58" i="29"/>
  <c r="E58" i="29"/>
  <c r="D58" i="29"/>
  <c r="C58" i="29"/>
  <c r="B58" i="29"/>
  <c r="A58" i="29"/>
  <c r="K57" i="29"/>
  <c r="J57" i="29"/>
  <c r="H57" i="29"/>
  <c r="G57" i="29"/>
  <c r="E57" i="29"/>
  <c r="D57" i="29"/>
  <c r="C57" i="29"/>
  <c r="B57" i="29"/>
  <c r="A57" i="29"/>
  <c r="K56" i="29"/>
  <c r="J56" i="29"/>
  <c r="H56" i="29"/>
  <c r="G56" i="29"/>
  <c r="E56" i="29"/>
  <c r="D56" i="29"/>
  <c r="C56" i="29"/>
  <c r="B56" i="29"/>
  <c r="A56" i="29"/>
  <c r="K55" i="29"/>
  <c r="J55" i="29"/>
  <c r="H55" i="29"/>
  <c r="G55" i="29"/>
  <c r="E55" i="29"/>
  <c r="D55" i="29"/>
  <c r="C55" i="29"/>
  <c r="B55" i="29"/>
  <c r="A55" i="29"/>
  <c r="K54" i="29"/>
  <c r="J54" i="29"/>
  <c r="H54" i="29"/>
  <c r="G54" i="29"/>
  <c r="E54" i="29"/>
  <c r="D54" i="29"/>
  <c r="C54" i="29"/>
  <c r="B54" i="29"/>
  <c r="A54" i="29"/>
  <c r="K53" i="29"/>
  <c r="J53" i="29"/>
  <c r="H53" i="29"/>
  <c r="G53" i="29"/>
  <c r="E53" i="29"/>
  <c r="D53" i="29"/>
  <c r="C53" i="29"/>
  <c r="B53" i="29"/>
  <c r="A53" i="29"/>
  <c r="K52" i="29"/>
  <c r="J52" i="29"/>
  <c r="H52" i="29"/>
  <c r="G52" i="29"/>
  <c r="E52" i="29"/>
  <c r="D52" i="29"/>
  <c r="C52" i="29"/>
  <c r="B52" i="29"/>
  <c r="A52" i="29"/>
  <c r="K51" i="29"/>
  <c r="J51" i="29"/>
  <c r="H51" i="29"/>
  <c r="G51" i="29"/>
  <c r="E51" i="29"/>
  <c r="D51" i="29"/>
  <c r="C51" i="29"/>
  <c r="B51" i="29"/>
  <c r="A51" i="29"/>
  <c r="K50" i="29"/>
  <c r="J50" i="29"/>
  <c r="H50" i="29"/>
  <c r="G50" i="29"/>
  <c r="E50" i="29"/>
  <c r="D50" i="29"/>
  <c r="C50" i="29"/>
  <c r="B50" i="29"/>
  <c r="A50" i="29"/>
  <c r="K49" i="29"/>
  <c r="J49" i="29"/>
  <c r="H49" i="29"/>
  <c r="G49" i="29"/>
  <c r="E49" i="29"/>
  <c r="D49" i="29"/>
  <c r="C49" i="29"/>
  <c r="B49" i="29"/>
  <c r="A49" i="29"/>
  <c r="K48" i="29"/>
  <c r="J48" i="29"/>
  <c r="H48" i="29"/>
  <c r="G48" i="29"/>
  <c r="E48" i="29"/>
  <c r="D48" i="29"/>
  <c r="C48" i="29"/>
  <c r="B48" i="29"/>
  <c r="A48" i="29"/>
  <c r="K47" i="29"/>
  <c r="J47" i="29"/>
  <c r="H47" i="29"/>
  <c r="G47" i="29"/>
  <c r="E47" i="29"/>
  <c r="D47" i="29"/>
  <c r="C47" i="29"/>
  <c r="B47" i="29"/>
  <c r="A47" i="29"/>
  <c r="K46" i="29"/>
  <c r="J46" i="29"/>
  <c r="H46" i="29"/>
  <c r="G46" i="29"/>
  <c r="E46" i="29"/>
  <c r="D46" i="29"/>
  <c r="C46" i="29"/>
  <c r="B46" i="29"/>
  <c r="A46" i="29"/>
  <c r="K45" i="29"/>
  <c r="J45" i="29"/>
  <c r="H45" i="29"/>
  <c r="G45" i="29"/>
  <c r="E45" i="29"/>
  <c r="D45" i="29"/>
  <c r="C45" i="29"/>
  <c r="B45" i="29"/>
  <c r="A45" i="29"/>
  <c r="K44" i="29"/>
  <c r="J44" i="29"/>
  <c r="H44" i="29"/>
  <c r="G44" i="29"/>
  <c r="E44" i="29"/>
  <c r="D44" i="29"/>
  <c r="C44" i="29"/>
  <c r="B44" i="29"/>
  <c r="A44" i="29"/>
  <c r="K43" i="29"/>
  <c r="J43" i="29"/>
  <c r="H43" i="29"/>
  <c r="G43" i="29"/>
  <c r="E43" i="29"/>
  <c r="D43" i="29"/>
  <c r="C43" i="29"/>
  <c r="B43" i="29"/>
  <c r="A43" i="29"/>
  <c r="K42" i="29"/>
  <c r="J42" i="29"/>
  <c r="H42" i="29"/>
  <c r="G42" i="29"/>
  <c r="E42" i="29"/>
  <c r="D42" i="29"/>
  <c r="C42" i="29"/>
  <c r="B42" i="29"/>
  <c r="A42" i="29"/>
  <c r="K41" i="29"/>
  <c r="J41" i="29"/>
  <c r="H41" i="29"/>
  <c r="G41" i="29"/>
  <c r="E41" i="29"/>
  <c r="D41" i="29"/>
  <c r="C41" i="29"/>
  <c r="B41" i="29"/>
  <c r="A41" i="29"/>
  <c r="K40" i="29"/>
  <c r="J40" i="29"/>
  <c r="H40" i="29"/>
  <c r="G40" i="29"/>
  <c r="E40" i="29"/>
  <c r="D40" i="29"/>
  <c r="C40" i="29"/>
  <c r="B40" i="29"/>
  <c r="A40" i="29"/>
  <c r="K39" i="29"/>
  <c r="J39" i="29"/>
  <c r="H39" i="29"/>
  <c r="G39" i="29"/>
  <c r="E39" i="29"/>
  <c r="D39" i="29"/>
  <c r="C39" i="29"/>
  <c r="B39" i="29"/>
  <c r="A39" i="29"/>
  <c r="K38" i="29"/>
  <c r="J38" i="29"/>
  <c r="H38" i="29"/>
  <c r="G38" i="29"/>
  <c r="E38" i="29"/>
  <c r="D38" i="29"/>
  <c r="C38" i="29"/>
  <c r="B38" i="29"/>
  <c r="A38" i="29"/>
  <c r="K37" i="29"/>
  <c r="J37" i="29"/>
  <c r="H37" i="29"/>
  <c r="G37" i="29"/>
  <c r="E37" i="29"/>
  <c r="D37" i="29"/>
  <c r="C37" i="29"/>
  <c r="B37" i="29"/>
  <c r="A37" i="29"/>
  <c r="K36" i="29"/>
  <c r="J36" i="29"/>
  <c r="H36" i="29"/>
  <c r="G36" i="29"/>
  <c r="E36" i="29"/>
  <c r="D36" i="29"/>
  <c r="C36" i="29"/>
  <c r="B36" i="29"/>
  <c r="A36" i="29"/>
  <c r="K35" i="29"/>
  <c r="J35" i="29"/>
  <c r="H35" i="29"/>
  <c r="G35" i="29"/>
  <c r="E35" i="29"/>
  <c r="D35" i="29"/>
  <c r="C35" i="29"/>
  <c r="B35" i="29"/>
  <c r="A35" i="29"/>
  <c r="K34" i="29"/>
  <c r="J34" i="29"/>
  <c r="H34" i="29"/>
  <c r="G34" i="29"/>
  <c r="E34" i="29"/>
  <c r="D34" i="29"/>
  <c r="C34" i="29"/>
  <c r="B34" i="29"/>
  <c r="A34" i="29"/>
  <c r="K33" i="29"/>
  <c r="J33" i="29"/>
  <c r="H33" i="29"/>
  <c r="G33" i="29"/>
  <c r="E33" i="29"/>
  <c r="D33" i="29"/>
  <c r="C33" i="29"/>
  <c r="B33" i="29"/>
  <c r="A33" i="29"/>
  <c r="K32" i="29"/>
  <c r="J32" i="29"/>
  <c r="H32" i="29"/>
  <c r="G32" i="29"/>
  <c r="E32" i="29"/>
  <c r="D32" i="29"/>
  <c r="C32" i="29"/>
  <c r="B32" i="29"/>
  <c r="A32" i="29"/>
  <c r="K31" i="29"/>
  <c r="J31" i="29"/>
  <c r="H31" i="29"/>
  <c r="G31" i="29"/>
  <c r="E31" i="29"/>
  <c r="D31" i="29"/>
  <c r="C31" i="29"/>
  <c r="B31" i="29"/>
  <c r="A31" i="29"/>
  <c r="K30" i="29"/>
  <c r="J30" i="29"/>
  <c r="H30" i="29"/>
  <c r="G30" i="29"/>
  <c r="E30" i="29"/>
  <c r="D30" i="29"/>
  <c r="C30" i="29"/>
  <c r="B30" i="29"/>
  <c r="A30" i="29"/>
  <c r="K29" i="29"/>
  <c r="J29" i="29"/>
  <c r="H29" i="29"/>
  <c r="G29" i="29"/>
  <c r="E29" i="29"/>
  <c r="D29" i="29"/>
  <c r="C29" i="29"/>
  <c r="B29" i="29"/>
  <c r="A29" i="29"/>
  <c r="K28" i="29"/>
  <c r="J28" i="29"/>
  <c r="H28" i="29"/>
  <c r="G28" i="29"/>
  <c r="E28" i="29"/>
  <c r="D28" i="29"/>
  <c r="C28" i="29"/>
  <c r="B28" i="29"/>
  <c r="A28" i="29"/>
  <c r="K27" i="29"/>
  <c r="J27" i="29"/>
  <c r="H27" i="29"/>
  <c r="G27" i="29"/>
  <c r="E27" i="29"/>
  <c r="D27" i="29"/>
  <c r="C27" i="29"/>
  <c r="B27" i="29"/>
  <c r="A27" i="29"/>
  <c r="K26" i="29"/>
  <c r="J26" i="29"/>
  <c r="H26" i="29"/>
  <c r="G26" i="29"/>
  <c r="E26" i="29"/>
  <c r="D26" i="29"/>
  <c r="C26" i="29"/>
  <c r="B26" i="29"/>
  <c r="A26" i="29"/>
  <c r="K25" i="29"/>
  <c r="J25" i="29"/>
  <c r="H25" i="29"/>
  <c r="G25" i="29"/>
  <c r="E25" i="29"/>
  <c r="D25" i="29"/>
  <c r="C25" i="29"/>
  <c r="B25" i="29"/>
  <c r="A25" i="29"/>
  <c r="K24" i="29"/>
  <c r="J24" i="29"/>
  <c r="H24" i="29"/>
  <c r="G24" i="29"/>
  <c r="E24" i="29"/>
  <c r="D24" i="29"/>
  <c r="C24" i="29"/>
  <c r="B24" i="29"/>
  <c r="A24" i="29"/>
  <c r="K23" i="29"/>
  <c r="J23" i="29"/>
  <c r="H23" i="29"/>
  <c r="G23" i="29"/>
  <c r="E23" i="29"/>
  <c r="D23" i="29"/>
  <c r="C23" i="29"/>
  <c r="B23" i="29"/>
  <c r="A23" i="29"/>
  <c r="K22" i="29"/>
  <c r="J22" i="29"/>
  <c r="H22" i="29"/>
  <c r="G22" i="29"/>
  <c r="E22" i="29"/>
  <c r="D22" i="29"/>
  <c r="C22" i="29"/>
  <c r="B22" i="29"/>
  <c r="A22" i="29"/>
  <c r="K21" i="29"/>
  <c r="J21" i="29"/>
  <c r="H21" i="29"/>
  <c r="G21" i="29"/>
  <c r="E21" i="29"/>
  <c r="D21" i="29"/>
  <c r="C21" i="29"/>
  <c r="B21" i="29"/>
  <c r="A21" i="29"/>
  <c r="K20" i="29"/>
  <c r="J20" i="29"/>
  <c r="H20" i="29"/>
  <c r="G20" i="29"/>
  <c r="E20" i="29"/>
  <c r="D20" i="29"/>
  <c r="C20" i="29"/>
  <c r="B20" i="29"/>
  <c r="A20" i="29"/>
  <c r="K19" i="29"/>
  <c r="J19" i="29"/>
  <c r="H19" i="29"/>
  <c r="G19" i="29"/>
  <c r="E19" i="29"/>
  <c r="D19" i="29"/>
  <c r="C19" i="29"/>
  <c r="B19" i="29"/>
  <c r="A19" i="29"/>
  <c r="K18" i="29"/>
  <c r="J18" i="29"/>
  <c r="H18" i="29"/>
  <c r="G18" i="29"/>
  <c r="E18" i="29"/>
  <c r="D18" i="29"/>
  <c r="C18" i="29"/>
  <c r="B18" i="29"/>
  <c r="A18" i="29"/>
  <c r="K17" i="29"/>
  <c r="J17" i="29"/>
  <c r="H17" i="29"/>
  <c r="G17" i="29"/>
  <c r="E17" i="29"/>
  <c r="D17" i="29"/>
  <c r="C17" i="29"/>
  <c r="B17" i="29"/>
  <c r="A17" i="29"/>
  <c r="K16" i="29"/>
  <c r="J16" i="29"/>
  <c r="H16" i="29"/>
  <c r="G16" i="29"/>
  <c r="E16" i="29"/>
  <c r="D16" i="29"/>
  <c r="C16" i="29"/>
  <c r="B16" i="29"/>
  <c r="A16" i="29"/>
  <c r="K15" i="29"/>
  <c r="J15" i="29"/>
  <c r="H15" i="29"/>
  <c r="G15" i="29"/>
  <c r="E15" i="29"/>
  <c r="D15" i="29"/>
  <c r="C15" i="29"/>
  <c r="B15" i="29"/>
  <c r="A15" i="29"/>
  <c r="K14" i="29"/>
  <c r="J14" i="29"/>
  <c r="H14" i="29"/>
  <c r="G14" i="29"/>
  <c r="E14" i="29"/>
  <c r="D14" i="29"/>
  <c r="C14" i="29"/>
  <c r="B14" i="29"/>
  <c r="A14" i="29"/>
  <c r="K13" i="29"/>
  <c r="J13" i="29"/>
  <c r="H13" i="29"/>
  <c r="G13" i="29"/>
  <c r="E13" i="29"/>
  <c r="D13" i="29"/>
  <c r="C13" i="29"/>
  <c r="B13" i="29"/>
  <c r="A13" i="29"/>
  <c r="K12" i="29"/>
  <c r="J12" i="29"/>
  <c r="H12" i="29"/>
  <c r="G12" i="29"/>
  <c r="E12" i="29"/>
  <c r="D12" i="29"/>
  <c r="C12" i="29"/>
  <c r="B12" i="29"/>
  <c r="A12" i="29"/>
  <c r="K11" i="29"/>
  <c r="J11" i="29"/>
  <c r="H11" i="29"/>
  <c r="G11" i="29"/>
  <c r="E11" i="29"/>
  <c r="D11" i="29"/>
  <c r="C11" i="29"/>
  <c r="B11" i="29"/>
  <c r="A11" i="29"/>
  <c r="K10" i="29"/>
  <c r="J10" i="29"/>
  <c r="H10" i="29"/>
  <c r="G10" i="29"/>
  <c r="E10" i="29"/>
  <c r="D10" i="29"/>
  <c r="C10" i="29"/>
  <c r="B10" i="29"/>
  <c r="A10" i="29"/>
  <c r="K9" i="29"/>
  <c r="J9" i="29"/>
  <c r="H9" i="29"/>
  <c r="G9" i="29"/>
  <c r="E9" i="29"/>
  <c r="D9" i="29"/>
  <c r="C9" i="29"/>
  <c r="B9" i="29"/>
  <c r="A9" i="29"/>
  <c r="K8" i="29"/>
  <c r="J8" i="29"/>
  <c r="H8" i="29"/>
  <c r="G8" i="29"/>
  <c r="E8" i="29"/>
  <c r="D8" i="29"/>
  <c r="C8" i="29"/>
  <c r="B8" i="29"/>
  <c r="A8" i="29"/>
  <c r="K7" i="29"/>
  <c r="J7" i="29"/>
  <c r="H7" i="29"/>
  <c r="G7" i="29"/>
  <c r="E7" i="29"/>
  <c r="D7" i="29"/>
  <c r="C7" i="29"/>
  <c r="B7" i="29"/>
  <c r="A7" i="29"/>
  <c r="K6" i="29"/>
  <c r="J6" i="29"/>
  <c r="H6" i="29"/>
  <c r="G6" i="29"/>
  <c r="E6" i="29"/>
  <c r="D6" i="29"/>
  <c r="C6" i="29"/>
  <c r="B6" i="29"/>
  <c r="A6" i="29"/>
  <c r="K5" i="29"/>
  <c r="J5" i="29"/>
  <c r="H5" i="29"/>
  <c r="G5" i="29"/>
  <c r="E5" i="29"/>
  <c r="D5" i="29"/>
  <c r="C5" i="29"/>
  <c r="B5" i="29"/>
  <c r="A5" i="29"/>
  <c r="K4" i="29"/>
  <c r="J4" i="29"/>
  <c r="H4" i="29"/>
  <c r="G4" i="29"/>
  <c r="E4" i="29"/>
  <c r="D4" i="29"/>
  <c r="C4" i="29"/>
  <c r="B4" i="29"/>
  <c r="A4" i="29"/>
  <c r="K3" i="29"/>
  <c r="J3" i="29"/>
  <c r="H3" i="29"/>
  <c r="G3" i="29"/>
  <c r="E3" i="29"/>
  <c r="D3" i="29"/>
  <c r="C3" i="29"/>
  <c r="B3" i="29"/>
  <c r="A3" i="29"/>
  <c r="K2" i="29"/>
  <c r="J2" i="29"/>
  <c r="H2" i="29"/>
  <c r="G2" i="29"/>
  <c r="E2" i="29"/>
  <c r="D2" i="29"/>
  <c r="C2" i="29"/>
  <c r="B2" i="29"/>
  <c r="A2" i="29"/>
  <c r="K1" i="29"/>
  <c r="J1" i="29"/>
  <c r="I1" i="29"/>
  <c r="H1" i="29"/>
  <c r="G1" i="29"/>
  <c r="F1" i="29"/>
  <c r="E1" i="29"/>
  <c r="D1" i="29"/>
  <c r="C1" i="29"/>
  <c r="B1" i="29"/>
  <c r="A1" i="29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J2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J129" i="28"/>
  <c r="J130" i="28"/>
  <c r="J131" i="28"/>
  <c r="J132" i="28"/>
  <c r="J133" i="28"/>
  <c r="J134" i="28"/>
  <c r="J135" i="28"/>
  <c r="J136" i="28"/>
  <c r="J137" i="28"/>
  <c r="J138" i="28"/>
  <c r="J139" i="28"/>
  <c r="J140" i="28"/>
  <c r="J141" i="28"/>
  <c r="J142" i="28"/>
  <c r="J143" i="28"/>
  <c r="J144" i="28"/>
  <c r="J145" i="28"/>
  <c r="J146" i="28"/>
  <c r="J147" i="28"/>
  <c r="J148" i="28"/>
  <c r="J149" i="28"/>
  <c r="J150" i="28"/>
  <c r="J151" i="28"/>
  <c r="J152" i="28"/>
  <c r="J153" i="28"/>
  <c r="J154" i="28"/>
  <c r="J155" i="28"/>
  <c r="J156" i="28"/>
  <c r="J157" i="28"/>
  <c r="J158" i="28"/>
  <c r="J159" i="28"/>
  <c r="J160" i="28"/>
  <c r="J161" i="28"/>
  <c r="J162" i="28"/>
  <c r="J163" i="28"/>
  <c r="J164" i="28"/>
  <c r="J165" i="28"/>
  <c r="J166" i="28"/>
  <c r="J167" i="28"/>
  <c r="J168" i="28"/>
  <c r="J169" i="28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G1" i="28"/>
  <c r="H1" i="28"/>
  <c r="I1" i="28"/>
  <c r="J1" i="28"/>
  <c r="K1" i="28"/>
  <c r="F1" i="28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D1" i="28"/>
  <c r="D3" i="28"/>
  <c r="D4" i="28"/>
  <c r="D5" i="28"/>
  <c r="D6" i="28"/>
  <c r="I6" i="28" s="1"/>
  <c r="D7" i="28"/>
  <c r="D8" i="28"/>
  <c r="D9" i="28"/>
  <c r="D10" i="28"/>
  <c r="D11" i="28"/>
  <c r="D12" i="28"/>
  <c r="D13" i="28"/>
  <c r="D14" i="28"/>
  <c r="I14" i="28" s="1"/>
  <c r="D15" i="28"/>
  <c r="D16" i="28"/>
  <c r="D17" i="28"/>
  <c r="D18" i="28"/>
  <c r="I18" i="28" s="1"/>
  <c r="D19" i="28"/>
  <c r="D20" i="28"/>
  <c r="D21" i="28"/>
  <c r="D22" i="28"/>
  <c r="I22" i="28" s="1"/>
  <c r="D23" i="28"/>
  <c r="D24" i="28"/>
  <c r="D25" i="28"/>
  <c r="D26" i="28"/>
  <c r="I26" i="28" s="1"/>
  <c r="D27" i="28"/>
  <c r="D28" i="28"/>
  <c r="D29" i="28"/>
  <c r="D30" i="28"/>
  <c r="I30" i="28" s="1"/>
  <c r="D31" i="28"/>
  <c r="D32" i="28"/>
  <c r="D33" i="28"/>
  <c r="D34" i="28"/>
  <c r="D35" i="28"/>
  <c r="D36" i="28"/>
  <c r="D37" i="28"/>
  <c r="D38" i="28"/>
  <c r="I38" i="28" s="1"/>
  <c r="D39" i="28"/>
  <c r="D40" i="28"/>
  <c r="D41" i="28"/>
  <c r="D42" i="28"/>
  <c r="I42" i="28" s="1"/>
  <c r="D43" i="28"/>
  <c r="D44" i="28"/>
  <c r="D45" i="28"/>
  <c r="D46" i="28"/>
  <c r="I46" i="28" s="1"/>
  <c r="D47" i="28"/>
  <c r="D48" i="28"/>
  <c r="D49" i="28"/>
  <c r="D50" i="28"/>
  <c r="I50" i="28" s="1"/>
  <c r="D51" i="28"/>
  <c r="D52" i="28"/>
  <c r="D53" i="28"/>
  <c r="D54" i="28"/>
  <c r="D55" i="28"/>
  <c r="D56" i="28"/>
  <c r="D57" i="28"/>
  <c r="D58" i="28"/>
  <c r="I58" i="28" s="1"/>
  <c r="D59" i="28"/>
  <c r="D60" i="28"/>
  <c r="D61" i="28"/>
  <c r="D62" i="28"/>
  <c r="D63" i="28"/>
  <c r="D64" i="28"/>
  <c r="D65" i="28"/>
  <c r="D66" i="28"/>
  <c r="I66" i="28" s="1"/>
  <c r="D67" i="28"/>
  <c r="D68" i="28"/>
  <c r="D69" i="28"/>
  <c r="D70" i="28"/>
  <c r="I70" i="28" s="1"/>
  <c r="D71" i="28"/>
  <c r="D72" i="28"/>
  <c r="D73" i="28"/>
  <c r="D74" i="28"/>
  <c r="D75" i="28"/>
  <c r="D76" i="28"/>
  <c r="D77" i="28"/>
  <c r="D78" i="28"/>
  <c r="I78" i="28" s="1"/>
  <c r="D79" i="28"/>
  <c r="D80" i="28"/>
  <c r="D81" i="28"/>
  <c r="D82" i="28"/>
  <c r="I82" i="28" s="1"/>
  <c r="D83" i="28"/>
  <c r="D84" i="28"/>
  <c r="D85" i="28"/>
  <c r="D86" i="28"/>
  <c r="I86" i="28" s="1"/>
  <c r="D87" i="28"/>
  <c r="D88" i="28"/>
  <c r="D89" i="28"/>
  <c r="D90" i="28"/>
  <c r="I90" i="28" s="1"/>
  <c r="D91" i="28"/>
  <c r="D92" i="28"/>
  <c r="D93" i="28"/>
  <c r="D94" i="28"/>
  <c r="I94" i="28" s="1"/>
  <c r="D95" i="28"/>
  <c r="D96" i="28"/>
  <c r="D97" i="28"/>
  <c r="D98" i="28"/>
  <c r="D99" i="28"/>
  <c r="D100" i="28"/>
  <c r="D101" i="28"/>
  <c r="D102" i="28"/>
  <c r="I102" i="28" s="1"/>
  <c r="D103" i="28"/>
  <c r="D104" i="28"/>
  <c r="D105" i="28"/>
  <c r="D106" i="28"/>
  <c r="I106" i="28" s="1"/>
  <c r="D107" i="28"/>
  <c r="D108" i="28"/>
  <c r="D109" i="28"/>
  <c r="D110" i="28"/>
  <c r="I110" i="28" s="1"/>
  <c r="D111" i="28"/>
  <c r="D112" i="28"/>
  <c r="D113" i="28"/>
  <c r="D114" i="28"/>
  <c r="I114" i="28" s="1"/>
  <c r="D115" i="28"/>
  <c r="D116" i="28"/>
  <c r="D117" i="28"/>
  <c r="D118" i="28"/>
  <c r="D119" i="28"/>
  <c r="D120" i="28"/>
  <c r="D121" i="28"/>
  <c r="D122" i="28"/>
  <c r="I122" i="28" s="1"/>
  <c r="D123" i="28"/>
  <c r="D124" i="28"/>
  <c r="D125" i="28"/>
  <c r="D126" i="28"/>
  <c r="D127" i="28"/>
  <c r="D128" i="28"/>
  <c r="D129" i="28"/>
  <c r="D130" i="28"/>
  <c r="I130" i="28" s="1"/>
  <c r="D131" i="28"/>
  <c r="D132" i="28"/>
  <c r="D133" i="28"/>
  <c r="D134" i="28"/>
  <c r="I134" i="28" s="1"/>
  <c r="D135" i="28"/>
  <c r="D136" i="28"/>
  <c r="D137" i="28"/>
  <c r="D138" i="28"/>
  <c r="D139" i="28"/>
  <c r="D140" i="28"/>
  <c r="D141" i="28"/>
  <c r="D142" i="28"/>
  <c r="I142" i="28" s="1"/>
  <c r="D143" i="28"/>
  <c r="D144" i="28"/>
  <c r="D145" i="28"/>
  <c r="D146" i="28"/>
  <c r="I146" i="28" s="1"/>
  <c r="D147" i="28"/>
  <c r="D148" i="28"/>
  <c r="D149" i="28"/>
  <c r="D150" i="28"/>
  <c r="I150" i="28" s="1"/>
  <c r="D151" i="28"/>
  <c r="D152" i="28"/>
  <c r="D153" i="28"/>
  <c r="D154" i="28"/>
  <c r="I154" i="28" s="1"/>
  <c r="D155" i="28"/>
  <c r="D156" i="28"/>
  <c r="D157" i="28"/>
  <c r="D158" i="28"/>
  <c r="I158" i="28" s="1"/>
  <c r="D159" i="28"/>
  <c r="D160" i="28"/>
  <c r="D161" i="28"/>
  <c r="D162" i="28"/>
  <c r="D163" i="28"/>
  <c r="D164" i="28"/>
  <c r="D165" i="28"/>
  <c r="D166" i="28"/>
  <c r="I166" i="28" s="1"/>
  <c r="D167" i="28"/>
  <c r="D168" i="28"/>
  <c r="D169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2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A2" i="28"/>
  <c r="I2" i="28"/>
  <c r="A3" i="28"/>
  <c r="A4" i="28"/>
  <c r="A5" i="28"/>
  <c r="I5" i="28" s="1"/>
  <c r="A6" i="28"/>
  <c r="A7" i="28"/>
  <c r="A8" i="28"/>
  <c r="A9" i="28"/>
  <c r="I9" i="28" s="1"/>
  <c r="A10" i="28"/>
  <c r="I10" i="28"/>
  <c r="A11" i="28"/>
  <c r="A12" i="28"/>
  <c r="A13" i="28"/>
  <c r="F13" i="28" s="1"/>
  <c r="A14" i="28"/>
  <c r="A15" i="28"/>
  <c r="A16" i="28"/>
  <c r="A17" i="28"/>
  <c r="F17" i="28" s="1"/>
  <c r="A18" i="28"/>
  <c r="A19" i="28"/>
  <c r="A20" i="28"/>
  <c r="A21" i="28"/>
  <c r="I21" i="28" s="1"/>
  <c r="A22" i="28"/>
  <c r="A23" i="28"/>
  <c r="A24" i="28"/>
  <c r="A25" i="28"/>
  <c r="I25" i="28" s="1"/>
  <c r="A26" i="28"/>
  <c r="A27" i="28"/>
  <c r="A28" i="28"/>
  <c r="A29" i="28"/>
  <c r="F29" i="28" s="1"/>
  <c r="A30" i="28"/>
  <c r="A31" i="28"/>
  <c r="A32" i="28"/>
  <c r="A33" i="28"/>
  <c r="F33" i="28" s="1"/>
  <c r="A34" i="28"/>
  <c r="I34" i="28"/>
  <c r="A35" i="28"/>
  <c r="A36" i="28"/>
  <c r="A37" i="28"/>
  <c r="I37" i="28" s="1"/>
  <c r="A38" i="28"/>
  <c r="A39" i="28"/>
  <c r="A40" i="28"/>
  <c r="A41" i="28"/>
  <c r="I41" i="28" s="1"/>
  <c r="A42" i="28"/>
  <c r="A43" i="28"/>
  <c r="A44" i="28"/>
  <c r="A45" i="28"/>
  <c r="F45" i="28" s="1"/>
  <c r="A46" i="28"/>
  <c r="A47" i="28"/>
  <c r="A48" i="28"/>
  <c r="A49" i="28"/>
  <c r="F49" i="28" s="1"/>
  <c r="A50" i="28"/>
  <c r="A51" i="28"/>
  <c r="A52" i="28"/>
  <c r="A53" i="28"/>
  <c r="I53" i="28" s="1"/>
  <c r="A54" i="28"/>
  <c r="I54" i="28"/>
  <c r="A55" i="28"/>
  <c r="A56" i="28"/>
  <c r="A57" i="28"/>
  <c r="I57" i="28" s="1"/>
  <c r="A58" i="28"/>
  <c r="A59" i="28"/>
  <c r="A60" i="28"/>
  <c r="A61" i="28"/>
  <c r="F61" i="28" s="1"/>
  <c r="A62" i="28"/>
  <c r="A63" i="28"/>
  <c r="A64" i="28"/>
  <c r="A65" i="28"/>
  <c r="F65" i="28" s="1"/>
  <c r="A66" i="28"/>
  <c r="A67" i="28"/>
  <c r="A68" i="28"/>
  <c r="A69" i="28"/>
  <c r="I69" i="28" s="1"/>
  <c r="A70" i="28"/>
  <c r="A71" i="28"/>
  <c r="A72" i="28"/>
  <c r="A73" i="28"/>
  <c r="I73" i="28" s="1"/>
  <c r="A74" i="28"/>
  <c r="I74" i="28"/>
  <c r="A75" i="28"/>
  <c r="A76" i="28"/>
  <c r="A77" i="28"/>
  <c r="F77" i="28" s="1"/>
  <c r="A78" i="28"/>
  <c r="A79" i="28"/>
  <c r="A80" i="28"/>
  <c r="A81" i="28"/>
  <c r="F81" i="28" s="1"/>
  <c r="A82" i="28"/>
  <c r="A83" i="28"/>
  <c r="A84" i="28"/>
  <c r="A85" i="28"/>
  <c r="I85" i="28" s="1"/>
  <c r="A86" i="28"/>
  <c r="A87" i="28"/>
  <c r="A88" i="28"/>
  <c r="A89" i="28"/>
  <c r="I89" i="28" s="1"/>
  <c r="A90" i="28"/>
  <c r="A91" i="28"/>
  <c r="A92" i="28"/>
  <c r="A93" i="28"/>
  <c r="F93" i="28" s="1"/>
  <c r="A94" i="28"/>
  <c r="A95" i="28"/>
  <c r="A96" i="28"/>
  <c r="A97" i="28"/>
  <c r="F97" i="28" s="1"/>
  <c r="A98" i="28"/>
  <c r="I98" i="28"/>
  <c r="A99" i="28"/>
  <c r="A100" i="28"/>
  <c r="A101" i="28"/>
  <c r="I101" i="28" s="1"/>
  <c r="A102" i="28"/>
  <c r="A103" i="28"/>
  <c r="A104" i="28"/>
  <c r="A105" i="28"/>
  <c r="I105" i="28" s="1"/>
  <c r="A106" i="28"/>
  <c r="A107" i="28"/>
  <c r="A108" i="28"/>
  <c r="A109" i="28"/>
  <c r="F109" i="28" s="1"/>
  <c r="A110" i="28"/>
  <c r="A111" i="28"/>
  <c r="A112" i="28"/>
  <c r="A113" i="28"/>
  <c r="F113" i="28" s="1"/>
  <c r="A114" i="28"/>
  <c r="A115" i="28"/>
  <c r="A116" i="28"/>
  <c r="A117" i="28"/>
  <c r="I117" i="28" s="1"/>
  <c r="A118" i="28"/>
  <c r="I118" i="28"/>
  <c r="A119" i="28"/>
  <c r="A120" i="28"/>
  <c r="A121" i="28"/>
  <c r="I121" i="28" s="1"/>
  <c r="A122" i="28"/>
  <c r="A123" i="28"/>
  <c r="A124" i="28"/>
  <c r="A125" i="28"/>
  <c r="F125" i="28" s="1"/>
  <c r="A126" i="28"/>
  <c r="A127" i="28"/>
  <c r="A128" i="28"/>
  <c r="A129" i="28"/>
  <c r="F129" i="28" s="1"/>
  <c r="A130" i="28"/>
  <c r="A131" i="28"/>
  <c r="A132" i="28"/>
  <c r="A133" i="28"/>
  <c r="I133" i="28" s="1"/>
  <c r="A134" i="28"/>
  <c r="A135" i="28"/>
  <c r="A136" i="28"/>
  <c r="A137" i="28"/>
  <c r="I137" i="28" s="1"/>
  <c r="A138" i="28"/>
  <c r="I138" i="28"/>
  <c r="A139" i="28"/>
  <c r="A140" i="28"/>
  <c r="A141" i="28"/>
  <c r="F141" i="28" s="1"/>
  <c r="A142" i="28"/>
  <c r="A143" i="28"/>
  <c r="A144" i="28"/>
  <c r="A145" i="28"/>
  <c r="F145" i="28" s="1"/>
  <c r="A146" i="28"/>
  <c r="A147" i="28"/>
  <c r="A148" i="28"/>
  <c r="A149" i="28"/>
  <c r="I149" i="28" s="1"/>
  <c r="A150" i="28"/>
  <c r="A151" i="28"/>
  <c r="A152" i="28"/>
  <c r="A153" i="28"/>
  <c r="I153" i="28" s="1"/>
  <c r="A154" i="28"/>
  <c r="A155" i="28"/>
  <c r="A156" i="28"/>
  <c r="A157" i="28"/>
  <c r="F157" i="28" s="1"/>
  <c r="A158" i="28"/>
  <c r="A159" i="28"/>
  <c r="A160" i="28"/>
  <c r="A161" i="28"/>
  <c r="F161" i="28" s="1"/>
  <c r="A162" i="28"/>
  <c r="I162" i="28"/>
  <c r="A163" i="28"/>
  <c r="A164" i="28"/>
  <c r="A165" i="28"/>
  <c r="I165" i="28" s="1"/>
  <c r="A166" i="28"/>
  <c r="A167" i="28"/>
  <c r="A168" i="28"/>
  <c r="A169" i="28"/>
  <c r="I169" i="28" s="1"/>
  <c r="I62" i="28"/>
  <c r="I126" i="28"/>
  <c r="B1" i="28"/>
  <c r="C1" i="28"/>
  <c r="E1" i="28"/>
  <c r="A1" i="28"/>
  <c r="I3" i="28"/>
  <c r="I4" i="28"/>
  <c r="I7" i="28"/>
  <c r="I8" i="28"/>
  <c r="I11" i="28"/>
  <c r="I12" i="28"/>
  <c r="I13" i="28"/>
  <c r="I15" i="28"/>
  <c r="I16" i="28"/>
  <c r="I19" i="28"/>
  <c r="I20" i="28"/>
  <c r="I23" i="28"/>
  <c r="I24" i="28"/>
  <c r="I27" i="28"/>
  <c r="I28" i="28"/>
  <c r="I29" i="28"/>
  <c r="I31" i="28"/>
  <c r="I32" i="28"/>
  <c r="I35" i="28"/>
  <c r="I36" i="28"/>
  <c r="I39" i="28"/>
  <c r="I40" i="28"/>
  <c r="I43" i="28"/>
  <c r="I44" i="28"/>
  <c r="I45" i="28"/>
  <c r="I47" i="28"/>
  <c r="I48" i="28"/>
  <c r="I51" i="28"/>
  <c r="I52" i="28"/>
  <c r="I55" i="28"/>
  <c r="I56" i="28"/>
  <c r="I59" i="28"/>
  <c r="I60" i="28"/>
  <c r="I61" i="28"/>
  <c r="I63" i="28"/>
  <c r="I64" i="28"/>
  <c r="I67" i="28"/>
  <c r="I68" i="28"/>
  <c r="I71" i="28"/>
  <c r="I72" i="28"/>
  <c r="I75" i="28"/>
  <c r="I76" i="28"/>
  <c r="I77" i="28"/>
  <c r="I79" i="28"/>
  <c r="I80" i="28"/>
  <c r="I83" i="28"/>
  <c r="I84" i="28"/>
  <c r="I87" i="28"/>
  <c r="I88" i="28"/>
  <c r="I91" i="28"/>
  <c r="I92" i="28"/>
  <c r="I93" i="28"/>
  <c r="I95" i="28"/>
  <c r="I96" i="28"/>
  <c r="I99" i="28"/>
  <c r="I100" i="28"/>
  <c r="I103" i="28"/>
  <c r="I104" i="28"/>
  <c r="I107" i="28"/>
  <c r="I108" i="28"/>
  <c r="I109" i="28"/>
  <c r="I111" i="28"/>
  <c r="I112" i="28"/>
  <c r="I115" i="28"/>
  <c r="I116" i="28"/>
  <c r="I119" i="28"/>
  <c r="I120" i="28"/>
  <c r="I123" i="28"/>
  <c r="I124" i="28"/>
  <c r="I125" i="28"/>
  <c r="I127" i="28"/>
  <c r="I128" i="28"/>
  <c r="I131" i="28"/>
  <c r="I132" i="28"/>
  <c r="I135" i="28"/>
  <c r="I136" i="28"/>
  <c r="I139" i="28"/>
  <c r="I140" i="28"/>
  <c r="I141" i="28"/>
  <c r="I143" i="28"/>
  <c r="I144" i="28"/>
  <c r="I147" i="28"/>
  <c r="I148" i="28"/>
  <c r="I151" i="28"/>
  <c r="I152" i="28"/>
  <c r="I155" i="28"/>
  <c r="I156" i="28"/>
  <c r="I157" i="28"/>
  <c r="I159" i="28"/>
  <c r="I160" i="28"/>
  <c r="I163" i="28"/>
  <c r="I164" i="28"/>
  <c r="I167" i="28"/>
  <c r="I168" i="28"/>
  <c r="F3" i="28"/>
  <c r="F4" i="28"/>
  <c r="F5" i="28"/>
  <c r="F7" i="28"/>
  <c r="F8" i="28"/>
  <c r="F11" i="28"/>
  <c r="F12" i="28"/>
  <c r="F15" i="28"/>
  <c r="F16" i="28"/>
  <c r="F19" i="28"/>
  <c r="F20" i="28"/>
  <c r="F21" i="28"/>
  <c r="F23" i="28"/>
  <c r="F24" i="28"/>
  <c r="F27" i="28"/>
  <c r="F28" i="28"/>
  <c r="F31" i="28"/>
  <c r="F32" i="28"/>
  <c r="F35" i="28"/>
  <c r="F36" i="28"/>
  <c r="F37" i="28"/>
  <c r="F39" i="28"/>
  <c r="F40" i="28"/>
  <c r="F43" i="28"/>
  <c r="F44" i="28"/>
  <c r="F47" i="28"/>
  <c r="F48" i="28"/>
  <c r="F51" i="28"/>
  <c r="F52" i="28"/>
  <c r="F53" i="28"/>
  <c r="F55" i="28"/>
  <c r="F56" i="28"/>
  <c r="F59" i="28"/>
  <c r="F60" i="28"/>
  <c r="F63" i="28"/>
  <c r="F64" i="28"/>
  <c r="F67" i="28"/>
  <c r="F68" i="28"/>
  <c r="F69" i="28"/>
  <c r="F71" i="28"/>
  <c r="F72" i="28"/>
  <c r="F75" i="28"/>
  <c r="F76" i="28"/>
  <c r="F79" i="28"/>
  <c r="F80" i="28"/>
  <c r="F83" i="28"/>
  <c r="F84" i="28"/>
  <c r="F85" i="28"/>
  <c r="F87" i="28"/>
  <c r="F88" i="28"/>
  <c r="F91" i="28"/>
  <c r="F92" i="28"/>
  <c r="F95" i="28"/>
  <c r="F96" i="28"/>
  <c r="F99" i="28"/>
  <c r="F100" i="28"/>
  <c r="F101" i="28"/>
  <c r="F103" i="28"/>
  <c r="F104" i="28"/>
  <c r="F107" i="28"/>
  <c r="F108" i="28"/>
  <c r="F111" i="28"/>
  <c r="F112" i="28"/>
  <c r="F115" i="28"/>
  <c r="F116" i="28"/>
  <c r="F117" i="28"/>
  <c r="F119" i="28"/>
  <c r="F120" i="28"/>
  <c r="F123" i="28"/>
  <c r="F124" i="28"/>
  <c r="F127" i="28"/>
  <c r="F128" i="28"/>
  <c r="F131" i="28"/>
  <c r="F132" i="28"/>
  <c r="F133" i="28"/>
  <c r="F135" i="28"/>
  <c r="F136" i="28"/>
  <c r="F139" i="28"/>
  <c r="F140" i="28"/>
  <c r="F143" i="28"/>
  <c r="F144" i="28"/>
  <c r="F147" i="28"/>
  <c r="F148" i="28"/>
  <c r="F149" i="28"/>
  <c r="F151" i="28"/>
  <c r="F152" i="28"/>
  <c r="F155" i="28"/>
  <c r="F156" i="28"/>
  <c r="F159" i="28"/>
  <c r="F160" i="28"/>
  <c r="F163" i="28"/>
  <c r="F164" i="28"/>
  <c r="F165" i="28"/>
  <c r="F167" i="28"/>
  <c r="F168" i="28"/>
  <c r="F169" i="28" l="1"/>
  <c r="F153" i="28"/>
  <c r="F137" i="28"/>
  <c r="F121" i="28"/>
  <c r="F105" i="28"/>
  <c r="F89" i="28"/>
  <c r="F73" i="28"/>
  <c r="F57" i="28"/>
  <c r="F41" i="28"/>
  <c r="F25" i="28"/>
  <c r="F9" i="28"/>
  <c r="I161" i="28"/>
  <c r="I145" i="28"/>
  <c r="I129" i="28"/>
  <c r="I113" i="28"/>
  <c r="I97" i="28"/>
  <c r="I81" i="28"/>
  <c r="I65" i="28"/>
  <c r="I49" i="28"/>
  <c r="I33" i="28"/>
  <c r="I17" i="28"/>
  <c r="F2" i="28"/>
  <c r="F166" i="28"/>
  <c r="F162" i="28"/>
  <c r="F158" i="28"/>
  <c r="F154" i="28"/>
  <c r="F150" i="28"/>
  <c r="F146" i="28"/>
  <c r="F142" i="28"/>
  <c r="F138" i="28"/>
  <c r="F134" i="28"/>
  <c r="F130" i="28"/>
  <c r="F126" i="28"/>
  <c r="F122" i="28"/>
  <c r="F118" i="28"/>
  <c r="F114" i="28"/>
  <c r="F110" i="28"/>
  <c r="F106" i="28"/>
  <c r="F102" i="28"/>
  <c r="F98" i="28"/>
  <c r="F94" i="28"/>
  <c r="F90" i="28"/>
  <c r="F86" i="28"/>
  <c r="F82" i="28"/>
  <c r="F78" i="28"/>
  <c r="F74" i="28"/>
  <c r="F70" i="28"/>
  <c r="F66" i="28"/>
  <c r="F62" i="28"/>
  <c r="F58" i="28"/>
  <c r="F54" i="28"/>
  <c r="F50" i="28"/>
  <c r="F46" i="28"/>
  <c r="F42" i="28"/>
  <c r="F38" i="28"/>
  <c r="F34" i="28"/>
  <c r="F30" i="28"/>
  <c r="F26" i="28"/>
  <c r="F22" i="28"/>
  <c r="F18" i="28"/>
  <c r="F14" i="28"/>
  <c r="F10" i="28"/>
  <c r="F6" i="28"/>
  <c r="E15" i="6" l="1"/>
  <c r="E14" i="6"/>
  <c r="E13" i="6"/>
  <c r="E12" i="6"/>
  <c r="E11" i="6"/>
  <c r="E10" i="6"/>
  <c r="E9" i="6"/>
  <c r="E8" i="6"/>
  <c r="E7" i="6"/>
  <c r="E6" i="6"/>
  <c r="E5" i="6"/>
  <c r="E4" i="6"/>
  <c r="E3" i="6"/>
  <c r="P27" i="7"/>
  <c r="V30" i="7"/>
  <c r="W31" i="7"/>
  <c r="V31" i="7"/>
  <c r="U31" i="7"/>
  <c r="T31" i="7"/>
  <c r="S31" i="7"/>
  <c r="R31" i="7"/>
  <c r="Q31" i="7"/>
  <c r="P31" i="7"/>
  <c r="W30" i="7"/>
  <c r="U30" i="7"/>
  <c r="T30" i="7"/>
  <c r="S30" i="7"/>
  <c r="R30" i="7"/>
  <c r="Q30" i="7"/>
  <c r="P30" i="7"/>
  <c r="O30" i="7"/>
  <c r="W27" i="7"/>
  <c r="V27" i="7"/>
  <c r="U27" i="7"/>
  <c r="T27" i="7"/>
  <c r="S27" i="7"/>
  <c r="R27" i="7"/>
  <c r="Q27" i="7"/>
  <c r="N33" i="7"/>
  <c r="H28" i="14" l="1"/>
  <c r="J3" i="6" l="1"/>
  <c r="G68" i="6"/>
  <c r="I3" i="3" l="1"/>
  <c r="G3" i="6" l="1"/>
  <c r="F3" i="6"/>
  <c r="F3" i="3" l="1"/>
  <c r="F3" i="7"/>
  <c r="L33" i="12" l="1"/>
  <c r="O33" i="12" l="1"/>
  <c r="Q33" i="12" s="1"/>
  <c r="I28" i="14" l="1"/>
  <c r="U30" i="8" l="1"/>
  <c r="S35" i="8" s="1"/>
  <c r="E17" i="8" s="1"/>
  <c r="S46" i="8" l="1"/>
  <c r="E28" i="8" s="1"/>
  <c r="R43" i="8"/>
  <c r="E12" i="8" s="1"/>
  <c r="S42" i="8"/>
  <c r="E24" i="8" s="1"/>
  <c r="R32" i="8"/>
  <c r="R39" i="8"/>
  <c r="E8" i="8" s="1"/>
  <c r="S38" i="8"/>
  <c r="E20" i="8" s="1"/>
  <c r="R35" i="8"/>
  <c r="E4" i="8" s="1"/>
  <c r="S34" i="8"/>
  <c r="E16" i="8" s="1"/>
  <c r="R42" i="8"/>
  <c r="E11" i="8" s="1"/>
  <c r="R38" i="8"/>
  <c r="E7" i="8" s="1"/>
  <c r="R34" i="8"/>
  <c r="E3" i="8" s="1"/>
  <c r="S45" i="8"/>
  <c r="E27" i="8" s="1"/>
  <c r="S41" i="8"/>
  <c r="E23" i="8" s="1"/>
  <c r="S37" i="8"/>
  <c r="E19" i="8" s="1"/>
  <c r="S33" i="8"/>
  <c r="R46" i="8"/>
  <c r="E15" i="8" s="1"/>
  <c r="R45" i="8"/>
  <c r="E14" i="8" s="1"/>
  <c r="R41" i="8"/>
  <c r="E10" i="8" s="1"/>
  <c r="R37" i="8"/>
  <c r="E6" i="8" s="1"/>
  <c r="R33" i="8"/>
  <c r="S44" i="8"/>
  <c r="E26" i="8" s="1"/>
  <c r="S40" i="8"/>
  <c r="E22" i="8" s="1"/>
  <c r="S36" i="8"/>
  <c r="E18" i="8" s="1"/>
  <c r="R44" i="8"/>
  <c r="E13" i="8" s="1"/>
  <c r="R40" i="8"/>
  <c r="E9" i="8" s="1"/>
  <c r="R36" i="8"/>
  <c r="E5" i="8" s="1"/>
  <c r="S32" i="8"/>
  <c r="S43" i="8"/>
  <c r="E25" i="8" s="1"/>
  <c r="S39" i="8"/>
  <c r="E21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F4" i="7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G3" i="3"/>
  <c r="F4" i="3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D9" i="5"/>
  <c r="D14" i="5" s="1"/>
  <c r="D19" i="5" s="1"/>
  <c r="D24" i="5" s="1"/>
  <c r="D29" i="5" s="1"/>
  <c r="D34" i="5" s="1"/>
  <c r="D39" i="5" s="1"/>
  <c r="D44" i="5" s="1"/>
  <c r="D49" i="5" s="1"/>
  <c r="D54" i="5" s="1"/>
  <c r="D59" i="5" s="1"/>
  <c r="D64" i="5" s="1"/>
  <c r="D10" i="5"/>
  <c r="D15" i="5" s="1"/>
  <c r="D20" i="5" s="1"/>
  <c r="D25" i="5" s="1"/>
  <c r="D30" i="5" s="1"/>
  <c r="D35" i="5" s="1"/>
  <c r="D40" i="5" s="1"/>
  <c r="D45" i="5" s="1"/>
  <c r="D50" i="5" s="1"/>
  <c r="D55" i="5" s="1"/>
  <c r="D60" i="5" s="1"/>
  <c r="D65" i="5" s="1"/>
  <c r="D11" i="5"/>
  <c r="D16" i="5" s="1"/>
  <c r="D21" i="5" s="1"/>
  <c r="D26" i="5" s="1"/>
  <c r="D31" i="5" s="1"/>
  <c r="D36" i="5" s="1"/>
  <c r="D41" i="5" s="1"/>
  <c r="D46" i="5" s="1"/>
  <c r="D51" i="5" s="1"/>
  <c r="D56" i="5" s="1"/>
  <c r="D61" i="5" s="1"/>
  <c r="D66" i="5" s="1"/>
  <c r="D12" i="5"/>
  <c r="D17" i="5" s="1"/>
  <c r="D22" i="5" s="1"/>
  <c r="D27" i="5" s="1"/>
  <c r="D32" i="5" s="1"/>
  <c r="D37" i="5" s="1"/>
  <c r="D42" i="5" s="1"/>
  <c r="D47" i="5" s="1"/>
  <c r="D52" i="5" s="1"/>
  <c r="D57" i="5" s="1"/>
  <c r="D62" i="5" s="1"/>
  <c r="D67" i="5" s="1"/>
  <c r="D8" i="5"/>
  <c r="D13" i="5" s="1"/>
  <c r="D18" i="5" s="1"/>
  <c r="D23" i="5" s="1"/>
  <c r="D28" i="5" s="1"/>
  <c r="D33" i="5" s="1"/>
  <c r="D38" i="5" s="1"/>
  <c r="D43" i="5" s="1"/>
  <c r="D48" i="5" s="1"/>
  <c r="D53" i="5" s="1"/>
  <c r="D58" i="5" s="1"/>
  <c r="D63" i="5" s="1"/>
  <c r="B12" i="5"/>
  <c r="B11" i="5"/>
  <c r="B10" i="5"/>
  <c r="B9" i="5"/>
  <c r="B8" i="5"/>
  <c r="B3" i="5"/>
  <c r="B4" i="5"/>
  <c r="B5" i="5"/>
  <c r="B6" i="5"/>
  <c r="B7" i="5"/>
  <c r="J53" i="10"/>
  <c r="BN84" i="3"/>
  <c r="BN83" i="3"/>
  <c r="G22" i="1" l="1"/>
  <c r="G21" i="1"/>
  <c r="N4" i="15"/>
  <c r="AG4" i="15"/>
  <c r="C5" i="15"/>
  <c r="D5" i="15" s="1"/>
  <c r="F5" i="15"/>
  <c r="G5" i="15" s="1"/>
  <c r="I5" i="15"/>
  <c r="J5" i="15" s="1"/>
  <c r="L5" i="15"/>
  <c r="M5" i="15" s="1"/>
  <c r="N5" i="15"/>
  <c r="AG5" i="15"/>
  <c r="C6" i="15"/>
  <c r="D6" i="15" s="1"/>
  <c r="F6" i="15"/>
  <c r="G6" i="15" s="1"/>
  <c r="I6" i="15"/>
  <c r="J6" i="15" s="1"/>
  <c r="L6" i="15"/>
  <c r="M6" i="15" s="1"/>
  <c r="N6" i="15"/>
  <c r="O6" i="15" s="1"/>
  <c r="AG6" i="15"/>
  <c r="C7" i="15"/>
  <c r="D7" i="15" s="1"/>
  <c r="F7" i="15"/>
  <c r="G7" i="15" s="1"/>
  <c r="I7" i="15"/>
  <c r="J7" i="15" s="1"/>
  <c r="L7" i="15"/>
  <c r="M7" i="15" s="1"/>
  <c r="N7" i="15"/>
  <c r="R7" i="15"/>
  <c r="S7" i="15" s="1"/>
  <c r="AG7" i="15"/>
  <c r="C8" i="15"/>
  <c r="D8" i="15" s="1"/>
  <c r="F8" i="15"/>
  <c r="G8" i="15" s="1"/>
  <c r="I8" i="15"/>
  <c r="J8" i="15" s="1"/>
  <c r="L8" i="15"/>
  <c r="M8" i="15" s="1"/>
  <c r="N8" i="15"/>
  <c r="R8" i="15"/>
  <c r="S8" i="15" s="1"/>
  <c r="AG8" i="15"/>
  <c r="C9" i="15"/>
  <c r="D9" i="15" s="1"/>
  <c r="F9" i="15"/>
  <c r="G9" i="15" s="1"/>
  <c r="I9" i="15"/>
  <c r="J9" i="15" s="1"/>
  <c r="L9" i="15"/>
  <c r="M9" i="15" s="1"/>
  <c r="N9" i="15"/>
  <c r="O9" i="15"/>
  <c r="P9" i="15" s="1"/>
  <c r="R9" i="15"/>
  <c r="S9" i="15"/>
  <c r="AG9" i="15"/>
  <c r="C10" i="15"/>
  <c r="D10" i="15" s="1"/>
  <c r="F10" i="15"/>
  <c r="G10" i="15" s="1"/>
  <c r="I10" i="15"/>
  <c r="J10" i="15" s="1"/>
  <c r="L10" i="15"/>
  <c r="M10" i="15" s="1"/>
  <c r="N10" i="15"/>
  <c r="R10" i="15"/>
  <c r="S10" i="15" s="1"/>
  <c r="AG10" i="15"/>
  <c r="C11" i="15"/>
  <c r="D11" i="15" s="1"/>
  <c r="F11" i="15"/>
  <c r="G11" i="15" s="1"/>
  <c r="I11" i="15"/>
  <c r="J11" i="15" s="1"/>
  <c r="L11" i="15"/>
  <c r="M11" i="15" s="1"/>
  <c r="N11" i="15"/>
  <c r="R11" i="15"/>
  <c r="S11" i="15" s="1"/>
  <c r="AG11" i="15"/>
  <c r="AH11" i="15" s="1"/>
  <c r="C12" i="15"/>
  <c r="D12" i="15" s="1"/>
  <c r="F12" i="15"/>
  <c r="G12" i="15" s="1"/>
  <c r="I12" i="15"/>
  <c r="J12" i="15" s="1"/>
  <c r="L12" i="15"/>
  <c r="M12" i="15"/>
  <c r="N12" i="15"/>
  <c r="R12" i="15"/>
  <c r="S12" i="15" s="1"/>
  <c r="C13" i="15"/>
  <c r="D13" i="15" s="1"/>
  <c r="F13" i="15"/>
  <c r="G13" i="15" s="1"/>
  <c r="I13" i="15"/>
  <c r="J13" i="15" s="1"/>
  <c r="L13" i="15"/>
  <c r="M13" i="15" s="1"/>
  <c r="N13" i="15"/>
  <c r="R13" i="15"/>
  <c r="S13" i="15"/>
  <c r="C14" i="15"/>
  <c r="D14" i="15" s="1"/>
  <c r="F14" i="15"/>
  <c r="G14" i="15" s="1"/>
  <c r="I14" i="15"/>
  <c r="J14" i="15" s="1"/>
  <c r="L14" i="15"/>
  <c r="M14" i="15" s="1"/>
  <c r="N14" i="15"/>
  <c r="R14" i="15"/>
  <c r="S14" i="15"/>
  <c r="C15" i="15"/>
  <c r="D15" i="15" s="1"/>
  <c r="F15" i="15"/>
  <c r="G15" i="15" s="1"/>
  <c r="I15" i="15"/>
  <c r="J15" i="15" s="1"/>
  <c r="L15" i="15"/>
  <c r="M15" i="15" s="1"/>
  <c r="N15" i="15"/>
  <c r="R15" i="15"/>
  <c r="S15" i="15" s="1"/>
  <c r="C16" i="15"/>
  <c r="D16" i="15" s="1"/>
  <c r="F16" i="15"/>
  <c r="G16" i="15" s="1"/>
  <c r="I16" i="15"/>
  <c r="J16" i="15" s="1"/>
  <c r="L16" i="15"/>
  <c r="M16" i="15" s="1"/>
  <c r="N16" i="15"/>
  <c r="R16" i="15"/>
  <c r="S16" i="15" s="1"/>
  <c r="C17" i="15"/>
  <c r="D17" i="15" s="1"/>
  <c r="F17" i="15"/>
  <c r="G17" i="15" s="1"/>
  <c r="I17" i="15"/>
  <c r="J17" i="15" s="1"/>
  <c r="L17" i="15"/>
  <c r="M17" i="15" s="1"/>
  <c r="R17" i="15"/>
  <c r="S17" i="15" s="1"/>
  <c r="C18" i="15"/>
  <c r="D18" i="15" s="1"/>
  <c r="F18" i="15"/>
  <c r="G18" i="15" s="1"/>
  <c r="I18" i="15"/>
  <c r="J18" i="15" s="1"/>
  <c r="L18" i="15"/>
  <c r="M18" i="15" s="1"/>
  <c r="R18" i="15"/>
  <c r="S18" i="15" s="1"/>
  <c r="C19" i="15"/>
  <c r="D19" i="15" s="1"/>
  <c r="F19" i="15"/>
  <c r="G19" i="15" s="1"/>
  <c r="I19" i="15"/>
  <c r="J19" i="15" s="1"/>
  <c r="L19" i="15"/>
  <c r="M19" i="15" s="1"/>
  <c r="R19" i="15"/>
  <c r="S19" i="15" s="1"/>
  <c r="C20" i="15"/>
  <c r="D20" i="15" s="1"/>
  <c r="F20" i="15"/>
  <c r="G20" i="15" s="1"/>
  <c r="I20" i="15"/>
  <c r="J20" i="15" s="1"/>
  <c r="L20" i="15"/>
  <c r="M20" i="15" s="1"/>
  <c r="N20" i="15"/>
  <c r="R20" i="15"/>
  <c r="S20" i="15" s="1"/>
  <c r="O11" i="15" l="1"/>
  <c r="AH8" i="15"/>
  <c r="AH5" i="15"/>
  <c r="O15" i="15"/>
  <c r="P15" i="15" s="1"/>
  <c r="O13" i="15"/>
  <c r="P13" i="15" s="1"/>
  <c r="O7" i="15"/>
  <c r="P7" i="15" s="1"/>
  <c r="O5" i="15"/>
  <c r="P5" i="15" s="1"/>
  <c r="AH6" i="15"/>
  <c r="O12" i="15"/>
  <c r="P12" i="15" s="1"/>
  <c r="AH9" i="15"/>
  <c r="O10" i="15"/>
  <c r="AI10" i="15" s="1"/>
  <c r="O16" i="15"/>
  <c r="P16" i="15" s="1"/>
  <c r="O17" i="15"/>
  <c r="P17" i="15" s="1"/>
  <c r="O8" i="15"/>
  <c r="P8" i="15" s="1"/>
  <c r="M33" i="12"/>
  <c r="N33" i="12" s="1"/>
  <c r="R33" i="12"/>
  <c r="S33" i="12" s="1"/>
  <c r="O14" i="15"/>
  <c r="P14" i="15" s="1"/>
  <c r="AH7" i="15"/>
  <c r="AI8" i="15"/>
  <c r="AI6" i="15"/>
  <c r="P6" i="15"/>
  <c r="AI11" i="15"/>
  <c r="P11" i="15"/>
  <c r="AI7" i="15"/>
  <c r="AH10" i="15"/>
  <c r="O18" i="15"/>
  <c r="P18" i="15" s="1"/>
  <c r="O20" i="15"/>
  <c r="P20" i="15" s="1"/>
  <c r="O19" i="15"/>
  <c r="P19" i="15" s="1"/>
  <c r="AI9" i="15"/>
  <c r="AI5" i="15" l="1"/>
  <c r="P10" i="15"/>
  <c r="P49" i="12"/>
  <c r="P45" i="12"/>
  <c r="P38" i="12"/>
  <c r="P34" i="12"/>
  <c r="G24" i="1"/>
  <c r="J40" i="10"/>
  <c r="K43" i="10"/>
  <c r="J43" i="10"/>
  <c r="I43" i="10"/>
  <c r="H43" i="10"/>
  <c r="L42" i="10"/>
  <c r="L41" i="10"/>
  <c r="K40" i="10"/>
  <c r="I40" i="10"/>
  <c r="H40" i="10"/>
  <c r="L39" i="10"/>
  <c r="L38" i="10"/>
  <c r="K49" i="12"/>
  <c r="J49" i="12"/>
  <c r="I49" i="12"/>
  <c r="H49" i="12"/>
  <c r="L48" i="12"/>
  <c r="L47" i="12"/>
  <c r="L46" i="12"/>
  <c r="M46" i="12" s="1"/>
  <c r="K45" i="12"/>
  <c r="J45" i="12"/>
  <c r="I45" i="12"/>
  <c r="H45" i="12"/>
  <c r="L44" i="12"/>
  <c r="M44" i="12" s="1"/>
  <c r="L43" i="12"/>
  <c r="L35" i="12"/>
  <c r="L36" i="12"/>
  <c r="L37" i="12"/>
  <c r="L32" i="12"/>
  <c r="I38" i="12"/>
  <c r="J38" i="12"/>
  <c r="K38" i="12"/>
  <c r="H38" i="12"/>
  <c r="I34" i="12"/>
  <c r="I39" i="12" s="1"/>
  <c r="J34" i="12"/>
  <c r="J39" i="12" s="1"/>
  <c r="K34" i="12"/>
  <c r="K39" i="12" s="1"/>
  <c r="H34" i="12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18" i="5"/>
  <c r="K120" i="5"/>
  <c r="I118" i="5"/>
  <c r="I110" i="5"/>
  <c r="I103" i="5"/>
  <c r="I95" i="5"/>
  <c r="I87" i="5"/>
  <c r="J52" i="5"/>
  <c r="K52" i="5" s="1"/>
  <c r="P122" i="3"/>
  <c r="AT116" i="3"/>
  <c r="AT115" i="3"/>
  <c r="AS115" i="3"/>
  <c r="AR115" i="3"/>
  <c r="AE112" i="3"/>
  <c r="AD112" i="3"/>
  <c r="AE110" i="3"/>
  <c r="AD110" i="3" s="1"/>
  <c r="AE109" i="3"/>
  <c r="AD109" i="3" s="1"/>
  <c r="AW108" i="3"/>
  <c r="AV108" i="3"/>
  <c r="AU108" i="3"/>
  <c r="AT108" i="3"/>
  <c r="AS108" i="3"/>
  <c r="AR108" i="3"/>
  <c r="AQ108" i="3"/>
  <c r="AP108" i="3"/>
  <c r="AO108" i="3"/>
  <c r="AE108" i="3"/>
  <c r="AD108" i="3" s="1"/>
  <c r="AW107" i="3"/>
  <c r="AV107" i="3"/>
  <c r="AU107" i="3"/>
  <c r="AT107" i="3"/>
  <c r="AS107" i="3"/>
  <c r="AR107" i="3"/>
  <c r="AQ107" i="3"/>
  <c r="AP107" i="3"/>
  <c r="AO107" i="3"/>
  <c r="AE107" i="3"/>
  <c r="AD107" i="3" s="1"/>
  <c r="AE106" i="3"/>
  <c r="AD106" i="3" s="1"/>
  <c r="AE105" i="3"/>
  <c r="AD105" i="3" s="1"/>
  <c r="AE104" i="3"/>
  <c r="AD104" i="3" s="1"/>
  <c r="AE103" i="3"/>
  <c r="AD103" i="3" s="1"/>
  <c r="AE102" i="3"/>
  <c r="AD102" i="3" s="1"/>
  <c r="AE101" i="3"/>
  <c r="AD101" i="3" s="1"/>
  <c r="AE100" i="3"/>
  <c r="AD100" i="3" s="1"/>
  <c r="AE99" i="3"/>
  <c r="AD99" i="3" s="1"/>
  <c r="AE98" i="3"/>
  <c r="AD98" i="3" s="1"/>
  <c r="AE97" i="3"/>
  <c r="AD97" i="3" s="1"/>
  <c r="AE96" i="3"/>
  <c r="AD96" i="3" s="1"/>
  <c r="AE95" i="3"/>
  <c r="AD95" i="3" s="1"/>
  <c r="AI94" i="3"/>
  <c r="AH94" i="3"/>
  <c r="AE94" i="3"/>
  <c r="AD94" i="3" s="1"/>
  <c r="H17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M19" i="7"/>
  <c r="N19" i="7" s="1"/>
  <c r="Q19" i="7"/>
  <c r="R19" i="7" s="1"/>
  <c r="R20" i="7" s="1"/>
  <c r="H4" i="7" s="1"/>
  <c r="H5" i="7" s="1"/>
  <c r="H6" i="7" s="1"/>
  <c r="H7" i="7" s="1"/>
  <c r="H8" i="7" s="1"/>
  <c r="M19" i="6"/>
  <c r="N19" i="6" s="1"/>
  <c r="N20" i="6" s="1"/>
  <c r="M47" i="12" l="1"/>
  <c r="N47" i="12" s="1"/>
  <c r="M38" i="10"/>
  <c r="N38" i="10" s="1"/>
  <c r="M42" i="10"/>
  <c r="N42" i="10" s="1"/>
  <c r="M43" i="12"/>
  <c r="N43" i="12" s="1"/>
  <c r="M48" i="12"/>
  <c r="N48" i="12" s="1"/>
  <c r="M39" i="10"/>
  <c r="N39" i="10" s="1"/>
  <c r="M41" i="10"/>
  <c r="N41" i="10" s="1"/>
  <c r="L38" i="12"/>
  <c r="M38" i="12" s="1"/>
  <c r="P39" i="12"/>
  <c r="N20" i="7"/>
  <c r="E4" i="7" s="1"/>
  <c r="I120" i="5"/>
  <c r="J54" i="5" s="1"/>
  <c r="AO120" i="3"/>
  <c r="P120" i="3" s="1"/>
  <c r="P123" i="3" s="1"/>
  <c r="H9" i="7"/>
  <c r="H4" i="6"/>
  <c r="H5" i="6" s="1"/>
  <c r="H6" i="6" s="1"/>
  <c r="J59" i="5"/>
  <c r="O35" i="12"/>
  <c r="M35" i="12"/>
  <c r="N35" i="12" s="1"/>
  <c r="O37" i="12"/>
  <c r="M37" i="12"/>
  <c r="N37" i="12" s="1"/>
  <c r="O44" i="12"/>
  <c r="N44" i="12"/>
  <c r="O32" i="12"/>
  <c r="M32" i="12"/>
  <c r="N32" i="12" s="1"/>
  <c r="N38" i="12"/>
  <c r="D3" i="12" s="1"/>
  <c r="O36" i="12"/>
  <c r="M36" i="12"/>
  <c r="N36" i="12" s="1"/>
  <c r="O46" i="12"/>
  <c r="N46" i="12"/>
  <c r="P50" i="12"/>
  <c r="J60" i="5"/>
  <c r="K61" i="5"/>
  <c r="J57" i="5"/>
  <c r="J61" i="5"/>
  <c r="K60" i="5"/>
  <c r="AD111" i="3"/>
  <c r="J58" i="5"/>
  <c r="K59" i="5"/>
  <c r="L59" i="5" s="1"/>
  <c r="K57" i="5"/>
  <c r="K58" i="5"/>
  <c r="O47" i="12"/>
  <c r="O43" i="12"/>
  <c r="O48" i="12"/>
  <c r="L34" i="12"/>
  <c r="K44" i="10"/>
  <c r="L43" i="10"/>
  <c r="J44" i="10"/>
  <c r="I44" i="10"/>
  <c r="H44" i="10"/>
  <c r="L40" i="10"/>
  <c r="K50" i="12"/>
  <c r="L49" i="12"/>
  <c r="M49" i="12" s="1"/>
  <c r="H50" i="12"/>
  <c r="I50" i="12"/>
  <c r="J50" i="12"/>
  <c r="L45" i="12"/>
  <c r="M45" i="12" s="1"/>
  <c r="H39" i="12"/>
  <c r="L39" i="12" s="1"/>
  <c r="AE111" i="3"/>
  <c r="BN85" i="3"/>
  <c r="AH112" i="3"/>
  <c r="P121" i="3" s="1"/>
  <c r="M40" i="10" l="1"/>
  <c r="N40" i="10" s="1"/>
  <c r="M43" i="10"/>
  <c r="N43" i="10" s="1"/>
  <c r="L58" i="5"/>
  <c r="E7" i="5" s="1"/>
  <c r="E12" i="5" s="1"/>
  <c r="E17" i="5" s="1"/>
  <c r="E22" i="5" s="1"/>
  <c r="E27" i="5" s="1"/>
  <c r="E32" i="5" s="1"/>
  <c r="E37" i="5" s="1"/>
  <c r="E42" i="5" s="1"/>
  <c r="H7" i="6"/>
  <c r="H8" i="6" s="1"/>
  <c r="H9" i="6" s="1"/>
  <c r="H10" i="6" s="1"/>
  <c r="H11" i="6" s="1"/>
  <c r="H12" i="6" s="1"/>
  <c r="H13" i="6" s="1"/>
  <c r="H14" i="6" s="1"/>
  <c r="H15" i="6" s="1"/>
  <c r="D17" i="10"/>
  <c r="J53" i="5"/>
  <c r="K53" i="5" s="1"/>
  <c r="L53" i="5" s="1"/>
  <c r="E5" i="7"/>
  <c r="E6" i="7" s="1"/>
  <c r="E7" i="7" s="1"/>
  <c r="E8" i="7" s="1"/>
  <c r="E9" i="7" s="1"/>
  <c r="E10" i="7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H10" i="7"/>
  <c r="L61" i="5"/>
  <c r="E5" i="5"/>
  <c r="E10" i="5" s="1"/>
  <c r="E15" i="5" s="1"/>
  <c r="E20" i="5" s="1"/>
  <c r="E25" i="5" s="1"/>
  <c r="E30" i="5" s="1"/>
  <c r="E35" i="5" s="1"/>
  <c r="E40" i="5" s="1"/>
  <c r="E45" i="5" s="1"/>
  <c r="E50" i="5" s="1"/>
  <c r="E55" i="5" s="1"/>
  <c r="E60" i="5" s="1"/>
  <c r="E65" i="5" s="1"/>
  <c r="D15" i="10"/>
  <c r="K63" i="5"/>
  <c r="D16" i="10"/>
  <c r="Q47" i="12"/>
  <c r="R47" i="12" s="1"/>
  <c r="S47" i="12" s="1"/>
  <c r="Q44" i="12"/>
  <c r="R44" i="12" s="1"/>
  <c r="S44" i="12" s="1"/>
  <c r="Q36" i="12"/>
  <c r="R36" i="12" s="1"/>
  <c r="S36" i="12" s="1"/>
  <c r="Q48" i="12"/>
  <c r="R48" i="12" s="1"/>
  <c r="S48" i="12" s="1"/>
  <c r="Q46" i="12"/>
  <c r="Q49" i="12" s="1"/>
  <c r="R49" i="12" s="1"/>
  <c r="S49" i="12" s="1"/>
  <c r="Q43" i="12"/>
  <c r="Q32" i="12"/>
  <c r="R32" i="12" s="1"/>
  <c r="Q37" i="12"/>
  <c r="R37" i="12" s="1"/>
  <c r="S37" i="12" s="1"/>
  <c r="Q35" i="12"/>
  <c r="R35" i="12" s="1"/>
  <c r="S35" i="12" s="1"/>
  <c r="O38" i="12"/>
  <c r="O39" i="12"/>
  <c r="M39" i="12"/>
  <c r="N39" i="12" s="1"/>
  <c r="O45" i="12"/>
  <c r="N45" i="12"/>
  <c r="O49" i="12"/>
  <c r="N49" i="12"/>
  <c r="O34" i="12"/>
  <c r="M34" i="12"/>
  <c r="N34" i="12" s="1"/>
  <c r="L60" i="5"/>
  <c r="L57" i="5"/>
  <c r="J63" i="5"/>
  <c r="L44" i="10"/>
  <c r="L50" i="12"/>
  <c r="M50" i="12" s="1"/>
  <c r="K54" i="5"/>
  <c r="L54" i="5" s="1"/>
  <c r="D3" i="10" l="1"/>
  <c r="D5" i="10"/>
  <c r="D13" i="10"/>
  <c r="D6" i="10"/>
  <c r="D14" i="10"/>
  <c r="D4" i="10"/>
  <c r="D12" i="10"/>
  <c r="D9" i="10"/>
  <c r="D11" i="10"/>
  <c r="D10" i="10"/>
  <c r="D7" i="10"/>
  <c r="D8" i="10"/>
  <c r="M44" i="10"/>
  <c r="N44" i="10" s="1"/>
  <c r="E3" i="5"/>
  <c r="E8" i="5" s="1"/>
  <c r="D15" i="12"/>
  <c r="E47" i="5"/>
  <c r="E52" i="5" s="1"/>
  <c r="E57" i="5" s="1"/>
  <c r="E62" i="5" s="1"/>
  <c r="E67" i="5" s="1"/>
  <c r="H11" i="7"/>
  <c r="E11" i="7"/>
  <c r="E6" i="5"/>
  <c r="E11" i="5" s="1"/>
  <c r="E16" i="5" s="1"/>
  <c r="E21" i="5" s="1"/>
  <c r="E26" i="5" s="1"/>
  <c r="E31" i="5" s="1"/>
  <c r="E36" i="5" s="1"/>
  <c r="E41" i="5" s="1"/>
  <c r="E46" i="5" s="1"/>
  <c r="E51" i="5" s="1"/>
  <c r="E56" i="5" s="1"/>
  <c r="E61" i="5" s="1"/>
  <c r="E66" i="5" s="1"/>
  <c r="E4" i="5"/>
  <c r="E9" i="5" s="1"/>
  <c r="E14" i="5" s="1"/>
  <c r="E19" i="5" s="1"/>
  <c r="E24" i="5" s="1"/>
  <c r="E29" i="5" s="1"/>
  <c r="E34" i="5" s="1"/>
  <c r="E39" i="5" s="1"/>
  <c r="E44" i="5" s="1"/>
  <c r="E49" i="5" s="1"/>
  <c r="E54" i="5" s="1"/>
  <c r="E59" i="5" s="1"/>
  <c r="E64" i="5" s="1"/>
  <c r="R46" i="12"/>
  <c r="S46" i="12" s="1"/>
  <c r="S32" i="12"/>
  <c r="Q34" i="12"/>
  <c r="R34" i="12" s="1"/>
  <c r="S34" i="12" s="1"/>
  <c r="Q38" i="12"/>
  <c r="R38" i="12" s="1"/>
  <c r="S38" i="12" s="1"/>
  <c r="D12" i="12" s="1"/>
  <c r="Q45" i="12"/>
  <c r="R45" i="12" s="1"/>
  <c r="S45" i="12" s="1"/>
  <c r="R43" i="12"/>
  <c r="S43" i="12" s="1"/>
  <c r="D20" i="12"/>
  <c r="D24" i="12"/>
  <c r="D23" i="12"/>
  <c r="D17" i="12"/>
  <c r="D21" i="12"/>
  <c r="D25" i="12"/>
  <c r="D16" i="12"/>
  <c r="D18" i="12"/>
  <c r="D22" i="12"/>
  <c r="D26" i="12"/>
  <c r="D19" i="12"/>
  <c r="O50" i="12"/>
  <c r="N50" i="12"/>
  <c r="Q50" i="12"/>
  <c r="R50" i="12" s="1"/>
  <c r="S50" i="12" s="1"/>
  <c r="Z49" i="14"/>
  <c r="Z50" i="14" s="1"/>
  <c r="Y49" i="14"/>
  <c r="Y50" i="14" s="1"/>
  <c r="X49" i="14"/>
  <c r="X50" i="14" s="1"/>
  <c r="W49" i="14"/>
  <c r="W50" i="14" s="1"/>
  <c r="U49" i="14"/>
  <c r="U50" i="14" s="1"/>
  <c r="T49" i="14"/>
  <c r="T50" i="14" s="1"/>
  <c r="S49" i="14"/>
  <c r="S50" i="14" s="1"/>
  <c r="R49" i="14"/>
  <c r="R50" i="14" s="1"/>
  <c r="P49" i="14"/>
  <c r="P50" i="14" s="1"/>
  <c r="O49" i="14"/>
  <c r="O50" i="14" s="1"/>
  <c r="N49" i="14"/>
  <c r="N50" i="14" s="1"/>
  <c r="M49" i="14"/>
  <c r="M50" i="14" s="1"/>
  <c r="K49" i="14"/>
  <c r="K50" i="14" s="1"/>
  <c r="J49" i="14"/>
  <c r="J50" i="14" s="1"/>
  <c r="I49" i="14"/>
  <c r="I50" i="14" s="1"/>
  <c r="H49" i="14"/>
  <c r="H50" i="14" s="1"/>
  <c r="E72" i="5" l="1"/>
  <c r="E73" i="5" s="1"/>
  <c r="E74" i="5" s="1"/>
  <c r="E13" i="5"/>
  <c r="E18" i="5" s="1"/>
  <c r="E23" i="5" s="1"/>
  <c r="E28" i="5" s="1"/>
  <c r="E33" i="5" s="1"/>
  <c r="E38" i="5" s="1"/>
  <c r="E43" i="5" s="1"/>
  <c r="E48" i="5" s="1"/>
  <c r="E53" i="5" s="1"/>
  <c r="E58" i="5" s="1"/>
  <c r="E63" i="5" s="1"/>
  <c r="AA50" i="14"/>
  <c r="H27" i="14" s="1"/>
  <c r="I27" i="14" s="1"/>
  <c r="H12" i="7"/>
  <c r="E12" i="7"/>
  <c r="D18" i="10"/>
  <c r="D4" i="12"/>
  <c r="D10" i="12"/>
  <c r="D9" i="12"/>
  <c r="Q39" i="12"/>
  <c r="R39" i="12" s="1"/>
  <c r="S39" i="12" s="1"/>
  <c r="D8" i="12"/>
  <c r="D11" i="12"/>
  <c r="D6" i="12"/>
  <c r="D5" i="12"/>
  <c r="D14" i="12"/>
  <c r="D13" i="12"/>
  <c r="D7" i="12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P73" i="3"/>
  <c r="D4" i="14" l="1"/>
  <c r="D8" i="14"/>
  <c r="D12" i="14"/>
  <c r="D5" i="14"/>
  <c r="D9" i="14"/>
  <c r="D13" i="14"/>
  <c r="D7" i="14"/>
  <c r="D15" i="14"/>
  <c r="D6" i="14"/>
  <c r="D10" i="14"/>
  <c r="D14" i="14"/>
  <c r="D11" i="14"/>
  <c r="H13" i="7"/>
  <c r="E13" i="7"/>
  <c r="D19" i="10"/>
  <c r="BN35" i="3"/>
  <c r="H16" i="3" s="1"/>
  <c r="H14" i="7" l="1"/>
  <c r="H15" i="7" s="1"/>
  <c r="E14" i="7"/>
  <c r="E15" i="7" s="1"/>
  <c r="D20" i="10"/>
  <c r="AT67" i="3"/>
  <c r="AT66" i="3"/>
  <c r="AS66" i="3"/>
  <c r="AR66" i="3"/>
  <c r="AW59" i="3"/>
  <c r="AV59" i="3"/>
  <c r="AU59" i="3"/>
  <c r="AT59" i="3"/>
  <c r="AS59" i="3"/>
  <c r="AR59" i="3"/>
  <c r="AQ59" i="3"/>
  <c r="AP59" i="3"/>
  <c r="AO59" i="3"/>
  <c r="AW58" i="3"/>
  <c r="AV58" i="3"/>
  <c r="AU58" i="3"/>
  <c r="AT58" i="3"/>
  <c r="AS58" i="3"/>
  <c r="AR58" i="3"/>
  <c r="AQ58" i="3"/>
  <c r="AP58" i="3"/>
  <c r="AO58" i="3"/>
  <c r="D21" i="10" l="1"/>
  <c r="O71" i="3"/>
  <c r="AO71" i="3"/>
  <c r="P71" i="3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N34" i="3"/>
  <c r="H3" i="3" s="1"/>
  <c r="H17" i="8"/>
  <c r="H19" i="8"/>
  <c r="H20" i="8"/>
  <c r="H21" i="8"/>
  <c r="H22" i="8"/>
  <c r="H23" i="8"/>
  <c r="H24" i="8"/>
  <c r="H27" i="8"/>
  <c r="H28" i="8"/>
  <c r="H16" i="8"/>
  <c r="H18" i="8"/>
  <c r="H25" i="8"/>
  <c r="H26" i="8"/>
  <c r="H15" i="8"/>
  <c r="H4" i="8"/>
  <c r="H5" i="8"/>
  <c r="H6" i="8"/>
  <c r="H7" i="8"/>
  <c r="H8" i="8"/>
  <c r="H9" i="8"/>
  <c r="H10" i="8"/>
  <c r="H11" i="8"/>
  <c r="H12" i="8"/>
  <c r="H13" i="8"/>
  <c r="H14" i="8"/>
  <c r="H3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33" i="8"/>
  <c r="Q18" i="7"/>
  <c r="R18" i="7" s="1"/>
  <c r="H3" i="7" s="1"/>
  <c r="M18" i="7"/>
  <c r="N18" i="7" s="1"/>
  <c r="M18" i="6"/>
  <c r="N18" i="6" s="1"/>
  <c r="H3" i="6" s="1"/>
  <c r="D3" i="14" s="1"/>
  <c r="AE63" i="3"/>
  <c r="AD63" i="3"/>
  <c r="AE62" i="3"/>
  <c r="AD62" i="3"/>
  <c r="AE61" i="3"/>
  <c r="AD61" i="3"/>
  <c r="AE60" i="3"/>
  <c r="AD60" i="3"/>
  <c r="AE59" i="3"/>
  <c r="AD59" i="3"/>
  <c r="AE58" i="3"/>
  <c r="AD58" i="3"/>
  <c r="AE57" i="3"/>
  <c r="AD57" i="3"/>
  <c r="AE56" i="3"/>
  <c r="AD56" i="3"/>
  <c r="AE55" i="3"/>
  <c r="AD55" i="3"/>
  <c r="AE54" i="3"/>
  <c r="AD54" i="3"/>
  <c r="AE53" i="3"/>
  <c r="AD53" i="3"/>
  <c r="AE52" i="3"/>
  <c r="AD52" i="3"/>
  <c r="AE51" i="3"/>
  <c r="AD51" i="3"/>
  <c r="AE50" i="3"/>
  <c r="AD50" i="3"/>
  <c r="AE49" i="3"/>
  <c r="AD49" i="3"/>
  <c r="AE48" i="3"/>
  <c r="AD48" i="3"/>
  <c r="AE47" i="3"/>
  <c r="AD47" i="3"/>
  <c r="AE46" i="3"/>
  <c r="AD46" i="3"/>
  <c r="AI45" i="3"/>
  <c r="AH45" i="3"/>
  <c r="AE45" i="3"/>
  <c r="AD45" i="3"/>
  <c r="AE44" i="3"/>
  <c r="AD44" i="3"/>
  <c r="AE43" i="3"/>
  <c r="AD43" i="3"/>
  <c r="AE42" i="3"/>
  <c r="AD42" i="3"/>
  <c r="AE41" i="3"/>
  <c r="AD41" i="3"/>
  <c r="AE40" i="3"/>
  <c r="AD40" i="3"/>
  <c r="AE39" i="3"/>
  <c r="AD39" i="3"/>
  <c r="AE38" i="3"/>
  <c r="AD38" i="3"/>
  <c r="AE37" i="3"/>
  <c r="AD37" i="3"/>
  <c r="E3" i="7" l="1"/>
  <c r="D22" i="10"/>
  <c r="BN36" i="3"/>
  <c r="AH63" i="3"/>
  <c r="P72" i="3" s="1"/>
  <c r="O72" i="3"/>
  <c r="P74" i="3" l="1"/>
  <c r="E3" i="3" s="1"/>
  <c r="D23" i="10"/>
  <c r="D24" i="10" l="1"/>
  <c r="D25" i="10" l="1"/>
  <c r="D26" i="10"/>
</calcChain>
</file>

<file path=xl/comments1.xml><?xml version="1.0" encoding="utf-8"?>
<comments xmlns="http://schemas.openxmlformats.org/spreadsheetml/2006/main">
  <authors>
    <author>AS</author>
  </authors>
  <commentList>
    <comment ref="W2" authorId="0" shapeId="0">
      <text>
        <r>
          <rPr>
            <sz val="9"/>
            <color rgb="FF000000"/>
            <rFont val="Tahoma"/>
            <family val="2"/>
            <charset val="1"/>
          </rPr>
          <t>Difference between long term inflation targets for INR (4%) and USD (2%). Needs to be in sync with this assumption in other files such as ECT_EfficiencyCost.xlsx.</t>
        </r>
      </text>
    </comment>
    <comment ref="T3" authorId="0" shapeId="0">
      <text>
        <r>
          <rPr>
            <sz val="9"/>
            <color rgb="FF000000"/>
            <rFont val="Tahoma"/>
            <family val="2"/>
            <charset val="1"/>
          </rPr>
          <t>Based on historic domestic fuel price escalation as indicated by escalation rates published by CERC. This row should be in sync with the Assumptions sheet in ECT_EfficiencyCost.xlsx.</t>
        </r>
      </text>
    </comment>
    <comment ref="U3" authorId="0" shapeId="0">
      <text>
        <r>
          <rPr>
            <sz val="9"/>
            <color rgb="FF000000"/>
            <rFont val="Tahoma"/>
            <family val="2"/>
            <charset val="1"/>
          </rPr>
          <t>Based on historic domestic fuel price escalation as indicated by escalation rates published by CERC. This row should be in sync with the Assumptions sheet in ECT_EfficiencyCost.xlsx.</t>
        </r>
      </text>
    </comment>
  </commentList>
</comments>
</file>

<file path=xl/comments2.xml><?xml version="1.0" encoding="utf-8"?>
<comments xmlns="http://schemas.openxmlformats.org/spreadsheetml/2006/main">
  <authors>
    <author>Narendra Pai</author>
    <author>Atul Kharabe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GST + Royalty 
+
DMF
+
NMET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GST Compensation Cess 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>Customs + GST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GST Compensation Cess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3" authorId="1" shapeId="0">
      <text>
        <r>
          <rPr>
            <sz val="9"/>
            <color indexed="81"/>
            <rFont val="Tahoma"/>
            <family val="2"/>
          </rPr>
          <t xml:space="preserve">Source: https://mines.gov.in/writereaddata/UploadFile/DMFJharkhand18012019.pdf
</t>
        </r>
      </text>
    </comment>
    <comment ref="AT67" authorId="0" shapeId="0">
      <text>
        <r>
          <rPr>
            <sz val="9"/>
            <color indexed="81"/>
            <rFont val="Tahoma"/>
            <family val="2"/>
          </rPr>
          <t>Utility+Captive</t>
        </r>
      </text>
    </comment>
    <comment ref="P73" authorId="0" shapeId="0">
      <text>
        <r>
          <rPr>
            <sz val="9"/>
            <color indexed="81"/>
            <rFont val="Tahoma"/>
            <family val="2"/>
          </rPr>
          <t xml:space="preserve">
Assuming the higher unit price for the lowest grade of non-coking coal (i.e G17) as the price for Lignite </t>
        </r>
      </text>
    </comment>
    <comment ref="AT116" authorId="0" shapeId="0">
      <text>
        <r>
          <rPr>
            <sz val="9"/>
            <color indexed="81"/>
            <rFont val="Tahoma"/>
            <family val="2"/>
          </rPr>
          <t>Utility+Captive</t>
        </r>
      </text>
    </comment>
    <comment ref="P122" authorId="0" shapeId="0">
      <text>
        <r>
          <rPr>
            <sz val="9"/>
            <color indexed="81"/>
            <rFont val="Tahoma"/>
            <family val="2"/>
          </rPr>
          <t xml:space="preserve">Assuming the higher unit price for the lowest grade of non-coking coal (i.e G17) as the price for Lignite </t>
        </r>
      </text>
    </comment>
  </commentList>
</comments>
</file>

<file path=xl/comments3.xml><?xml version="1.0" encoding="utf-8"?>
<comments xmlns="http://schemas.openxmlformats.org/spreadsheetml/2006/main">
  <authors>
    <author>Narendra Pai</author>
    <author>AS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 xml:space="preserve">As per Petroleum Tax guide White paper 2018, which is a compilation of prevailing Rules. We take average of  Onland and Shallow royalty rates  for both oil and gas (10 (a)) 
https://www2.deloitte.com/content/dam/Deloitte/in/Documents/energy-resources/in-enr-petroleum-tax-guide-noexp.pdf 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PPAC Ready-Recknoer Table 8.16 (FY20) Table  8.18 (FY19)
</t>
        </r>
        <r>
          <rPr>
            <b/>
            <sz val="9"/>
            <color indexed="81"/>
            <rFont val="Tahoma"/>
            <family val="2"/>
          </rPr>
          <t xml:space="preserve">
Basic
cenvat duty</t>
        </r>
        <r>
          <rPr>
            <sz val="9"/>
            <color indexed="81"/>
            <rFont val="Tahoma"/>
            <family val="2"/>
          </rPr>
          <t xml:space="preserve">
Rs.1/MT+ Cess
@ 20% +Rs.50/
MT as NCCD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PPAC Ready-Recknoer Table 8.16 (FY20) Table  8.18 (FY19)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Basic customs
duty</t>
        </r>
        <r>
          <rPr>
            <sz val="9"/>
            <color indexed="81"/>
            <rFont val="Tahoma"/>
            <family val="2"/>
          </rPr>
          <t xml:space="preserve">
Rs.1/MT + Rs.
50/MT as NCCD
</t>
        </r>
        <r>
          <rPr>
            <b/>
            <sz val="9"/>
            <color indexed="81"/>
            <rFont val="Tahoma"/>
            <family val="2"/>
          </rPr>
          <t xml:space="preserve">
Additional
customs duty
(CVD)</t>
        </r>
        <r>
          <rPr>
            <sz val="9"/>
            <color indexed="81"/>
            <rFont val="Tahoma"/>
            <family val="2"/>
          </rPr>
          <t xml:space="preserve">
Rs.1/MT</t>
        </r>
      </text>
    </comment>
    <comment ref="M18" authorId="1" shapeId="0">
      <text>
        <r>
          <rPr>
            <sz val="9"/>
            <color rgb="FF000000"/>
            <rFont val="Tahoma"/>
            <family val="2"/>
            <charset val="1"/>
          </rPr>
          <t xml:space="preserve">p05, Petroleum stats 2018-19 
69.88 is the USD / barrel price
</t>
        </r>
      </text>
    </comment>
    <comment ref="M19" authorId="0" shapeId="0">
      <text>
        <r>
          <rPr>
            <sz val="9"/>
            <color indexed="81"/>
            <rFont val="Tahoma"/>
            <family val="2"/>
          </rPr>
          <t xml:space="preserve">$60.47/bbl page06 PNG stats 19-20
</t>
        </r>
      </text>
    </comment>
  </commentList>
</comments>
</file>

<file path=xl/comments4.xml><?xml version="1.0" encoding="utf-8"?>
<comments xmlns="http://schemas.openxmlformats.org/spreadsheetml/2006/main">
  <authors>
    <author>Narendra Pai</author>
    <author>AS</author>
    <author>ANIRUDDHA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 xml:space="preserve">As per Petroleum Tax guide White paper 2018, which is a compilation of prevailing Rules. We take average of  Onland and Shallow royalty rates  for both oil and gas (10 (a)) 
https://www2.deloitte.com/content/dam/Deloitte/in/Documents/energy-resources/in-enr-petroleum-tax-guide-noexp.pdf 
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PPAC Ready-Recknoer Table 8.16 (FY20) Table  8.18 (FY19)
Basic customs
duty
Liquefied Natural Gas (LNG) - 2.5% 
We have considered LNG for imports since 100% of imports reported in PNG Stats seem to be LNG </t>
        </r>
      </text>
    </comment>
    <comment ref="M18" authorId="1" shapeId="0">
      <text>
        <r>
          <rPr>
            <sz val="9"/>
            <color rgb="FF000000"/>
            <rFont val="Tahoma"/>
            <family val="2"/>
            <charset val="1"/>
          </rPr>
          <t xml:space="preserve">3 domestic prices listed on p 87 of Pet Stat for 2017-18
</t>
        </r>
        <r>
          <rPr>
            <sz val="9"/>
            <color rgb="FF000000"/>
            <rFont val="Tahoma"/>
            <family val="2"/>
            <charset val="1"/>
          </rPr>
          <t>3 domestic prices listed on p79 Table IV.2 of Pet Stat for 2018-19</t>
        </r>
      </text>
    </comment>
    <comment ref="M19" authorId="1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2 </t>
        </r>
        <r>
          <rPr>
            <sz val="9"/>
            <color rgb="FF000000"/>
            <rFont val="Tahoma"/>
            <family val="2"/>
            <charset val="1"/>
          </rPr>
          <t xml:space="preserve">domestic prices listed on p79 Table IV.2 of Pet Stat for 2019-20
</t>
        </r>
      </text>
    </comment>
    <comment ref="O19" authorId="0" shapeId="0">
      <text>
        <r>
          <rPr>
            <sz val="9"/>
            <color indexed="81"/>
            <rFont val="Tahoma"/>
            <family val="2"/>
          </rPr>
          <t xml:space="preserve">Table VI.1 PNG Stats FY20
</t>
        </r>
      </text>
    </comment>
    <comment ref="M29" authorId="2" shapeId="0">
      <text>
        <r>
          <rPr>
            <sz val="9"/>
            <color indexed="81"/>
            <rFont val="Tahoma"/>
            <family val="2"/>
          </rPr>
          <t>Non energy figures updated as per Pngstats 2019-20.
Non energy share reduced from ave 41% to 39%</t>
        </r>
      </text>
    </comment>
  </commentList>
</comments>
</file>

<file path=xl/comments5.xml><?xml version="1.0" encoding="utf-8"?>
<comments xmlns="http://schemas.openxmlformats.org/spreadsheetml/2006/main">
  <authors>
    <author>Narendra Pai</author>
  </authors>
  <commentList>
    <comment ref="L51" authorId="0" shapeId="0">
      <text>
        <r>
          <rPr>
            <sz val="9"/>
            <color indexed="81"/>
            <rFont val="Tahoma"/>
            <family val="2"/>
          </rPr>
          <t>https://www.cbic.gov.in/resources//htdocs-cbec/gst/GST%20RATE%20APPROVED%20BY%20GST%20Council-%206.10.2017.pdf;jsessionid=1E7F7627495267563A450D75C14D7EC3</t>
        </r>
      </text>
    </comment>
  </commentList>
</comments>
</file>

<file path=xl/comments6.xml><?xml version="1.0" encoding="utf-8"?>
<comments xmlns="http://schemas.openxmlformats.org/spreadsheetml/2006/main">
  <authors>
    <author>Narendra Pai</author>
  </authors>
  <commentList>
    <comment ref="H31" authorId="0" shapeId="0">
      <text>
        <r>
          <rPr>
            <sz val="9"/>
            <color indexed="81"/>
            <rFont val="Tahoma"/>
            <family val="2"/>
          </rPr>
          <t xml:space="preserve">http://petroleum.nic.in/sites/default/files/LPGDC.pdf (FY20 prices)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ATF_PP_OTHER" description="Connection to the 'ATF_PP_OTHER' query in the workbook." type="5" refreshedVersion="0" background="1">
    <dbPr connection="Provider=Microsoft.Mashup.OleDb.1;Data Source=$Workbook$;Location=ATF_PP_OTHER;Extended Properties=&quot;&quot;" command="SELECT * FROM [ATF_PP_OTHER]"/>
  </connection>
  <connection id="2" keepAlive="1" name="Query - BIOMASS_BIOGAS" description="Connection to the 'BIOMASS_BIOGAS' query in the workbook." type="5" refreshedVersion="0" background="1">
    <dbPr connection="Provider=Microsoft.Mashup.OleDb.1;Data Source=$Workbook$;Location=BIOMASS_BIOGAS;Extended Properties=&quot;&quot;" command="SELECT * FROM [BIOMASS_BIOGAS]"/>
  </connection>
  <connection id="3" keepAlive="1" name="Query - COAL" description="Connection to the 'COAL' query in the workbook." type="5" refreshedVersion="0" background="1">
    <dbPr connection="Provider=Microsoft.Mashup.OleDb.1;Data Source=$Workbook$;Location=COAL;Extended Properties=&quot;&quot;" command="SELECT * FROM [COAL]"/>
  </connection>
  <connection id="4" keepAlive="1" name="Query - COAL (2)" description="Connection to the 'COAL (2)' query in the workbook." type="5" refreshedVersion="0" background="1">
    <dbPr connection="Provider=Microsoft.Mashup.OleDb.1;Data Source=$Workbook$;Location=&quot;COAL (2)&quot;;Extended Properties=&quot;&quot;" command="SELECT * FROM [COAL (2)]"/>
  </connection>
  <connection id="5" keepAlive="1" name="Query - CRUDE" description="Connection to the 'CRUDE' query in the workbook." type="5" refreshedVersion="0" background="1">
    <dbPr connection="Provider=Microsoft.Mashup.OleDb.1;Data Source=$Workbook$;Location=CRUDE;Extended Properties=&quot;&quot;" command="SELECT * FROM [CRUDE]"/>
  </connection>
  <connection id="6" keepAlive="1" name="Query - DEC_Taxation" description="Connection to the 'DEC_Taxation' query in the workbook." type="5" refreshedVersion="6" background="1" saveData="1">
    <dbPr connection="Provider=Microsoft.Mashup.OleDb.1;Data Source=$Workbook$;Location=DEC_Taxation;Extended Properties=&quot;&quot;" command="SELECT * FROM [DEC_Taxation]"/>
  </connection>
  <connection id="7" keepAlive="1" name="Query - EC_Info_Granularity" description="Connection to the 'EC_Info_Granularity' query in the workbook." type="5" refreshedVersion="0" background="1">
    <dbPr connection="Provider=Microsoft.Mashup.OleDb.1;Data Source=$Workbook$;Location=EC_Info_Granularity;Extended Properties=&quot;&quot;" command="SELECT * FROM [EC_Info_Granularity]"/>
  </connection>
  <connection id="8" keepAlive="1" name="Query - ELECTRICITY" description="Connection to the 'ELECTRICITY' query in the workbook." type="5" refreshedVersion="0" background="1">
    <dbPr connection="Provider=Microsoft.Mashup.OleDb.1;Data Source=$Workbook$;Location=ELECTRICITY;Extended Properties=&quot;&quot;" command="SELECT * FROM [ELECTRICITY]"/>
  </connection>
  <connection id="9" keepAlive="1" name="Query - LPG" description="Connection to the 'LPG' query in the workbook." type="5" refreshedVersion="0" background="1">
    <dbPr connection="Provider=Microsoft.Mashup.OleDb.1;Data Source=$Workbook$;Location=LPG;Extended Properties=&quot;&quot;" command="SELECT * FROM [LPG]"/>
  </connection>
  <connection id="10" keepAlive="1" name="Query - MS_HSD" description="Connection to the 'MS_HSD' query in the workbook." type="5" refreshedVersion="0" background="1">
    <dbPr connection="Provider=Microsoft.Mashup.OleDb.1;Data Source=$Workbook$;Location=MS_HSD;Extended Properties=&quot;&quot;" command="SELECT * FROM [MS_HSD]"/>
  </connection>
  <connection id="11" keepAlive="1" name="Query - NATGAS" description="Connection to the 'NATGAS' query in the workbook." type="5" refreshedVersion="0" background="1">
    <dbPr connection="Provider=Microsoft.Mashup.OleDb.1;Data Source=$Workbook$;Location=NATGAS;Extended Properties=&quot;&quot;" command="SELECT * FROM [NATGAS]"/>
  </connection>
  <connection id="12" keepAlive="1" name="Query - PEC_Info" description="Connection to the 'PEC_Info' query in the workbook." type="5" refreshedVersion="6" background="1" saveData="1">
    <dbPr connection="Provider=Microsoft.Mashup.OleDb.1;Data Source=$Workbook$;Location=PEC_Info;Extended Properties=&quot;&quot;" command="SELECT * FROM [PEC_Info]"/>
  </connection>
  <connection id="13" keepAlive="1" name="Query - SG1_map" description="Connection to the 'SG1_map' query in the workbook." type="5" refreshedVersion="0" background="1">
    <dbPr connection="Provider=Microsoft.Mashup.OleDb.1;Data Source=$Workbook$;Location=SG1_map;Extended Properties=&quot;&quot;" command="SELECT * FROM [SG1_map]"/>
  </connection>
</connections>
</file>

<file path=xl/sharedStrings.xml><?xml version="1.0" encoding="utf-8"?>
<sst xmlns="http://schemas.openxmlformats.org/spreadsheetml/2006/main" count="2253" uniqueCount="526">
  <si>
    <t>EnergyCarrier</t>
  </si>
  <si>
    <t>GeographicGranularity</t>
  </si>
  <si>
    <t>TimeGranularity</t>
  </si>
  <si>
    <t>COKING_COAL</t>
  </si>
  <si>
    <t>SUBGEOGRAPHY1</t>
  </si>
  <si>
    <t>YEAR</t>
  </si>
  <si>
    <t>CRUDE</t>
  </si>
  <si>
    <t>MODELGEOGRAPHY</t>
  </si>
  <si>
    <t>NATGAS</t>
  </si>
  <si>
    <t>BIOGAS</t>
  </si>
  <si>
    <t>BIOMASS</t>
  </si>
  <si>
    <t>ELECTRICITY</t>
  </si>
  <si>
    <t>MS</t>
  </si>
  <si>
    <t>HSD</t>
  </si>
  <si>
    <t>LPG</t>
  </si>
  <si>
    <t>ATF</t>
  </si>
  <si>
    <t>PP_OTHER</t>
  </si>
  <si>
    <t>STEAM_COAL</t>
  </si>
  <si>
    <t>ER</t>
  </si>
  <si>
    <t>WR</t>
  </si>
  <si>
    <t>NR</t>
  </si>
  <si>
    <t>SR</t>
  </si>
  <si>
    <t>NER</t>
  </si>
  <si>
    <t>OUTPUT</t>
  </si>
  <si>
    <t>Year</t>
  </si>
  <si>
    <t>Crude Oil Price (Rs/bbl)</t>
  </si>
  <si>
    <t>Domestic Natural Gas Price in Rs/thousand scm</t>
  </si>
  <si>
    <t>Conversion Factors</t>
  </si>
  <si>
    <t>2018-19</t>
  </si>
  <si>
    <t>Mumbai</t>
  </si>
  <si>
    <t>Chennai</t>
  </si>
  <si>
    <t>Kolkata</t>
  </si>
  <si>
    <t>Crude Oil Price (000 Rs/tonne)</t>
  </si>
  <si>
    <t>Domestic Natural Gas Price in 000 Rs/mmscm</t>
  </si>
  <si>
    <t>Imported LNG 000Rs/mmscm</t>
  </si>
  <si>
    <t>SCM/ton of LNG</t>
  </si>
  <si>
    <t>Crude oil avg</t>
  </si>
  <si>
    <t>$/bbl</t>
  </si>
  <si>
    <t>Growth rate</t>
  </si>
  <si>
    <t>Natural Gas, US</t>
  </si>
  <si>
    <t>$/mmbtu</t>
  </si>
  <si>
    <t>Growth rate in INR</t>
  </si>
  <si>
    <t>Coal, Australia</t>
  </si>
  <si>
    <t>$/mt</t>
  </si>
  <si>
    <t>Domestic Coal</t>
  </si>
  <si>
    <t>Real growth rate in INR</t>
  </si>
  <si>
    <t>Domestic Natural Gas</t>
  </si>
  <si>
    <t>Biomass</t>
  </si>
  <si>
    <t>Biogas</t>
  </si>
  <si>
    <t>Rs/scm</t>
  </si>
  <si>
    <t>Growth Rate in INR per USD</t>
  </si>
  <si>
    <t>Grade</t>
  </si>
  <si>
    <t>Sectors</t>
  </si>
  <si>
    <t>Power (Utility)</t>
  </si>
  <si>
    <t>Power (Captive)</t>
  </si>
  <si>
    <t>Metallurgical Use</t>
  </si>
  <si>
    <t>Non Coking Washery</t>
  </si>
  <si>
    <t>Steel (Boilers)</t>
  </si>
  <si>
    <t>Cement</t>
  </si>
  <si>
    <t>Fertilisers</t>
  </si>
  <si>
    <t>Sponge Iron</t>
  </si>
  <si>
    <t>Other basic Metal (Aluminium etc)</t>
  </si>
  <si>
    <t>Chemical</t>
  </si>
  <si>
    <t>Pulp &amp; Paper</t>
  </si>
  <si>
    <t>Textiles &amp; Rayons</t>
  </si>
  <si>
    <t>Bricks</t>
  </si>
  <si>
    <t>Other</t>
  </si>
  <si>
    <t xml:space="preserve">Total non-power </t>
  </si>
  <si>
    <t>Total power</t>
  </si>
  <si>
    <t>Table  6.6 : PIT HEAD (RUN OF MINE) PRICE  (Rupees Per Tonne) OF COKING COAL
Applicable for Consumers Other Than Power Utilities (Including IPPs), Fertiliser and Defence. [Price- Rs./ Tonne]</t>
  </si>
  <si>
    <t>Table  6.5 : PIT HEAD (RUN OF MINE) PRICE (Rupees Per Tonne) OF COKING COAL
Applicable for Power Utilities (Including IPPs), Fertiliser and Defence Sector. [Price- Rs./ Tonne]</t>
  </si>
  <si>
    <t>Direct Feed</t>
  </si>
  <si>
    <t>Coking Washery</t>
  </si>
  <si>
    <t>Cokeries</t>
  </si>
  <si>
    <t>Companies</t>
  </si>
  <si>
    <t>Period</t>
  </si>
  <si>
    <t>Grade of Coal</t>
  </si>
  <si>
    <t>Steel-I</t>
  </si>
  <si>
    <t>SI</t>
  </si>
  <si>
    <t>SII</t>
  </si>
  <si>
    <t>WI</t>
  </si>
  <si>
    <t>WII</t>
  </si>
  <si>
    <t>WIII</t>
  </si>
  <si>
    <t>WIV</t>
  </si>
  <si>
    <t>SCI</t>
  </si>
  <si>
    <t>SCII</t>
  </si>
  <si>
    <t>Steel-II</t>
  </si>
  <si>
    <t>SC-1</t>
  </si>
  <si>
    <t>ECL ( Unspecified )</t>
  </si>
  <si>
    <t>01-04-2018 to 31-03-2019</t>
  </si>
  <si>
    <t>Wash-I</t>
  </si>
  <si>
    <t>Wash-II</t>
  </si>
  <si>
    <t>BCCL</t>
  </si>
  <si>
    <t>Wash-III</t>
  </si>
  <si>
    <t>CCL</t>
  </si>
  <si>
    <t>Wash-IV</t>
  </si>
  <si>
    <t>Table 6.9: Applicable to Sectors Other than Power Utilities (including IPPs ),
Fertiliser and Defence [Price- Rs./ Tonne]</t>
  </si>
  <si>
    <t>Table 6.8: Applicable to Power Utilities ( including IPPs ),
Fertiliser and Defence Sector [Price- Rs./ Tonne]</t>
  </si>
  <si>
    <t>WCL</t>
  </si>
  <si>
    <t>Total Coking</t>
  </si>
  <si>
    <t>SECL</t>
  </si>
  <si>
    <t>G1</t>
  </si>
  <si>
    <t>G 1*</t>
  </si>
  <si>
    <t>G2</t>
  </si>
  <si>
    <t>G 2</t>
  </si>
  <si>
    <t>G3</t>
  </si>
  <si>
    <t>G 3</t>
  </si>
  <si>
    <t>G4</t>
  </si>
  <si>
    <t>G 4</t>
  </si>
  <si>
    <t>G5</t>
  </si>
  <si>
    <t>G 5</t>
  </si>
  <si>
    <t>G6</t>
  </si>
  <si>
    <t>G 6</t>
  </si>
  <si>
    <t>G7</t>
  </si>
  <si>
    <t>G 7</t>
  </si>
  <si>
    <t>G8</t>
  </si>
  <si>
    <t>G 8</t>
  </si>
  <si>
    <t>G9</t>
  </si>
  <si>
    <t>G 9</t>
  </si>
  <si>
    <t>G10</t>
  </si>
  <si>
    <t>G 10</t>
  </si>
  <si>
    <t>G11</t>
  </si>
  <si>
    <t>G 11</t>
  </si>
  <si>
    <t>G12</t>
  </si>
  <si>
    <t>G 12</t>
  </si>
  <si>
    <t>G13</t>
  </si>
  <si>
    <t>G 13</t>
  </si>
  <si>
    <t>G14</t>
  </si>
  <si>
    <t>G 14</t>
  </si>
  <si>
    <t>G15</t>
  </si>
  <si>
    <t>G 15</t>
  </si>
  <si>
    <t>G16</t>
  </si>
  <si>
    <t>G 16</t>
  </si>
  <si>
    <t>G17</t>
  </si>
  <si>
    <t>G 17</t>
  </si>
  <si>
    <t>Total
Non coking</t>
  </si>
  <si>
    <t>All India</t>
  </si>
  <si>
    <t>Wt. avg</t>
  </si>
  <si>
    <t>000 Rs/tonnes</t>
  </si>
  <si>
    <t>ECL</t>
  </si>
  <si>
    <t xml:space="preserve">000 Rs/Tonnes </t>
  </si>
  <si>
    <t>TABLE 3.15: GRADEWISE PRODUCTION OF COKING COAL BY COMPANIES IN 2018-19
( Quantity in Million Tonnes )</t>
  </si>
  <si>
    <t xml:space="preserve">Coking </t>
  </si>
  <si>
    <t xml:space="preserve">Non-coking </t>
  </si>
  <si>
    <t xml:space="preserve">Lignite </t>
  </si>
  <si>
    <t>000 Rs/Tonnes</t>
  </si>
  <si>
    <t>Table 1 : Weight to Volume Conversion</t>
  </si>
  <si>
    <t>Product</t>
  </si>
  <si>
    <t>Weight</t>
  </si>
  <si>
    <t>Volume</t>
  </si>
  <si>
    <t>Barrel       (bbl)</t>
  </si>
  <si>
    <t>To convert Volume at 29.5° C  to Volume at 15° C multiply by</t>
  </si>
  <si>
    <t>(MT)</t>
  </si>
  <si>
    <t>(KL)</t>
  </si>
  <si>
    <t>Petrol</t>
  </si>
  <si>
    <t>Diesel</t>
  </si>
  <si>
    <t>Kerosene</t>
  </si>
  <si>
    <t>Light Diesel Oil</t>
  </si>
  <si>
    <t>Furnace Oil</t>
  </si>
  <si>
    <t>Crude Oil</t>
  </si>
  <si>
    <t>Source: Indian Petroleum &amp; Natural Gas Statistics, MoP&amp;NG</t>
  </si>
  <si>
    <t>pp09, Petroleum Stats 2018-19 http://petroleum.nic.in/sites/default/files/arep2020.pdf</t>
  </si>
  <si>
    <t>Qty of LNG imported mmt</t>
  </si>
  <si>
    <t>Value of LNG imported in Rs. Billion</t>
  </si>
  <si>
    <t>LNG price in 000 Rs/tonne</t>
  </si>
  <si>
    <t>2012-13</t>
  </si>
  <si>
    <t>2013-14</t>
  </si>
  <si>
    <t>2014-15</t>
  </si>
  <si>
    <t>2015-16</t>
  </si>
  <si>
    <t>2016-17</t>
  </si>
  <si>
    <t>2017-18</t>
  </si>
  <si>
    <t>2017 corresponds to 2017-18 and 2030 corresponds to 2030-31</t>
  </si>
  <si>
    <t>Imported Coal</t>
  </si>
  <si>
    <t xml:space="preserve">Quantity [MT] </t>
  </si>
  <si>
    <t>Value [Rs. Million]</t>
  </si>
  <si>
    <t>Coal price in 000Rs/tonne</t>
  </si>
  <si>
    <t xml:space="preserve">Non-Coking </t>
  </si>
  <si>
    <t>Coking</t>
  </si>
  <si>
    <t>SubGeography1</t>
  </si>
  <si>
    <t xml:space="preserve">Power </t>
  </si>
  <si>
    <t>Non-power</t>
  </si>
  <si>
    <t>Weighted average Price (Rs/tonne)</t>
  </si>
  <si>
    <t>(Quantity in Million Tonnes)</t>
  </si>
  <si>
    <t xml:space="preserve">Domestic Coking Coal data </t>
  </si>
  <si>
    <t>Final Domestic Coal (Coking+Non-Coking+Lignite)</t>
  </si>
  <si>
    <t>Total Offtake (MMT)</t>
  </si>
  <si>
    <t>Statement 4.23: Despatch of Lignite in India in
2018-19 to different sectors [MT]</t>
  </si>
  <si>
    <t>Statement 4.10: Despatch of Raw Coal</t>
  </si>
  <si>
    <t>TABLE 7.1 : YEAR WISE IMPORT OF COAL AND COKE TO INDIA DURING LAST TEN YEARS</t>
  </si>
  <si>
    <t>2019-20</t>
  </si>
  <si>
    <t>Natural Gas Usable Production and use</t>
  </si>
  <si>
    <t>Table II.15/16 (Net Availability) and II.16/17 (sector-wise use)</t>
  </si>
  <si>
    <t>MMSCM</t>
  </si>
  <si>
    <t>2011-12</t>
  </si>
  <si>
    <t>Gross production</t>
  </si>
  <si>
    <t>Production (Net availability)</t>
  </si>
  <si>
    <t>Growth</t>
  </si>
  <si>
    <t>Non energy use</t>
  </si>
  <si>
    <t>Non energy share</t>
  </si>
  <si>
    <t>Net-gross ratio</t>
  </si>
  <si>
    <t>Consumption data available for total consumption only, not separately for domestic and imported. So using that to identify energy and non-energy shares</t>
  </si>
  <si>
    <t xml:space="preserve"> (from Prayas CEFTI cooking model)</t>
  </si>
  <si>
    <t xml:space="preserve">Domestic </t>
  </si>
  <si>
    <t>FixedTaxOH</t>
  </si>
  <si>
    <t xml:space="preserve">Total Electricity duty -- add from states </t>
  </si>
  <si>
    <t xml:space="preserve">Total Electricity Duty collected / Total Elec consumed </t>
  </si>
  <si>
    <t>Firewood or fuel wood</t>
  </si>
  <si>
    <t>Wood in chips or particles; sawdust and wood waste and scrap, whether or not agglomerated in logs, briquettes, pellets or similar forms</t>
  </si>
  <si>
    <t xml:space="preserve">GST </t>
  </si>
  <si>
    <t>As on 01.04.2015)</t>
  </si>
  <si>
    <t xml:space="preserve">As on 01.04.2016 </t>
  </si>
  <si>
    <t>As on 01.04.2017</t>
  </si>
  <si>
    <t>As on 01.04.2018</t>
  </si>
  <si>
    <t>As on 01.04.2019)</t>
  </si>
  <si>
    <t xml:space="preserve">Delhi </t>
  </si>
  <si>
    <t xml:space="preserve">Kolkata </t>
  </si>
  <si>
    <t xml:space="preserve">Mumbai </t>
  </si>
  <si>
    <t>Cost Price at Bottling Plant</t>
  </si>
  <si>
    <t>Market Determined Price (as per PAHAL Scheme)</t>
  </si>
  <si>
    <t>Add</t>
  </si>
  <si>
    <t>Delivery Charges</t>
  </si>
  <si>
    <t xml:space="preserve">Add </t>
  </si>
  <si>
    <t>GST (Including GST on Distributor Commision)</t>
  </si>
  <si>
    <t>State Specific Costs</t>
  </si>
  <si>
    <t xml:space="preserve">Distributor Commission </t>
  </si>
  <si>
    <t>Octroi / Toll Tax</t>
  </si>
  <si>
    <t xml:space="preserve">Retail Selling Price </t>
  </si>
  <si>
    <t>Retail Selling Price ( Rounded)</t>
  </si>
  <si>
    <t>Market Determined Price</t>
  </si>
  <si>
    <t>Less</t>
  </si>
  <si>
    <t xml:space="preserve">Cash Compensation to Consumer under DBTL </t>
  </si>
  <si>
    <t>VAT (Including VAT on Distributor Commission/ 2018 onwards Including GST on Distributor Commission)</t>
  </si>
  <si>
    <t>Effective Cost to Consumer after Subsidy</t>
  </si>
  <si>
    <t>Distributor commission</t>
  </si>
  <si>
    <t>Retail Selling Price</t>
  </si>
  <si>
    <t>`</t>
  </si>
  <si>
    <t>Market Determined Price - CP at bottling</t>
  </si>
  <si>
    <t xml:space="preserve">Taking an avg of Market Determined price-CP at bottling plants for the years the data is available </t>
  </si>
  <si>
    <t>Components of FixedTaxOH</t>
  </si>
  <si>
    <t xml:space="preserve">Rs/14.2 Kg Cylinder </t>
  </si>
  <si>
    <t xml:space="preserve">000Rs/tonne </t>
  </si>
  <si>
    <t>USD to Rs</t>
  </si>
  <si>
    <t>https://rbidocs.rbi.org.in/rdocs/Publications/PDFs/140TE74E725980E74CB987BB87D52853686D.PDF</t>
  </si>
  <si>
    <t>Domestic coal - 18-19</t>
  </si>
  <si>
    <t>Imported coal - 18-19</t>
  </si>
  <si>
    <t>Domestic coal - 19-20</t>
  </si>
  <si>
    <t>Imported coal - 19-20</t>
  </si>
  <si>
    <t>Total despatch</t>
  </si>
  <si>
    <t>Over 7-year period from 2013-14 to 2019-20 records for following states consistently not available.</t>
  </si>
  <si>
    <t>Arunachal Pradesh, Goa, Mizoram, NCT Delhi, Puducherry &amp; Sikkim (Elec consumption to be excluded from Total consumption)</t>
  </si>
  <si>
    <t>Sketchy but some data available for Manipur and Tripura, hence not excluded.</t>
  </si>
  <si>
    <t>For 2018-19, Account (Actual) figures - All states  - 40345 cr.</t>
  </si>
  <si>
    <t>For 2019-20, Revised figures - All states  - 46487 cr.</t>
  </si>
  <si>
    <t>Item Name</t>
  </si>
  <si>
    <t>State Name</t>
  </si>
  <si>
    <t>FY</t>
  </si>
  <si>
    <t>Account</t>
  </si>
  <si>
    <t>Revised</t>
  </si>
  <si>
    <t>Budget</t>
  </si>
  <si>
    <t>RR22: v)  Taxes and Duties on Electricity</t>
  </si>
  <si>
    <t>All States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</si>
  <si>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</si>
  <si>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</si>
  <si>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</si>
  <si>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</si>
  <si>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</si>
  <si>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</si>
  <si>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</si>
  <si>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</si>
  <si>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</si>
  <si>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</si>
  <si>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</si>
  <si>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</si>
  <si>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</si>
  <si>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</si>
  <si>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</si>
  <si>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</si>
  <si>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</si>
  <si>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</si>
  <si>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</si>
  <si>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NCT Delhi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</si>
  <si>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</si>
  <si>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</si>
  <si>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</si>
  <si>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</si>
  <si>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</si>
  <si>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</si>
  <si>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</si>
  <si>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</si>
  <si>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</si>
  <si>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</si>
  <si>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</si>
  <si>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Electricity duties from RBI Oct 2020 Raw data</t>
  </si>
  <si>
    <t>Electricity generation</t>
  </si>
  <si>
    <t>All India Energy Statistics -2020</t>
  </si>
  <si>
    <t>MW</t>
  </si>
  <si>
    <t>Table 1.0</t>
  </si>
  <si>
    <t>State / UT's</t>
  </si>
  <si>
    <t>Chandigarh</t>
  </si>
  <si>
    <t>Daman &amp; Diu</t>
  </si>
  <si>
    <t>D &amp; N Haveli</t>
  </si>
  <si>
    <t>Lakshadweep</t>
  </si>
  <si>
    <t>A &amp; N Islands</t>
  </si>
  <si>
    <t>Region</t>
  </si>
  <si>
    <t>Table 1.7</t>
  </si>
  <si>
    <t>Growth of Total Elec consumption (GWh)-State-wise</t>
  </si>
  <si>
    <t>Consumption (GWh) 2018-19</t>
  </si>
  <si>
    <t>w/o 6 states</t>
  </si>
  <si>
    <t>All States 2018-19</t>
  </si>
  <si>
    <t>Rs/KWh</t>
  </si>
  <si>
    <t>Cr. / GWh</t>
  </si>
  <si>
    <t>Rs. and KWh</t>
  </si>
  <si>
    <t>Total Elec consumption incl all states</t>
  </si>
  <si>
    <t>Elec consumption - (w/o 6 states)</t>
  </si>
  <si>
    <t xml:space="preserve">Taxes and Duties on Electricity </t>
  </si>
  <si>
    <t xml:space="preserve">Sub-total Region-wise </t>
  </si>
  <si>
    <t>Elec consumption GWh</t>
  </si>
  <si>
    <t>Taxes and Duties on Electricity, cr.</t>
  </si>
  <si>
    <t>Base Price</t>
  </si>
  <si>
    <t>Freight etc.</t>
  </si>
  <si>
    <t>Base price excl.Tax(Excise &amp; VAT)</t>
  </si>
  <si>
    <t>Excise Duty</t>
  </si>
  <si>
    <t>Dealer commission (Average)</t>
  </si>
  <si>
    <t>VAT (including VAT on Dealer comm)</t>
  </si>
  <si>
    <t>Retail Selling Price Rs/litre</t>
  </si>
  <si>
    <t>Total Tax Component (FixedTaxOH)</t>
  </si>
  <si>
    <t>Price Build-up of Retail Selling Prices of Motor Spirit (Rs/litre) as on 01.04. 2020 (2019-2020)</t>
  </si>
  <si>
    <t>Table IV.10 and IV.11 : Indian Petroleum &amp; Natural Gas Statistics 2019-20, MoPnG</t>
  </si>
  <si>
    <t>Price Build-up of Retail Selling Prices of High Speed Diesel (HSD) (Rs/litre) as on 01.04. 2020 (2019-2020)</t>
  </si>
  <si>
    <t>Table IV.13 : Indian Petroleum &amp; Natural Gas Statistics 2019-20, MoPnG</t>
  </si>
  <si>
    <t>Excise Duty and Cess</t>
  </si>
  <si>
    <t>State Taxes &amp; Levies</t>
  </si>
  <si>
    <t>Base price excl.Excise, Cess, State Taxes &amp; levy</t>
  </si>
  <si>
    <t>Appendix X - Product Conversion Factor</t>
  </si>
  <si>
    <t>Price '000Rs/ton</t>
  </si>
  <si>
    <t>Naphtha</t>
  </si>
  <si>
    <t>Other Petroleum products</t>
  </si>
  <si>
    <t>SKO</t>
  </si>
  <si>
    <t>LDO</t>
  </si>
  <si>
    <t>FO</t>
  </si>
  <si>
    <t>LSHS</t>
  </si>
  <si>
    <t>Tonnes per KL</t>
  </si>
  <si>
    <t>CVD(in lieu of IGST)</t>
  </si>
  <si>
    <t>Ave w.r.t. Delhi</t>
  </si>
  <si>
    <t>Average    (4 metros)</t>
  </si>
  <si>
    <t>Average     (4 metros)</t>
  </si>
  <si>
    <t>Price in Delhi -16Apr2021</t>
  </si>
  <si>
    <t>Average (Rs/KL)</t>
  </si>
  <si>
    <t>Price           '000Rs/tonne</t>
  </si>
  <si>
    <t>Retail Selling Price Rs/KL</t>
  </si>
  <si>
    <t>https://www.ppac.gov.in/WriteReadData/CMS/202103310530147126623DomesticNaturalGaspricefortheperiodApril2021toSeptember2021.pdf</t>
  </si>
  <si>
    <t>https://www.ppac.gov.in/WriteReadData/CMS/202009300544381880478DomesticNaturalGasPriceOct2020toMarch2021.pdf</t>
  </si>
  <si>
    <t>Oct2020toMarch2021</t>
  </si>
  <si>
    <t>https://www.ppac.gov.in/WriteReadData/CMS/202003310535049612411DomesticNaturalGasPricefortheperiodApril-September2020.pdf</t>
  </si>
  <si>
    <t>April-September2020</t>
  </si>
  <si>
    <t>https://www.ppac.gov.in/WriteReadData/CMS/201909300543402696331DomesticNaturalGasPricefortheperiodOctober2019toMarch2020.pdf</t>
  </si>
  <si>
    <t>Oct19-Mar2020</t>
  </si>
  <si>
    <t>https://www.ppac.gov.in/WriteReadData/CMS/201904040841507374511DomesticNaturalGasPrice.pdf</t>
  </si>
  <si>
    <t>April-September2019</t>
  </si>
  <si>
    <t>https://www.ppac.gov.in/WriteReadData/CMS/201809280501427628061DomesticNGPriceOct18-Mar19.pdf</t>
  </si>
  <si>
    <t>Oct18-Mar19</t>
  </si>
  <si>
    <t>https://www.ppac.gov.in/WriteReadData/CMS/201803280556026406713DomesticNaturalGasPricefortheperiodApriltoSeptember20181.pdf</t>
  </si>
  <si>
    <t>ApriltoSeptember2018</t>
  </si>
  <si>
    <t>https://www.ppac.gov.in/WriteReadData/CMS/201709290429335872588DomesticNaturalGasPricefortheperiodOct'2017-March2018.pdf</t>
  </si>
  <si>
    <t>Oct'2017-March2018</t>
  </si>
  <si>
    <t>https://www.ppac.gov.in/WriteReadData/CMS/201703310422333423570DomesticNaturalGasPrice,April-September2017.pdf</t>
  </si>
  <si>
    <t>April-September2017</t>
  </si>
  <si>
    <t>https://www.ppac.gov.in/WriteReadData/CMS/201609300518572538170DomesticGasPriceNotificationOct2016toMar2017.pdf</t>
  </si>
  <si>
    <t>Oct2016toMar2017</t>
  </si>
  <si>
    <t>https://www.ppac.gov.in/WriteReadData/CMS/2016033105243354526091DomesticGasPriceNotification.pdf</t>
  </si>
  <si>
    <t>Apr-2016 - Sep 2016</t>
  </si>
  <si>
    <t>https://www.ppac.gov.in/WriteReadData/CMS/201509301139418719525GasPriceNotifificationOct2015-March2016.pdf</t>
  </si>
  <si>
    <t>Oct2015-March2016</t>
  </si>
  <si>
    <t>https://www.ppac.gov.in/WriteReadData/CMS/201503310333159478742NG_PriceNotificationApril15-Sept15.pdf</t>
  </si>
  <si>
    <t>April15-Sept15</t>
  </si>
  <si>
    <t>https://www.ppac.gov.in/WriteReadData/CMS/201501270451563110729NG_PriceNotificationNovember14-March2015.pdf</t>
  </si>
  <si>
    <t>November14-March2015</t>
  </si>
  <si>
    <t>International</t>
  </si>
  <si>
    <t xml:space="preserve">FY </t>
  </si>
  <si>
    <t>Natural Gas, AVERAGE</t>
  </si>
  <si>
    <t>Liquefied natural gas, Japan</t>
  </si>
  <si>
    <t>Natural Gas, Europe</t>
  </si>
  <si>
    <t xml:space="preserve">Royalties </t>
  </si>
  <si>
    <t>PPAC- ready reckoners</t>
  </si>
  <si>
    <t>Price expressed in FY19 prices 000Rs/tonne</t>
  </si>
  <si>
    <t>FY21</t>
  </si>
  <si>
    <t xml:space="preserve">From PriceIndices.Xlsx </t>
  </si>
  <si>
    <t>FY16</t>
  </si>
  <si>
    <t>FY17</t>
  </si>
  <si>
    <t>FY18</t>
  </si>
  <si>
    <t>FY19</t>
  </si>
  <si>
    <t>FY20</t>
  </si>
  <si>
    <t>Estimated Metro Avg in 2021</t>
  </si>
  <si>
    <t xml:space="preserve">Expressed in FY19 prices </t>
  </si>
  <si>
    <t>Coal price in 000Rs/tonne (Expressed in FY19 prices)</t>
  </si>
  <si>
    <t xml:space="preserve">     '000Rs/tonne Expressed in FY19 prices</t>
  </si>
  <si>
    <t>Expressed in FY19 prices</t>
  </si>
  <si>
    <t>ModelGeography</t>
  </si>
  <si>
    <t>INDIA</t>
  </si>
  <si>
    <t>FixedTaxOHImp</t>
  </si>
  <si>
    <t>NonEnergyShare</t>
  </si>
  <si>
    <t>DomesticPrice</t>
  </si>
  <si>
    <t>AVTaxOHDom</t>
  </si>
  <si>
    <t>FixedTaxOHDom</t>
  </si>
  <si>
    <t>ImportPrice</t>
  </si>
  <si>
    <t>AVTaxOHImp</t>
  </si>
  <si>
    <t xml:space="preserve">% </t>
  </si>
  <si>
    <t>000 Rs/tonne</t>
  </si>
  <si>
    <t>%</t>
  </si>
  <si>
    <t>Royalty</t>
  </si>
  <si>
    <t>District Mineral Fund (DMF) % on Royalty</t>
  </si>
  <si>
    <t xml:space="preserve">Customs </t>
  </si>
  <si>
    <t xml:space="preserve">Onland </t>
  </si>
  <si>
    <t xml:space="preserve">Shallow </t>
  </si>
  <si>
    <t xml:space="preserve">Oil </t>
  </si>
  <si>
    <t xml:space="preserve">Gas </t>
  </si>
  <si>
    <t>Additional customs duty (CVD) Rs/MT</t>
  </si>
  <si>
    <t xml:space="preserve">Cess </t>
  </si>
  <si>
    <t xml:space="preserve">Basic customs duty (%) </t>
  </si>
  <si>
    <t>Rs/kg (Constant 2015 Prices)</t>
  </si>
  <si>
    <t xml:space="preserve">Biomass </t>
  </si>
  <si>
    <t xml:space="preserve">Biogas </t>
  </si>
  <si>
    <t xml:space="preserve">Expressed in FY19 Prices </t>
  </si>
  <si>
    <t>FY15</t>
  </si>
  <si>
    <t xml:space="preserve">Deflator </t>
  </si>
  <si>
    <t>000 Rs/mmscm</t>
  </si>
  <si>
    <t>Market Determined Price - CP at bottling (Expressed in FY19 prices)</t>
  </si>
  <si>
    <t>Distributor commission (FY20 Prices)</t>
  </si>
  <si>
    <t>GST on Crude prices since that is likely largest component of LPG</t>
  </si>
  <si>
    <t>We consider Domestic-use LPG since most LPG use in the country is for domestic purposes</t>
  </si>
  <si>
    <t>Distributor commission (FY19 Prices)</t>
  </si>
  <si>
    <t>For the base Price, we consider Crude price as a proxy for LPG price to add FixedTaxOH. This is applicable to arrive at the GST tax component</t>
  </si>
  <si>
    <t>000 Rs/MWh</t>
  </si>
  <si>
    <t>For the base Price, we consider Crude price as a proxy for PP_OTHER price to add FixedTaxOH. This is applicable to arrive at the GST tax component</t>
  </si>
  <si>
    <t>Please note that in the final CSV the units are 'Million Rs/BCM</t>
  </si>
  <si>
    <t xml:space="preserve">000 Rs/mmscm or tonne </t>
  </si>
  <si>
    <t xml:space="preserve">Please note that in the final CSV the units are 'Million Rs/MT and 'Million Rs/BCM as applicable </t>
  </si>
  <si>
    <t>Please note that in the final CSV the units are 'Million Rs/GWh</t>
  </si>
  <si>
    <t>The domestic coking coal is of washery grades (lower grades), comparable to non-coking  coal</t>
  </si>
  <si>
    <t xml:space="preserve">About 60% of which is used for power purposes </t>
  </si>
  <si>
    <t>Subsequently, we consider all Coking coal used in India to be only imported</t>
  </si>
  <si>
    <t>Rs/GWh</t>
  </si>
  <si>
    <t>Mill Rs/Gwh</t>
  </si>
  <si>
    <t>Rs/kWh</t>
  </si>
  <si>
    <t>(MT refers to Metric Tonne)</t>
  </si>
  <si>
    <t>Please note that in the final CSV the units are 'Million Rs/MT (million tonne)</t>
  </si>
  <si>
    <t>NMET on Royalty</t>
  </si>
  <si>
    <t>NCCD (Rs/tonne)</t>
  </si>
  <si>
    <t>Basic Customs duty (Rs/tonne)</t>
  </si>
  <si>
    <t>Basic Cenvat duty (Rs/tonne)</t>
  </si>
  <si>
    <t>Consumption (Total sectoral sales)</t>
  </si>
  <si>
    <t>Non-energy share</t>
  </si>
  <si>
    <t>000 Rs / MWh is the same as Million Rs / GWh</t>
  </si>
  <si>
    <t>Price of Domestic crude as a percentage of Imported price</t>
  </si>
  <si>
    <t>Perspectives on Indian Energy based on Rumi (PIER)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</si>
  <si>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</si>
  <si>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</si>
  <si>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</si>
  <si>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</si>
  <si>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</si>
  <si>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</si>
  <si>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</si>
  <si>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</si>
  <si>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PIER report:</t>
  </si>
  <si>
    <t xml:space="preserve">Link to PIER Report </t>
  </si>
  <si>
    <t>Rumi Git repo:</t>
  </si>
  <si>
    <t xml:space="preserve">Link to Rumi Git </t>
  </si>
  <si>
    <t>Prayas (Energy Group). (2021, October). Rumi: An open-source energy systems modelling platform developed by Prayas (Energy Group). https://github.com/prayas-energy/Rumi</t>
  </si>
  <si>
    <t xml:space="preserve">Source Workbook </t>
  </si>
  <si>
    <t>Parameter files</t>
  </si>
  <si>
    <t xml:space="preserve">Documentation </t>
  </si>
  <si>
    <t>This workbook contains PowerQueries, please refresh them in the order they appear in 'Data-&gt;Show Queries'</t>
  </si>
  <si>
    <t>Sources</t>
  </si>
  <si>
    <t xml:space="preserve">Sources </t>
  </si>
  <si>
    <t xml:space="preserve">Various indicators from RBI </t>
  </si>
  <si>
    <t>GDP data published by MOSPI</t>
  </si>
  <si>
    <t>PEC_Info.csv</t>
  </si>
  <si>
    <t>DEC_Taxation.csv</t>
  </si>
  <si>
    <t>World Bank Group. “Commodity Markets Outlook—Persistence of Commodity Shocks (Oct 2020),” 2020. https://pubdocs.worldbank.org/en/478961602618430208/CMO-October-2020-Forecasts.pdf.</t>
  </si>
  <si>
    <t xml:space="preserve">Reserve Bank of India. (2019). STATE FINANCES : A STUDY OF BUDGETS, Appendix I. RBI. Retrieved from https://www.rbi.org.in/scripts/AnnualPublications.aspx?head=State+Finances+%3A+A+Study+of+Budgets   (e-STATES Database) </t>
  </si>
  <si>
    <t>Changes in GST rate for certain goods and IGST rate on imports of certain goods
 [As per discussions in the 22nd GST Council Meeting held on 6th October, 2017] https://www.cbic.gov.in/resources//htdocs-cbec/gst/GST%20RATE%20APPROVED%20BY%20GST%20Council-%206.10.2017.pdf;jsessionid=1E7F7627495267563A450D75C14D7EC3</t>
  </si>
  <si>
    <t xml:space="preserve">In PIER, we consider all domestic Coking coal to be part of 'STEAM_COAL' for the following reasons </t>
  </si>
  <si>
    <t>Petroleum Tax Guide, April 2018, Delloite https://www2.deloitte.com/content/dam/Deloitte/in/Documents/energy-resources/in-enr-petroleum-tax-guide-noexp.pdf</t>
  </si>
  <si>
    <t>CEFTI Model: Fuelling the Transition: Costs and Benefits of using Modern Cooking Fuels as a Health Intervention in India https://www.prayaspune.org/peg/publications/item/376-fuelling-the-transition-costs-and-benefits-of-using-modern-cooking-fuels-as-a-health-intervention-in-india.html</t>
  </si>
  <si>
    <t>CEA General Review 2018-19</t>
  </si>
  <si>
    <t>MoPNG. “Order No P-20028/1/2018-PP: Revision in Domestic LPG Distributors’ Commission.” Ministry of Petroleum and Natural Gas, Government of India, October 7, 2019. http://petroleum.nic.in/sites/default/files/LPGDC.pdf.</t>
  </si>
  <si>
    <t xml:space="preserve">Indian Petroleum &amp; Natural Gas Statistics 2014 to 2020, Ministry of Petroleum &amp; Natural Gas, Government of India </t>
  </si>
  <si>
    <t xml:space="preserve">All individual assumptions of price and tax components are mentioned in the respective sheets </t>
  </si>
  <si>
    <t>RBI, EXCHANGE RATE OF THE INDIAN RUPEE VIS-À-VIS THE SDR, US DOLLAR, POUND STERLING, D. M. / EURO AND JAPANESE YEN (Financial Year – Annual Average and End-year Rates) https://rbidocs.rbi.org.in/rdocs/Publications/PDFs/140TE74E725980E74CB987BB87D52853686D.PDF</t>
  </si>
  <si>
    <r>
      <t xml:space="preserve">Price Build-up of Retail Selling Prices of ATF </t>
    </r>
    <r>
      <rPr>
        <b/>
        <sz val="11"/>
        <rFont val="Calibri"/>
        <family val="2"/>
        <scheme val="minor"/>
      </rPr>
      <t>(Rs/KL)</t>
    </r>
    <r>
      <rPr>
        <sz val="11"/>
        <rFont val="Calibri"/>
        <family val="2"/>
        <scheme val="minor"/>
      </rPr>
      <t xml:space="preserve"> as on 01.04. 2020 (2019-2020)</t>
    </r>
  </si>
  <si>
    <t>Multiplying factor for NATGAS, STEAM_COAL and COKING_COAL</t>
  </si>
  <si>
    <t>DomesticPrice and ImportPrice</t>
  </si>
  <si>
    <t>LowREHighFossil</t>
  </si>
  <si>
    <t>HighRELowFossil</t>
  </si>
  <si>
    <t xml:space="preserve">PEC_Info &amp; DEC_Taxation.xlsx </t>
  </si>
  <si>
    <t>Folder</t>
  </si>
  <si>
    <t xml:space="preserve">Sl no. </t>
  </si>
  <si>
    <t>Global Data/Supply/Parameters/Carriers</t>
  </si>
  <si>
    <t>PCFE Continuous Deflator  index</t>
  </si>
  <si>
    <t xml:space="preserve">Calculations for Petrol and Diesel have been made as per BS-IV norms </t>
  </si>
  <si>
    <t xml:space="preserve">Calendar Year </t>
  </si>
  <si>
    <t>Projections: World Bank Commodities Price Forecast (constant US dollars),  released in Oct 2020: http://pubdocs.worldbank.org/en/478961602618430208/CMO-October-2020-Forecasts.pdf.</t>
  </si>
  <si>
    <t>In this sheet, CY 2017 corresponds to FY 2017-18 and CY 2030 corresponds to FY 2030-31</t>
  </si>
  <si>
    <t>GST Compensation Cess (Rs/tonne)</t>
  </si>
  <si>
    <t>* For GCV exceeding 7000 Kcal/ Kg, the price shall be increased by Rs. 100/-per tonne over and above the price applicable for GCV band exceeding 6700 but not exceeding 7000 Kcal/Kg, for increase in GCV by every 100 Kcal/ Kg or part thereof.</t>
  </si>
  <si>
    <t>PIT HEAD (Run of Mine) PRICE (Rupees Per Tonne) OF NON-COKING COAL OF COAL INDIA LTD (Excluding WCL)</t>
  </si>
  <si>
    <t>Subgeography2</t>
  </si>
  <si>
    <t xml:space="preserve">Source: Various years' PNG Stats </t>
  </si>
  <si>
    <t>Uncompensated Costs ( Import Costs, Recovery for No-revision, Rounding -off, Diff in SSC, Diff in TC, Diff in WC &amp; Delivery Charges)</t>
  </si>
  <si>
    <t>Cash Compensation to Consume under DBTL (including impact of uncompensated cost to OMCs)</t>
  </si>
  <si>
    <t xml:space="preserve">In this workbook we create the following parameters for energy carriers: 
NonEnergyShare, DomesticPrice, AVTaxOHDom, FixedTaxOHDom, ImportPrice, AVTaxOHImp, FixedTaxOHImp (AV-&gt; Ad Valorem, OH -&gt; Overhead) for Primary Energy Carriers and FixedTaxOH for Derived Energy Carriers
</t>
  </si>
  <si>
    <t xml:space="preserve">Coal Directory of India,  Coal Controller's Organisation, Ministry of Coal, Government of India </t>
  </si>
  <si>
    <t>Apr 21 to September 21</t>
  </si>
  <si>
    <t xml:space="preserve">Domestic Non-Coking Coal data </t>
  </si>
  <si>
    <t xml:space="preserve">TABLE 4.21 :  GRADE WISE OFF-TAKE  OF RAW COAL TO DIFFERENT PRIORITY SECTORS (INCLUDING WASHERIES) DURING 2018-19 (MMT)
</t>
  </si>
  <si>
    <t>Table 6.9: Applicable to Sectors Other than Power Utilities (including IPPs), Fertiliser and Defence [Price- Rs./ Tonne]</t>
  </si>
  <si>
    <t>Table 6.8: Applicable to Power Utilities (including IPPs ), Fertiliser and Defence Sector [Price- Rs./ Tonne]</t>
  </si>
  <si>
    <t>TABLE 4.21 : GRADE WISE OFF-TAKE OF RAW COAL TO DIFFERENT PRIORITY SECTORS (INCLUDING WASHERIES) DURING 2018-19</t>
  </si>
  <si>
    <t>Source: Coal Directory of India</t>
  </si>
  <si>
    <t xml:space="preserve">TABLE 4.21 :  GRADE WISE OFF-TAKE  OF RAW COAL TO DIFFERENT PRIORITY SECTORS (INCLUDING WASHERIES) DURING 2019-20 (MMT)
</t>
  </si>
  <si>
    <t>01-04-2019 to 31-03-2020</t>
  </si>
  <si>
    <t>TABLE 3.15: GRADEWISE PRODUCTION OF COKING COAL BY COMPANIES IN 2019-20
( Quantity in Million Tonnes )</t>
  </si>
  <si>
    <t>TABLE 4.21 : GRADE WISE OFF-TAKE OF RAW COAL TO DIFFERENT PRIORITY SECTORS (INCLUDING WASHERIES) DURING 2019-20</t>
  </si>
  <si>
    <t>Statement 4.23: Despatch of Lignite in India in
 2019-20 to different sectors [MT]</t>
  </si>
  <si>
    <t>Scenarios/Sens03_Costs_LowREHighFossil/Supply/Parameters/Carriers</t>
  </si>
  <si>
    <t>Scenarios/Sens03_Costs_HighRELowFossil/Supply/Parameters/Carriers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</si>
</sst>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_(* #,##0.00_);_(* \(#,##0.00\);_(* \-??_);_(@_)"/>
    <numFmt numFmtId="165" formatCode="0.0"/>
    <numFmt numFmtId="166" formatCode="0.0%"/>
    <numFmt numFmtId="167" formatCode="0.0000"/>
    <numFmt numFmtId="168" formatCode="_(* #,##0_);_(* \(#,##0\);_(* &quot;-&quot;??_);_(@_)"/>
    <numFmt numFmtId="169" formatCode="0.000"/>
    <numFmt numFmtId="170" formatCode="_(* #,##0.000_);_(* \(#,##0.000\);_(* &quot;-&quot;??_);_(@_)"/>
    <numFmt numFmtId="171" formatCode="_(* #,##0.0000000_);_(* \(#,##0.0000000\);_(* &quot;-&quot;??_);_(@_)"/>
    <numFmt numFmtId="172" formatCode="0.000000000"/>
    <numFmt numFmtId="173" formatCode="_(* #,##0.00000000_);_(* \(#,##0.00000000\);_(* &quot;-&quot;??_);_(@_)"/>
    <numFmt numFmtId="174" formatCode="mmmm\ yyyy"/>
    <numFmt numFmtId="175" formatCode="0.000000000000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Docs-Calibri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26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ntique Olive"/>
      <family val="2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  <charset val="1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rgb="FF1E314F"/>
      <name val="Source Sans Pro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sz val="10"/>
      <color rgb="FFFF0000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i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Arial"/>
      <family val="2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C3D69B"/>
      </patternFill>
    </fill>
    <fill>
      <patternFill patternType="solid">
        <fgColor rgb="FFD9D9D9"/>
        <bgColor rgb="FFB7DEE8"/>
      </patternFill>
    </fill>
    <fill>
      <patternFill patternType="solid">
        <fgColor rgb="FFFBD4B4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D9D9D9"/>
      </patternFill>
    </fill>
    <fill>
      <patternFill patternType="solid">
        <fgColor rgb="FFFCD5B5"/>
        <bgColor rgb="FFFBD4B4"/>
      </patternFill>
    </fill>
    <fill>
      <patternFill patternType="solid">
        <fgColor rgb="FFC3D69B"/>
        <b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4" fontId="5" fillId="0" borderId="0" applyBorder="0" applyProtection="0"/>
    <xf numFmtId="9" fontId="5" fillId="0" borderId="0" applyBorder="0" applyProtection="0"/>
    <xf numFmtId="0" fontId="13" fillId="0" borderId="0"/>
    <xf numFmtId="0" fontId="15" fillId="0" borderId="0" applyBorder="0"/>
    <xf numFmtId="0" fontId="5" fillId="0" borderId="0"/>
    <xf numFmtId="0" fontId="18" fillId="0" borderId="0" applyBorder="0" applyProtection="0"/>
    <xf numFmtId="9" fontId="1" fillId="0" borderId="0" applyFont="0" applyFill="0" applyBorder="0" applyAlignment="0" applyProtection="0"/>
    <xf numFmtId="0" fontId="38" fillId="0" borderId="0"/>
    <xf numFmtId="0" fontId="44" fillId="0" borderId="0"/>
    <xf numFmtId="0" fontId="48" fillId="0" borderId="0" applyNumberForma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0" fillId="3" borderId="1" xfId="0" applyFont="1" applyFill="1" applyBorder="1"/>
    <xf numFmtId="0" fontId="0" fillId="0" borderId="1" xfId="0" applyFont="1" applyBorder="1"/>
    <xf numFmtId="0" fontId="2" fillId="2" borderId="2" xfId="0" applyFont="1" applyFill="1" applyBorder="1"/>
    <xf numFmtId="0" fontId="4" fillId="0" borderId="0" xfId="0" applyFont="1"/>
    <xf numFmtId="0" fontId="0" fillId="4" borderId="0" xfId="0" applyFill="1"/>
    <xf numFmtId="0" fontId="5" fillId="0" borderId="0" xfId="2" applyFill="1" applyAlignment="1">
      <alignment wrapText="1"/>
    </xf>
    <xf numFmtId="9" fontId="0" fillId="0" borderId="0" xfId="4" applyFont="1" applyFill="1" applyBorder="1" applyAlignment="1" applyProtection="1">
      <alignment wrapText="1"/>
    </xf>
    <xf numFmtId="9" fontId="5" fillId="0" borderId="0" xfId="2" applyNumberFormat="1" applyFill="1" applyAlignment="1">
      <alignment wrapText="1"/>
    </xf>
    <xf numFmtId="0" fontId="5" fillId="0" borderId="0" xfId="2" applyFill="1" applyAlignment="1"/>
    <xf numFmtId="0" fontId="0" fillId="6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/>
    <xf numFmtId="0" fontId="12" fillId="0" borderId="0" xfId="0" applyFont="1"/>
    <xf numFmtId="0" fontId="0" fillId="0" borderId="6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6" xfId="0" applyFill="1" applyBorder="1"/>
    <xf numFmtId="0" fontId="3" fillId="0" borderId="6" xfId="0" applyFont="1" applyFill="1" applyBorder="1" applyAlignment="1">
      <alignment wrapText="1"/>
    </xf>
    <xf numFmtId="0" fontId="17" fillId="0" borderId="6" xfId="0" applyFont="1" applyFill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Font="1" applyFill="1" applyBorder="1"/>
    <xf numFmtId="1" fontId="0" fillId="0" borderId="6" xfId="0" applyNumberFormat="1" applyFill="1" applyBorder="1"/>
    <xf numFmtId="1" fontId="0" fillId="0" borderId="6" xfId="0" applyNumberFormat="1" applyFill="1" applyBorder="1" applyAlignment="1">
      <alignment wrapText="1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43" fontId="0" fillId="0" borderId="0" xfId="1" applyFont="1"/>
    <xf numFmtId="0" fontId="19" fillId="0" borderId="0" xfId="0" applyFont="1"/>
    <xf numFmtId="0" fontId="16" fillId="11" borderId="6" xfId="7" applyFont="1" applyFill="1" applyBorder="1" applyAlignment="1">
      <alignment horizontal="center"/>
    </xf>
    <xf numFmtId="0" fontId="14" fillId="0" borderId="6" xfId="7" applyFont="1" applyBorder="1"/>
    <xf numFmtId="0" fontId="14" fillId="0" borderId="6" xfId="7" applyFont="1" applyBorder="1" applyAlignment="1">
      <alignment horizontal="center"/>
    </xf>
    <xf numFmtId="167" fontId="14" fillId="0" borderId="6" xfId="7" applyNumberFormat="1" applyFont="1" applyBorder="1"/>
    <xf numFmtId="2" fontId="14" fillId="0" borderId="6" xfId="7" applyNumberFormat="1" applyFont="1" applyBorder="1"/>
    <xf numFmtId="0" fontId="14" fillId="0" borderId="0" xfId="7" applyFont="1"/>
    <xf numFmtId="0" fontId="14" fillId="0" borderId="0" xfId="7" applyFont="1" applyBorder="1" applyAlignment="1">
      <alignment horizontal="center"/>
    </xf>
    <xf numFmtId="167" fontId="14" fillId="0" borderId="0" xfId="7" applyNumberFormat="1" applyFont="1" applyBorder="1"/>
    <xf numFmtId="2" fontId="14" fillId="0" borderId="0" xfId="7" applyNumberFormat="1" applyFont="1" applyBorder="1"/>
    <xf numFmtId="0" fontId="14" fillId="0" borderId="0" xfId="7" applyFont="1" applyBorder="1"/>
    <xf numFmtId="0" fontId="0" fillId="12" borderId="6" xfId="0" applyFill="1" applyBorder="1" applyAlignment="1">
      <alignment wrapText="1"/>
    </xf>
    <xf numFmtId="0" fontId="3" fillId="12" borderId="6" xfId="0" applyFont="1" applyFill="1" applyBorder="1" applyAlignment="1">
      <alignment wrapText="1"/>
    </xf>
    <xf numFmtId="0" fontId="0" fillId="12" borderId="6" xfId="0" applyFont="1" applyFill="1" applyBorder="1"/>
    <xf numFmtId="1" fontId="0" fillId="12" borderId="6" xfId="0" applyNumberFormat="1" applyFill="1" applyBorder="1"/>
    <xf numFmtId="0" fontId="0" fillId="0" borderId="0" xfId="0" applyNumberFormat="1"/>
    <xf numFmtId="0" fontId="20" fillId="0" borderId="0" xfId="0" applyFont="1" applyFill="1"/>
    <xf numFmtId="0" fontId="21" fillId="0" borderId="0" xfId="0" applyFont="1" applyFill="1"/>
    <xf numFmtId="1" fontId="0" fillId="0" borderId="6" xfId="4" applyNumberFormat="1" applyFont="1" applyBorder="1" applyAlignment="1" applyProtection="1"/>
    <xf numFmtId="165" fontId="0" fillId="0" borderId="6" xfId="0" applyNumberFormat="1" applyBorder="1"/>
    <xf numFmtId="9" fontId="0" fillId="0" borderId="6" xfId="4" applyFont="1" applyBorder="1" applyAlignment="1" applyProtection="1"/>
    <xf numFmtId="165" fontId="0" fillId="0" borderId="6" xfId="4" applyNumberFormat="1" applyFont="1" applyBorder="1" applyAlignment="1" applyProtection="1"/>
    <xf numFmtId="2" fontId="0" fillId="0" borderId="0" xfId="0" applyNumberFormat="1"/>
    <xf numFmtId="2" fontId="0" fillId="0" borderId="6" xfId="0" applyNumberFormat="1" applyBorder="1" applyAlignment="1">
      <alignment wrapText="1"/>
    </xf>
    <xf numFmtId="0" fontId="0" fillId="3" borderId="4" xfId="0" applyFont="1" applyFill="1" applyBorder="1"/>
    <xf numFmtId="0" fontId="0" fillId="3" borderId="3" xfId="0" applyFont="1" applyFill="1" applyBorder="1"/>
    <xf numFmtId="0" fontId="0" fillId="3" borderId="5" xfId="0" applyFont="1" applyFill="1" applyBorder="1"/>
    <xf numFmtId="2" fontId="3" fillId="0" borderId="0" xfId="0" applyNumberFormat="1" applyFont="1"/>
    <xf numFmtId="0" fontId="11" fillId="0" borderId="0" xfId="0" applyFont="1" applyFill="1" applyBorder="1" applyAlignment="1">
      <alignment vertical="center"/>
    </xf>
    <xf numFmtId="0" fontId="10" fillId="0" borderId="0" xfId="0" applyFont="1" applyBorder="1" applyAlignment="1"/>
    <xf numFmtId="0" fontId="0" fillId="0" borderId="0" xfId="0" applyAlignment="1"/>
    <xf numFmtId="0" fontId="24" fillId="13" borderId="0" xfId="0" applyFont="1" applyFill="1"/>
    <xf numFmtId="0" fontId="25" fillId="13" borderId="0" xfId="0" applyFont="1" applyFill="1"/>
    <xf numFmtId="0" fontId="26" fillId="0" borderId="0" xfId="0" applyFont="1" applyBorder="1" applyAlignment="1"/>
    <xf numFmtId="0" fontId="25" fillId="0" borderId="0" xfId="0" applyFont="1"/>
    <xf numFmtId="0" fontId="26" fillId="0" borderId="0" xfId="0" applyFont="1" applyAlignment="1"/>
    <xf numFmtId="2" fontId="27" fillId="0" borderId="0" xfId="0" applyNumberFormat="1" applyFont="1" applyBorder="1" applyAlignment="1">
      <alignment horizontal="left" vertical="top"/>
    </xf>
    <xf numFmtId="43" fontId="25" fillId="0" borderId="0" xfId="1" applyFont="1"/>
    <xf numFmtId="0" fontId="25" fillId="0" borderId="0" xfId="0" applyFont="1" applyAlignment="1">
      <alignment wrapText="1"/>
    </xf>
    <xf numFmtId="43" fontId="25" fillId="0" borderId="0" xfId="1" applyFont="1" applyBorder="1" applyAlignment="1">
      <alignment horizontal="left" vertical="top"/>
    </xf>
    <xf numFmtId="43" fontId="26" fillId="0" borderId="0" xfId="1" applyFont="1" applyBorder="1" applyAlignment="1">
      <alignment horizontal="left" vertical="top"/>
    </xf>
    <xf numFmtId="2" fontId="28" fillId="7" borderId="6" xfId="0" applyNumberFormat="1" applyFont="1" applyFill="1" applyBorder="1" applyAlignment="1">
      <alignment horizontal="left" textRotation="90" wrapText="1"/>
    </xf>
    <xf numFmtId="43" fontId="28" fillId="7" borderId="6" xfId="1" applyFont="1" applyFill="1" applyBorder="1" applyAlignment="1">
      <alignment horizontal="left" vertical="top" wrapText="1" indent="1"/>
    </xf>
    <xf numFmtId="43" fontId="28" fillId="7" borderId="6" xfId="1" applyFont="1" applyFill="1" applyBorder="1" applyAlignment="1">
      <alignment horizontal="right" vertical="top" wrapText="1"/>
    </xf>
    <xf numFmtId="2" fontId="29" fillId="0" borderId="6" xfId="0" applyNumberFormat="1" applyFont="1" applyBorder="1" applyAlignment="1">
      <alignment horizontal="left" vertical="top" wrapText="1"/>
    </xf>
    <xf numFmtId="2" fontId="27" fillId="0" borderId="6" xfId="0" applyNumberFormat="1" applyFont="1" applyBorder="1" applyAlignment="1">
      <alignment horizontal="left" vertical="top"/>
    </xf>
    <xf numFmtId="2" fontId="27" fillId="0" borderId="6" xfId="0" applyNumberFormat="1" applyFont="1" applyBorder="1" applyAlignment="1">
      <alignment vertical="top" shrinkToFit="1"/>
    </xf>
    <xf numFmtId="2" fontId="26" fillId="0" borderId="6" xfId="0" applyNumberFormat="1" applyFont="1" applyBorder="1" applyAlignment="1">
      <alignment vertical="top" shrinkToFit="1"/>
    </xf>
    <xf numFmtId="2" fontId="26" fillId="0" borderId="6" xfId="0" applyNumberFormat="1" applyFont="1" applyBorder="1" applyAlignment="1">
      <alignment horizontal="right" vertical="top" shrinkToFit="1"/>
    </xf>
    <xf numFmtId="43" fontId="26" fillId="9" borderId="6" xfId="1" applyFont="1" applyFill="1" applyBorder="1" applyAlignment="1">
      <alignment horizontal="center" vertical="top" shrinkToFit="1"/>
    </xf>
    <xf numFmtId="43" fontId="27" fillId="9" borderId="6" xfId="1" applyFont="1" applyFill="1" applyBorder="1" applyAlignment="1">
      <alignment horizontal="center" vertical="top" shrinkToFit="1"/>
    </xf>
    <xf numFmtId="43" fontId="27" fillId="9" borderId="6" xfId="1" applyFont="1" applyFill="1" applyBorder="1" applyAlignment="1">
      <alignment horizontal="left" vertical="top" indent="1" shrinkToFit="1"/>
    </xf>
    <xf numFmtId="43" fontId="28" fillId="0" borderId="6" xfId="1" applyFont="1" applyBorder="1" applyAlignment="1">
      <alignment horizontal="left" vertical="top" wrapText="1"/>
    </xf>
    <xf numFmtId="43" fontId="29" fillId="0" borderId="6" xfId="1" applyFont="1" applyBorder="1" applyAlignment="1">
      <alignment horizontal="left" vertical="top" wrapText="1"/>
    </xf>
    <xf numFmtId="43" fontId="27" fillId="0" borderId="6" xfId="1" applyFont="1" applyBorder="1" applyAlignment="1">
      <alignment horizontal="left" wrapText="1"/>
    </xf>
    <xf numFmtId="43" fontId="27" fillId="0" borderId="6" xfId="1" applyFont="1" applyBorder="1" applyAlignment="1">
      <alignment horizontal="left" vertical="top" indent="1" shrinkToFit="1"/>
    </xf>
    <xf numFmtId="43" fontId="27" fillId="0" borderId="6" xfId="1" applyFont="1" applyBorder="1" applyAlignment="1">
      <alignment horizontal="right" vertical="top" shrinkToFit="1"/>
    </xf>
    <xf numFmtId="43" fontId="27" fillId="0" borderId="0" xfId="1" applyFont="1" applyBorder="1" applyAlignment="1">
      <alignment horizontal="left" vertical="top"/>
    </xf>
    <xf numFmtId="2" fontId="26" fillId="0" borderId="0" xfId="0" applyNumberFormat="1" applyFont="1" applyBorder="1" applyAlignment="1">
      <alignment horizontal="center" vertical="top" wrapText="1"/>
    </xf>
    <xf numFmtId="2" fontId="27" fillId="0" borderId="6" xfId="0" applyNumberFormat="1" applyFont="1" applyBorder="1" applyAlignment="1">
      <alignment horizontal="right" vertical="top" shrinkToFit="1"/>
    </xf>
    <xf numFmtId="2" fontId="27" fillId="0" borderId="6" xfId="0" applyNumberFormat="1" applyFont="1" applyBorder="1" applyAlignment="1">
      <alignment horizontal="left" vertical="center" wrapText="1"/>
    </xf>
    <xf numFmtId="2" fontId="27" fillId="0" borderId="6" xfId="0" applyNumberFormat="1" applyFont="1" applyBorder="1" applyAlignment="1">
      <alignment horizontal="left" vertical="top" indent="1" shrinkToFit="1"/>
    </xf>
    <xf numFmtId="2" fontId="27" fillId="0" borderId="6" xfId="0" applyNumberFormat="1" applyFont="1" applyBorder="1" applyAlignment="1">
      <alignment horizontal="center" vertical="top" shrinkToFit="1"/>
    </xf>
    <xf numFmtId="0" fontId="27" fillId="0" borderId="0" xfId="0" applyFont="1"/>
    <xf numFmtId="2" fontId="28" fillId="9" borderId="6" xfId="0" applyNumberFormat="1" applyFont="1" applyFill="1" applyBorder="1" applyAlignment="1">
      <alignment horizontal="left" vertical="top" wrapText="1"/>
    </xf>
    <xf numFmtId="2" fontId="26" fillId="9" borderId="6" xfId="0" applyNumberFormat="1" applyFont="1" applyFill="1" applyBorder="1" applyAlignment="1">
      <alignment horizontal="right" vertical="top" shrinkToFit="1"/>
    </xf>
    <xf numFmtId="2" fontId="26" fillId="9" borderId="6" xfId="0" applyNumberFormat="1" applyFont="1" applyFill="1" applyBorder="1" applyAlignment="1">
      <alignment horizontal="center" vertical="top" shrinkToFit="1"/>
    </xf>
    <xf numFmtId="2" fontId="26" fillId="9" borderId="6" xfId="0" applyNumberFormat="1" applyFont="1" applyFill="1" applyBorder="1" applyAlignment="1">
      <alignment horizontal="left" vertical="top" shrinkToFit="1"/>
    </xf>
    <xf numFmtId="2" fontId="26" fillId="9" borderId="6" xfId="0" applyNumberFormat="1" applyFont="1" applyFill="1" applyBorder="1" applyAlignment="1">
      <alignment horizontal="left" vertical="top" indent="1" shrinkToFit="1"/>
    </xf>
    <xf numFmtId="0" fontId="27" fillId="0" borderId="0" xfId="0" applyFont="1" applyAlignment="1">
      <alignment wrapText="1"/>
    </xf>
    <xf numFmtId="0" fontId="26" fillId="0" borderId="6" xfId="0" applyFont="1" applyBorder="1"/>
    <xf numFmtId="0" fontId="27" fillId="0" borderId="6" xfId="0" applyFont="1" applyBorder="1"/>
    <xf numFmtId="0" fontId="27" fillId="0" borderId="0" xfId="0" applyFont="1" applyBorder="1"/>
    <xf numFmtId="2" fontId="27" fillId="0" borderId="0" xfId="0" applyNumberFormat="1" applyFont="1" applyFill="1" applyBorder="1" applyAlignment="1">
      <alignment horizontal="left" vertical="top"/>
    </xf>
    <xf numFmtId="2" fontId="27" fillId="0" borderId="0" xfId="0" applyNumberFormat="1" applyFont="1" applyBorder="1" applyAlignment="1">
      <alignment horizontal="left" vertical="top" wrapText="1"/>
    </xf>
    <xf numFmtId="2" fontId="26" fillId="0" borderId="0" xfId="0" applyNumberFormat="1" applyFont="1" applyBorder="1" applyAlignment="1">
      <alignment horizontal="left" vertical="top" wrapText="1"/>
    </xf>
    <xf numFmtId="2" fontId="25" fillId="0" borderId="0" xfId="0" applyNumberFormat="1" applyFont="1" applyBorder="1" applyAlignment="1">
      <alignment vertical="top" wrapText="1"/>
    </xf>
    <xf numFmtId="0" fontId="25" fillId="6" borderId="0" xfId="0" applyFont="1" applyFill="1" applyAlignment="1"/>
    <xf numFmtId="0" fontId="25" fillId="0" borderId="0" xfId="0" applyFont="1" applyAlignment="1"/>
    <xf numFmtId="43" fontId="26" fillId="10" borderId="6" xfId="1" applyFont="1" applyFill="1" applyBorder="1" applyAlignment="1"/>
    <xf numFmtId="43" fontId="26" fillId="0" borderId="6" xfId="1" applyFont="1" applyBorder="1" applyAlignment="1"/>
    <xf numFmtId="43" fontId="27" fillId="0" borderId="6" xfId="1" applyFont="1" applyBorder="1" applyAlignment="1"/>
    <xf numFmtId="0" fontId="25" fillId="0" borderId="13" xfId="0" applyFont="1" applyBorder="1" applyAlignment="1"/>
    <xf numFmtId="0" fontId="26" fillId="0" borderId="0" xfId="0" applyFont="1" applyFill="1" applyBorder="1" applyAlignment="1">
      <alignment vertical="center"/>
    </xf>
    <xf numFmtId="43" fontId="27" fillId="5" borderId="6" xfId="1" applyFont="1" applyFill="1" applyBorder="1" applyAlignment="1" applyProtection="1"/>
    <xf numFmtId="0" fontId="30" fillId="13" borderId="0" xfId="0" applyFont="1" applyFill="1"/>
    <xf numFmtId="2" fontId="0" fillId="0" borderId="6" xfId="0" applyNumberFormat="1" applyFill="1" applyBorder="1" applyAlignment="1">
      <alignment wrapText="1"/>
    </xf>
    <xf numFmtId="0" fontId="3" fillId="0" borderId="6" xfId="0" applyFont="1" applyBorder="1" applyAlignment="1">
      <alignment wrapText="1"/>
    </xf>
    <xf numFmtId="43" fontId="3" fillId="0" borderId="0" xfId="0" applyNumberFormat="1" applyFont="1"/>
    <xf numFmtId="4" fontId="14" fillId="0" borderId="0" xfId="0" applyNumberFormat="1" applyFont="1" applyFill="1" applyBorder="1" applyAlignment="1"/>
    <xf numFmtId="166" fontId="0" fillId="0" borderId="0" xfId="4" applyNumberFormat="1" applyFont="1" applyBorder="1" applyAlignment="1" applyProtection="1"/>
    <xf numFmtId="9" fontId="0" fillId="0" borderId="0" xfId="4" applyFont="1" applyBorder="1" applyAlignment="1" applyProtection="1"/>
    <xf numFmtId="9" fontId="0" fillId="0" borderId="0" xfId="0" applyNumberFormat="1"/>
    <xf numFmtId="2" fontId="28" fillId="7" borderId="6" xfId="0" applyNumberFormat="1" applyFont="1" applyFill="1" applyBorder="1" applyAlignment="1">
      <alignment horizontal="left" textRotation="90" wrapText="1"/>
    </xf>
    <xf numFmtId="168" fontId="0" fillId="0" borderId="0" xfId="1" applyNumberFormat="1" applyFont="1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3" fontId="0" fillId="0" borderId="0" xfId="0" applyNumberFormat="1" applyFont="1"/>
    <xf numFmtId="0" fontId="32" fillId="16" borderId="14" xfId="0" applyFont="1" applyFill="1" applyBorder="1" applyAlignment="1">
      <alignment vertical="top"/>
    </xf>
    <xf numFmtId="0" fontId="32" fillId="15" borderId="14" xfId="0" applyFont="1" applyFill="1" applyBorder="1" applyAlignment="1">
      <alignment vertical="top"/>
    </xf>
    <xf numFmtId="0" fontId="3" fillId="0" borderId="0" xfId="0" applyFont="1" applyAlignment="1">
      <alignment wrapText="1"/>
    </xf>
    <xf numFmtId="2" fontId="0" fillId="0" borderId="0" xfId="0" applyNumberFormat="1" applyFont="1"/>
    <xf numFmtId="0" fontId="0" fillId="4" borderId="0" xfId="0" applyFill="1" applyAlignment="1"/>
    <xf numFmtId="0" fontId="0" fillId="0" borderId="1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0" fillId="0" borderId="15" xfId="0" applyBorder="1" applyAlignment="1"/>
    <xf numFmtId="0" fontId="3" fillId="0" borderId="16" xfId="0" applyFont="1" applyBorder="1" applyAlignment="1"/>
    <xf numFmtId="0" fontId="0" fillId="0" borderId="16" xfId="0" applyBorder="1" applyAlignment="1"/>
    <xf numFmtId="0" fontId="3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/>
    <xf numFmtId="0" fontId="0" fillId="0" borderId="19" xfId="0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0" borderId="18" xfId="0" applyFont="1" applyBorder="1" applyAlignment="1"/>
    <xf numFmtId="2" fontId="3" fillId="0" borderId="0" xfId="0" applyNumberFormat="1" applyFont="1" applyBorder="1" applyAlignment="1"/>
    <xf numFmtId="2" fontId="0" fillId="0" borderId="0" xfId="0" applyNumberFormat="1" applyFont="1" applyBorder="1" applyAlignment="1"/>
    <xf numFmtId="0" fontId="0" fillId="0" borderId="19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2" fontId="3" fillId="0" borderId="21" xfId="0" applyNumberFormat="1" applyFont="1" applyBorder="1" applyAlignment="1"/>
    <xf numFmtId="2" fontId="3" fillId="0" borderId="22" xfId="0" applyNumberFormat="1" applyFont="1" applyBorder="1" applyAlignment="1"/>
    <xf numFmtId="0" fontId="0" fillId="0" borderId="15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8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20" xfId="0" applyFont="1" applyBorder="1" applyAlignment="1">
      <alignment wrapText="1"/>
    </xf>
    <xf numFmtId="2" fontId="0" fillId="0" borderId="19" xfId="0" applyNumberFormat="1" applyFont="1" applyBorder="1" applyAlignment="1"/>
    <xf numFmtId="43" fontId="0" fillId="0" borderId="0" xfId="1" applyFont="1" applyAlignment="1"/>
    <xf numFmtId="43" fontId="0" fillId="0" borderId="0" xfId="0" applyNumberFormat="1" applyAlignment="1"/>
    <xf numFmtId="0" fontId="3" fillId="0" borderId="0" xfId="0" quotePrefix="1" applyFont="1" applyAlignment="1"/>
    <xf numFmtId="0" fontId="18" fillId="0" borderId="0" xfId="8"/>
    <xf numFmtId="0" fontId="0" fillId="0" borderId="23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12" borderId="24" xfId="0" applyFill="1" applyBorder="1" applyAlignment="1">
      <alignment wrapText="1"/>
    </xf>
    <xf numFmtId="0" fontId="0" fillId="0" borderId="25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0" borderId="27" xfId="0" applyFont="1" applyFill="1" applyBorder="1" applyAlignment="1">
      <alignment wrapText="1"/>
    </xf>
    <xf numFmtId="0" fontId="0" fillId="0" borderId="28" xfId="0" applyFill="1" applyBorder="1" applyAlignment="1">
      <alignment wrapText="1"/>
    </xf>
    <xf numFmtId="1" fontId="0" fillId="0" borderId="29" xfId="0" applyNumberFormat="1" applyFill="1" applyBorder="1" applyAlignment="1">
      <alignment wrapText="1"/>
    </xf>
    <xf numFmtId="0" fontId="0" fillId="0" borderId="22" xfId="0" applyBorder="1"/>
    <xf numFmtId="0" fontId="31" fillId="0" borderId="0" xfId="0" applyFont="1"/>
    <xf numFmtId="2" fontId="25" fillId="0" borderId="6" xfId="0" applyNumberFormat="1" applyFont="1" applyBorder="1" applyAlignment="1">
      <alignment horizontal="right" vertical="top" shrinkToFit="1"/>
    </xf>
    <xf numFmtId="2" fontId="33" fillId="0" borderId="6" xfId="0" applyNumberFormat="1" applyFont="1" applyBorder="1" applyAlignment="1">
      <alignment horizontal="right" vertical="top" shrinkToFit="1"/>
    </xf>
    <xf numFmtId="2" fontId="33" fillId="0" borderId="6" xfId="0" applyNumberFormat="1" applyFont="1" applyBorder="1" applyAlignment="1">
      <alignment horizontal="center" vertical="top" shrinkToFit="1"/>
    </xf>
    <xf numFmtId="2" fontId="33" fillId="0" borderId="6" xfId="0" applyNumberFormat="1" applyFont="1" applyBorder="1" applyAlignment="1">
      <alignment horizontal="left" vertical="center" wrapText="1"/>
    </xf>
    <xf numFmtId="2" fontId="34" fillId="0" borderId="6" xfId="0" applyNumberFormat="1" applyFont="1" applyBorder="1" applyAlignment="1">
      <alignment vertical="top" shrinkToFit="1"/>
    </xf>
    <xf numFmtId="2" fontId="34" fillId="0" borderId="6" xfId="0" applyNumberFormat="1" applyFont="1" applyBorder="1" applyAlignment="1">
      <alignment horizontal="right" vertical="top" shrinkToFit="1"/>
    </xf>
    <xf numFmtId="2" fontId="33" fillId="0" borderId="6" xfId="0" applyNumberFormat="1" applyFont="1" applyBorder="1" applyAlignment="1">
      <alignment horizontal="left" vertical="top" indent="1" shrinkToFit="1"/>
    </xf>
    <xf numFmtId="2" fontId="34" fillId="9" borderId="6" xfId="0" applyNumberFormat="1" applyFont="1" applyFill="1" applyBorder="1" applyAlignment="1">
      <alignment horizontal="right" vertical="top" shrinkToFit="1"/>
    </xf>
    <xf numFmtId="2" fontId="34" fillId="9" borderId="6" xfId="0" applyNumberFormat="1" applyFont="1" applyFill="1" applyBorder="1" applyAlignment="1">
      <alignment horizontal="center" vertical="top" shrinkToFit="1"/>
    </xf>
    <xf numFmtId="2" fontId="34" fillId="9" borderId="6" xfId="0" applyNumberFormat="1" applyFont="1" applyFill="1" applyBorder="1" applyAlignment="1">
      <alignment horizontal="left" vertical="top" shrinkToFit="1"/>
    </xf>
    <xf numFmtId="2" fontId="25" fillId="0" borderId="6" xfId="0" applyNumberFormat="1" applyFont="1" applyBorder="1" applyAlignment="1">
      <alignment horizontal="center" vertical="top" shrinkToFit="1"/>
    </xf>
    <xf numFmtId="2" fontId="25" fillId="0" borderId="6" xfId="0" applyNumberFormat="1" applyFont="1" applyBorder="1" applyAlignment="1">
      <alignment horizontal="left" vertical="top" indent="1" shrinkToFit="1"/>
    </xf>
    <xf numFmtId="43" fontId="33" fillId="0" borderId="6" xfId="1" applyFont="1" applyBorder="1" applyAlignment="1">
      <alignment horizontal="left" wrapText="1"/>
    </xf>
    <xf numFmtId="43" fontId="33" fillId="0" borderId="6" xfId="1" applyFont="1" applyBorder="1" applyAlignment="1">
      <alignment horizontal="left" vertical="top" indent="1" shrinkToFit="1"/>
    </xf>
    <xf numFmtId="43" fontId="33" fillId="0" borderId="6" xfId="1" applyFont="1" applyBorder="1" applyAlignment="1">
      <alignment horizontal="right" vertical="top" shrinkToFit="1"/>
    </xf>
    <xf numFmtId="43" fontId="25" fillId="0" borderId="6" xfId="1" applyFont="1" applyBorder="1" applyAlignment="1">
      <alignment horizontal="right" vertical="top" shrinkToFit="1"/>
    </xf>
    <xf numFmtId="43" fontId="25" fillId="0" borderId="6" xfId="1" applyFont="1" applyBorder="1" applyAlignment="1">
      <alignment horizontal="left" vertical="top" indent="1" shrinkToFit="1"/>
    </xf>
    <xf numFmtId="0" fontId="0" fillId="0" borderId="0" xfId="0" applyFill="1"/>
    <xf numFmtId="0" fontId="4" fillId="0" borderId="0" xfId="0" applyFont="1" applyFill="1"/>
    <xf numFmtId="0" fontId="35" fillId="0" borderId="0" xfId="0" applyFont="1"/>
    <xf numFmtId="0" fontId="3" fillId="0" borderId="0" xfId="0" applyFont="1" applyAlignment="1">
      <alignment horizontal="center"/>
    </xf>
    <xf numFmtId="165" fontId="3" fillId="14" borderId="0" xfId="0" applyNumberFormat="1" applyFont="1" applyFill="1"/>
    <xf numFmtId="165" fontId="0" fillId="0" borderId="0" xfId="0" applyNumberFormat="1"/>
    <xf numFmtId="0" fontId="3" fillId="1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165" fontId="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165" fontId="3" fillId="0" borderId="6" xfId="0" applyNumberFormat="1" applyFont="1" applyBorder="1"/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9" fontId="0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35" fillId="0" borderId="0" xfId="0" applyNumberFormat="1" applyFont="1" applyAlignment="1">
      <alignment horizontal="center" vertical="center"/>
    </xf>
    <xf numFmtId="0" fontId="17" fillId="0" borderId="0" xfId="2" applyFont="1" applyFill="1" applyAlignment="1">
      <alignment wrapText="1"/>
    </xf>
    <xf numFmtId="0" fontId="17" fillId="0" borderId="0" xfId="2" applyFont="1" applyFill="1" applyAlignment="1"/>
    <xf numFmtId="9" fontId="0" fillId="0" borderId="6" xfId="4" applyFont="1" applyFill="1" applyBorder="1" applyAlignment="1" applyProtection="1">
      <alignment wrapText="1"/>
    </xf>
    <xf numFmtId="9" fontId="0" fillId="17" borderId="6" xfId="4" applyFont="1" applyFill="1" applyBorder="1" applyAlignment="1" applyProtection="1">
      <alignment wrapText="1"/>
    </xf>
    <xf numFmtId="166" fontId="0" fillId="17" borderId="6" xfId="4" applyNumberFormat="1" applyFont="1" applyFill="1" applyBorder="1" applyAlignment="1" applyProtection="1">
      <alignment wrapText="1"/>
    </xf>
    <xf numFmtId="0" fontId="5" fillId="17" borderId="10" xfId="2" applyFont="1" applyFill="1" applyBorder="1" applyAlignment="1">
      <alignment wrapText="1"/>
    </xf>
    <xf numFmtId="9" fontId="0" fillId="12" borderId="30" xfId="4" applyFont="1" applyFill="1" applyBorder="1" applyAlignment="1" applyProtection="1">
      <alignment wrapText="1"/>
    </xf>
    <xf numFmtId="166" fontId="0" fillId="12" borderId="29" xfId="4" applyNumberFormat="1" applyFont="1" applyFill="1" applyBorder="1" applyAlignment="1" applyProtection="1">
      <alignment wrapText="1"/>
    </xf>
    <xf numFmtId="43" fontId="17" fillId="12" borderId="31" xfId="1" applyFont="1" applyFill="1" applyBorder="1" applyAlignment="1">
      <alignment wrapText="1"/>
    </xf>
    <xf numFmtId="0" fontId="17" fillId="12" borderId="28" xfId="2" applyFont="1" applyFill="1" applyBorder="1" applyAlignment="1">
      <alignment wrapText="1"/>
    </xf>
    <xf numFmtId="9" fontId="0" fillId="12" borderId="32" xfId="4" applyFont="1" applyFill="1" applyBorder="1" applyAlignment="1" applyProtection="1">
      <alignment wrapText="1"/>
    </xf>
    <xf numFmtId="166" fontId="0" fillId="17" borderId="12" xfId="4" applyNumberFormat="1" applyFont="1" applyFill="1" applyBorder="1" applyAlignment="1" applyProtection="1">
      <alignment wrapText="1"/>
    </xf>
    <xf numFmtId="0" fontId="17" fillId="17" borderId="6" xfId="2" applyFont="1" applyFill="1" applyBorder="1" applyAlignment="1">
      <alignment wrapText="1"/>
    </xf>
    <xf numFmtId="0" fontId="17" fillId="0" borderId="6" xfId="2" applyFont="1" applyFill="1" applyBorder="1" applyAlignment="1">
      <alignment wrapText="1"/>
    </xf>
    <xf numFmtId="0" fontId="5" fillId="17" borderId="10" xfId="2" applyFill="1" applyBorder="1" applyAlignment="1">
      <alignment wrapText="1"/>
    </xf>
    <xf numFmtId="9" fontId="0" fillId="12" borderId="27" xfId="4" applyFont="1" applyFill="1" applyBorder="1" applyAlignment="1" applyProtection="1">
      <alignment wrapText="1"/>
    </xf>
    <xf numFmtId="166" fontId="0" fillId="12" borderId="6" xfId="4" applyNumberFormat="1" applyFont="1" applyFill="1" applyBorder="1" applyAlignment="1" applyProtection="1">
      <alignment wrapText="1"/>
    </xf>
    <xf numFmtId="43" fontId="17" fillId="12" borderId="10" xfId="1" applyFont="1" applyFill="1" applyBorder="1" applyAlignment="1">
      <alignment wrapText="1"/>
    </xf>
    <xf numFmtId="0" fontId="17" fillId="12" borderId="26" xfId="2" applyFont="1" applyFill="1" applyBorder="1" applyAlignment="1">
      <alignment wrapText="1"/>
    </xf>
    <xf numFmtId="9" fontId="0" fillId="12" borderId="12" xfId="4" applyFont="1" applyFill="1" applyBorder="1" applyAlignment="1" applyProtection="1">
      <alignment wrapText="1"/>
    </xf>
    <xf numFmtId="9" fontId="3" fillId="12" borderId="26" xfId="4" applyFont="1" applyFill="1" applyBorder="1" applyAlignment="1" applyProtection="1">
      <alignment wrapText="1"/>
    </xf>
    <xf numFmtId="0" fontId="5" fillId="0" borderId="6" xfId="2" applyFill="1" applyBorder="1" applyAlignment="1">
      <alignment wrapText="1"/>
    </xf>
    <xf numFmtId="0" fontId="18" fillId="0" borderId="6" xfId="8" applyBorder="1"/>
    <xf numFmtId="0" fontId="18" fillId="0" borderId="6" xfId="8" applyBorder="1" applyAlignment="1"/>
    <xf numFmtId="9" fontId="0" fillId="12" borderId="6" xfId="4" applyFont="1" applyFill="1" applyBorder="1" applyAlignment="1" applyProtection="1">
      <alignment wrapText="1"/>
    </xf>
    <xf numFmtId="9" fontId="0" fillId="17" borderId="12" xfId="4" applyFont="1" applyFill="1" applyBorder="1" applyAlignment="1" applyProtection="1">
      <alignment wrapText="1"/>
    </xf>
    <xf numFmtId="2" fontId="5" fillId="17" borderId="10" xfId="2" applyNumberFormat="1" applyFont="1" applyFill="1" applyBorder="1" applyAlignment="1">
      <alignment wrapText="1"/>
    </xf>
    <xf numFmtId="2" fontId="0" fillId="17" borderId="10" xfId="4" applyNumberFormat="1" applyFont="1" applyFill="1" applyBorder="1" applyAlignment="1" applyProtection="1">
      <alignment wrapText="1"/>
    </xf>
    <xf numFmtId="9" fontId="5" fillId="0" borderId="6" xfId="9" applyFont="1" applyFill="1" applyBorder="1" applyAlignment="1">
      <alignment wrapText="1"/>
    </xf>
    <xf numFmtId="0" fontId="5" fillId="17" borderId="6" xfId="2" applyFill="1" applyBorder="1" applyAlignment="1">
      <alignment wrapText="1"/>
    </xf>
    <xf numFmtId="166" fontId="5" fillId="0" borderId="6" xfId="9" applyNumberFormat="1" applyFont="1" applyFill="1" applyBorder="1" applyAlignment="1">
      <alignment wrapText="1"/>
    </xf>
    <xf numFmtId="0" fontId="5" fillId="12" borderId="25" xfId="2" applyFill="1" applyBorder="1" applyAlignment="1">
      <alignment wrapText="1"/>
    </xf>
    <xf numFmtId="0" fontId="5" fillId="12" borderId="24" xfId="2" applyFill="1" applyBorder="1" applyAlignment="1">
      <alignment wrapText="1"/>
    </xf>
    <xf numFmtId="43" fontId="17" fillId="12" borderId="33" xfId="1" applyFont="1" applyFill="1" applyBorder="1" applyAlignment="1">
      <alignment wrapText="1"/>
    </xf>
    <xf numFmtId="0" fontId="3" fillId="12" borderId="23" xfId="0" applyFont="1" applyFill="1" applyBorder="1"/>
    <xf numFmtId="0" fontId="5" fillId="12" borderId="34" xfId="2" applyFill="1" applyBorder="1" applyAlignment="1">
      <alignment wrapText="1"/>
    </xf>
    <xf numFmtId="0" fontId="5" fillId="12" borderId="35" xfId="2" applyFill="1" applyBorder="1" applyAlignment="1">
      <alignment wrapText="1"/>
    </xf>
    <xf numFmtId="0" fontId="5" fillId="12" borderId="9" xfId="2" applyFill="1" applyBorder="1" applyAlignment="1">
      <alignment wrapText="1"/>
    </xf>
    <xf numFmtId="0" fontId="17" fillId="0" borderId="6" xfId="2" applyFont="1" applyFill="1" applyBorder="1" applyAlignment="1"/>
    <xf numFmtId="9" fontId="3" fillId="0" borderId="0" xfId="4" applyFont="1" applyFill="1" applyBorder="1" applyAlignment="1" applyProtection="1">
      <alignment wrapText="1"/>
    </xf>
    <xf numFmtId="0" fontId="17" fillId="17" borderId="10" xfId="2" applyFont="1" applyFill="1" applyBorder="1" applyAlignment="1">
      <alignment wrapText="1"/>
    </xf>
    <xf numFmtId="0" fontId="17" fillId="12" borderId="30" xfId="2" applyFont="1" applyFill="1" applyBorder="1" applyAlignment="1">
      <alignment wrapText="1"/>
    </xf>
    <xf numFmtId="0" fontId="17" fillId="12" borderId="29" xfId="2" applyFont="1" applyFill="1" applyBorder="1" applyAlignment="1">
      <alignment wrapText="1"/>
    </xf>
    <xf numFmtId="0" fontId="17" fillId="0" borderId="0" xfId="2" applyFont="1" applyFill="1" applyBorder="1" applyAlignment="1">
      <alignment wrapText="1"/>
    </xf>
    <xf numFmtId="0" fontId="0" fillId="0" borderId="1" xfId="0" applyNumberFormat="1" applyFont="1" applyBorder="1"/>
    <xf numFmtId="0" fontId="0" fillId="0" borderId="0" xfId="0" applyFill="1" applyBorder="1" applyAlignment="1">
      <alignment wrapText="1"/>
    </xf>
    <xf numFmtId="0" fontId="14" fillId="0" borderId="0" xfId="7" applyFont="1" applyFill="1" applyBorder="1"/>
    <xf numFmtId="2" fontId="3" fillId="14" borderId="6" xfId="0" applyNumberFormat="1" applyFont="1" applyFill="1" applyBorder="1" applyAlignment="1">
      <alignment horizontal="center" vertical="center"/>
    </xf>
    <xf numFmtId="0" fontId="0" fillId="0" borderId="3" xfId="0" applyNumberFormat="1" applyFont="1" applyBorder="1"/>
    <xf numFmtId="43" fontId="0" fillId="3" borderId="3" xfId="1" applyNumberFormat="1" applyFont="1" applyFill="1" applyBorder="1"/>
    <xf numFmtId="0" fontId="0" fillId="0" borderId="3" xfId="0" applyFont="1" applyBorder="1"/>
    <xf numFmtId="43" fontId="0" fillId="0" borderId="3" xfId="1" applyNumberFormat="1" applyFont="1" applyBorder="1"/>
    <xf numFmtId="0" fontId="2" fillId="2" borderId="0" xfId="0" applyFont="1" applyFill="1" applyBorder="1" applyAlignment="1">
      <alignment vertical="center"/>
    </xf>
    <xf numFmtId="0" fontId="17" fillId="12" borderId="31" xfId="2" applyFont="1" applyFill="1" applyBorder="1" applyAlignment="1">
      <alignment wrapText="1"/>
    </xf>
    <xf numFmtId="0" fontId="17" fillId="12" borderId="37" xfId="2" applyFont="1" applyFill="1" applyBorder="1" applyAlignment="1">
      <alignment wrapText="1"/>
    </xf>
    <xf numFmtId="0" fontId="17" fillId="12" borderId="10" xfId="2" applyFont="1" applyFill="1" applyBorder="1" applyAlignment="1">
      <alignment wrapText="1"/>
    </xf>
    <xf numFmtId="0" fontId="17" fillId="0" borderId="12" xfId="2" applyFont="1" applyFill="1" applyBorder="1" applyAlignment="1">
      <alignment wrapText="1"/>
    </xf>
    <xf numFmtId="1" fontId="3" fillId="0" borderId="12" xfId="4" applyNumberFormat="1" applyFont="1" applyFill="1" applyBorder="1" applyAlignment="1" applyProtection="1">
      <alignment wrapText="1"/>
    </xf>
    <xf numFmtId="0" fontId="17" fillId="17" borderId="38" xfId="2" applyFont="1" applyFill="1" applyBorder="1" applyAlignment="1">
      <alignment horizontal="center" wrapText="1"/>
    </xf>
    <xf numFmtId="0" fontId="17" fillId="17" borderId="26" xfId="2" applyFont="1" applyFill="1" applyBorder="1" applyAlignment="1">
      <alignment wrapText="1"/>
    </xf>
    <xf numFmtId="9" fontId="0" fillId="17" borderId="27" xfId="4" applyFont="1" applyFill="1" applyBorder="1" applyAlignment="1" applyProtection="1">
      <alignment wrapText="1"/>
    </xf>
    <xf numFmtId="166" fontId="0" fillId="17" borderId="27" xfId="4" applyNumberFormat="1" applyFont="1" applyFill="1" applyBorder="1" applyAlignment="1" applyProtection="1">
      <alignment wrapText="1"/>
    </xf>
    <xf numFmtId="0" fontId="17" fillId="17" borderId="28" xfId="2" applyFont="1" applyFill="1" applyBorder="1" applyAlignment="1">
      <alignment wrapText="1"/>
    </xf>
    <xf numFmtId="166" fontId="0" fillId="17" borderId="32" xfId="4" applyNumberFormat="1" applyFont="1" applyFill="1" applyBorder="1" applyAlignment="1" applyProtection="1">
      <alignment wrapText="1"/>
    </xf>
    <xf numFmtId="166" fontId="0" fillId="17" borderId="30" xfId="4" applyNumberFormat="1" applyFont="1" applyFill="1" applyBorder="1" applyAlignment="1" applyProtection="1">
      <alignment wrapText="1"/>
    </xf>
    <xf numFmtId="0" fontId="17" fillId="17" borderId="36" xfId="2" applyFont="1" applyFill="1" applyBorder="1" applyAlignment="1">
      <alignment wrapText="1"/>
    </xf>
    <xf numFmtId="0" fontId="5" fillId="17" borderId="35" xfId="2" applyFill="1" applyBorder="1" applyAlignment="1">
      <alignment wrapText="1"/>
    </xf>
    <xf numFmtId="0" fontId="5" fillId="17" borderId="39" xfId="2" applyFill="1" applyBorder="1" applyAlignment="1">
      <alignment wrapText="1"/>
    </xf>
    <xf numFmtId="0" fontId="17" fillId="17" borderId="32" xfId="2" applyFont="1" applyFill="1" applyBorder="1" applyAlignment="1">
      <alignment wrapText="1"/>
    </xf>
    <xf numFmtId="0" fontId="17" fillId="17" borderId="30" xfId="2" applyFont="1" applyFill="1" applyBorder="1" applyAlignment="1">
      <alignment wrapText="1"/>
    </xf>
    <xf numFmtId="0" fontId="0" fillId="0" borderId="0" xfId="0" quotePrefix="1"/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9" fontId="0" fillId="0" borderId="6" xfId="0" applyNumberFormat="1" applyBorder="1"/>
    <xf numFmtId="10" fontId="0" fillId="0" borderId="0" xfId="0" applyNumberFormat="1"/>
    <xf numFmtId="43" fontId="0" fillId="0" borderId="0" xfId="0" applyNumberFormat="1"/>
    <xf numFmtId="10" fontId="0" fillId="0" borderId="6" xfId="0" applyNumberFormat="1" applyBorder="1" applyAlignment="1">
      <alignment wrapText="1"/>
    </xf>
    <xf numFmtId="9" fontId="0" fillId="0" borderId="6" xfId="0" applyNumberFormat="1" applyBorder="1" applyAlignment="1">
      <alignment wrapText="1"/>
    </xf>
    <xf numFmtId="43" fontId="0" fillId="0" borderId="3" xfId="1" applyFont="1" applyBorder="1"/>
    <xf numFmtId="10" fontId="0" fillId="0" borderId="6" xfId="0" applyNumberFormat="1" applyBorder="1"/>
    <xf numFmtId="170" fontId="0" fillId="3" borderId="3" xfId="1" applyNumberFormat="1" applyFont="1" applyFill="1" applyBorder="1"/>
    <xf numFmtId="170" fontId="0" fillId="0" borderId="3" xfId="1" applyNumberFormat="1" applyFont="1" applyBorder="1"/>
    <xf numFmtId="171" fontId="0" fillId="0" borderId="0" xfId="1" applyNumberFormat="1" applyFont="1"/>
    <xf numFmtId="172" fontId="0" fillId="0" borderId="0" xfId="0" applyNumberFormat="1"/>
    <xf numFmtId="2" fontId="4" fillId="0" borderId="0" xfId="1" applyNumberFormat="1" applyFont="1"/>
    <xf numFmtId="2" fontId="4" fillId="0" borderId="0" xfId="0" applyNumberFormat="1" applyFont="1"/>
    <xf numFmtId="9" fontId="0" fillId="0" borderId="0" xfId="0" applyNumberFormat="1" applyAlignment="1"/>
    <xf numFmtId="170" fontId="0" fillId="0" borderId="0" xfId="1" applyNumberFormat="1" applyFont="1" applyAlignment="1"/>
    <xf numFmtId="170" fontId="3" fillId="0" borderId="0" xfId="1" applyNumberFormat="1" applyFont="1" applyAlignment="1"/>
    <xf numFmtId="170" fontId="3" fillId="0" borderId="0" xfId="1" applyNumberFormat="1" applyFont="1" applyAlignment="1">
      <alignment wrapText="1"/>
    </xf>
    <xf numFmtId="43" fontId="37" fillId="0" borderId="0" xfId="0" applyNumberFormat="1" applyFont="1"/>
    <xf numFmtId="173" fontId="0" fillId="0" borderId="0" xfId="0" applyNumberFormat="1"/>
    <xf numFmtId="2" fontId="0" fillId="3" borderId="3" xfId="1" applyNumberFormat="1" applyFont="1" applyFill="1" applyBorder="1"/>
    <xf numFmtId="2" fontId="0" fillId="0" borderId="3" xfId="1" applyNumberFormat="1" applyFont="1" applyBorder="1"/>
    <xf numFmtId="167" fontId="0" fillId="0" borderId="0" xfId="0" applyNumberFormat="1"/>
    <xf numFmtId="0" fontId="7" fillId="0" borderId="0" xfId="0" applyFont="1" applyFill="1"/>
    <xf numFmtId="166" fontId="0" fillId="0" borderId="0" xfId="4" applyNumberFormat="1" applyFont="1" applyFill="1" applyBorder="1" applyAlignment="1" applyProtection="1"/>
    <xf numFmtId="9" fontId="0" fillId="0" borderId="0" xfId="4" applyFont="1" applyFill="1" applyBorder="1" applyAlignment="1" applyProtection="1"/>
    <xf numFmtId="9" fontId="5" fillId="0" borderId="0" xfId="4" applyFill="1"/>
    <xf numFmtId="171" fontId="0" fillId="0" borderId="0" xfId="0" applyNumberFormat="1"/>
    <xf numFmtId="0" fontId="3" fillId="14" borderId="0" xfId="0" applyFont="1" applyFill="1" applyAlignment="1">
      <alignment horizontal="center" vertical="center" wrapText="1"/>
    </xf>
    <xf numFmtId="9" fontId="3" fillId="14" borderId="0" xfId="0" applyNumberFormat="1" applyFont="1" applyFill="1" applyAlignment="1">
      <alignment horizontal="center" vertical="center"/>
    </xf>
    <xf numFmtId="0" fontId="39" fillId="0" borderId="0" xfId="10" applyFont="1" applyAlignment="1">
      <alignment horizontal="left"/>
    </xf>
    <xf numFmtId="0" fontId="38" fillId="0" borderId="0" xfId="10" applyFont="1" applyAlignment="1"/>
    <xf numFmtId="0" fontId="40" fillId="0" borderId="0" xfId="10" applyFont="1" applyAlignment="1"/>
    <xf numFmtId="0" fontId="41" fillId="0" borderId="0" xfId="10" applyFont="1" applyAlignment="1">
      <alignment horizontal="left"/>
    </xf>
    <xf numFmtId="0" fontId="42" fillId="0" borderId="0" xfId="10" applyFont="1" applyAlignment="1">
      <alignment horizontal="left"/>
    </xf>
    <xf numFmtId="0" fontId="43" fillId="0" borderId="0" xfId="10" applyFont="1" applyAlignment="1"/>
    <xf numFmtId="174" fontId="44" fillId="0" borderId="0" xfId="10" applyNumberFormat="1" applyFont="1" applyAlignment="1">
      <alignment horizontal="left"/>
    </xf>
    <xf numFmtId="0" fontId="40" fillId="0" borderId="0" xfId="10" applyFont="1"/>
    <xf numFmtId="0" fontId="45" fillId="0" borderId="0" xfId="10" applyFont="1" applyAlignment="1"/>
    <xf numFmtId="0" fontId="44" fillId="0" borderId="0" xfId="10" applyFont="1" applyAlignment="1">
      <alignment horizontal="left"/>
    </xf>
    <xf numFmtId="0" fontId="43" fillId="0" borderId="0" xfId="10" applyFont="1" applyAlignment="1">
      <alignment horizontal="center"/>
    </xf>
    <xf numFmtId="0" fontId="43" fillId="0" borderId="43" xfId="10" applyFont="1" applyBorder="1" applyAlignment="1"/>
    <xf numFmtId="0" fontId="46" fillId="0" borderId="44" xfId="10" applyFont="1" applyBorder="1" applyAlignment="1"/>
    <xf numFmtId="0" fontId="45" fillId="0" borderId="6" xfId="10" applyFont="1" applyBorder="1" applyAlignment="1">
      <alignment wrapText="1"/>
    </xf>
    <xf numFmtId="0" fontId="45" fillId="0" borderId="6" xfId="10" applyFont="1" applyBorder="1" applyAlignment="1"/>
    <xf numFmtId="0" fontId="44" fillId="0" borderId="6" xfId="10" applyFont="1" applyBorder="1" applyAlignment="1">
      <alignment wrapText="1"/>
    </xf>
    <xf numFmtId="0" fontId="44" fillId="0" borderId="0" xfId="10" applyFont="1" applyBorder="1" applyAlignment="1"/>
    <xf numFmtId="0" fontId="44" fillId="0" borderId="0" xfId="10" applyFont="1" applyBorder="1" applyAlignment="1">
      <alignment wrapText="1"/>
    </xf>
    <xf numFmtId="0" fontId="50" fillId="0" borderId="0" xfId="12" applyFont="1" applyBorder="1" applyAlignment="1"/>
    <xf numFmtId="0" fontId="45" fillId="0" borderId="0" xfId="10" applyFont="1" applyAlignment="1">
      <alignment horizontal="center"/>
    </xf>
    <xf numFmtId="0" fontId="38" fillId="0" borderId="0" xfId="10" applyFont="1" applyAlignment="1">
      <alignment horizontal="center"/>
    </xf>
    <xf numFmtId="0" fontId="38" fillId="0" borderId="0" xfId="10" applyFont="1" applyAlignment="1">
      <alignment horizontal="left"/>
    </xf>
    <xf numFmtId="0" fontId="51" fillId="0" borderId="0" xfId="0" applyFont="1" applyAlignment="1">
      <alignment horizontal="center" vertical="top"/>
    </xf>
    <xf numFmtId="0" fontId="51" fillId="0" borderId="0" xfId="0" applyFont="1" applyAlignment="1">
      <alignment horizontal="left" vertical="top"/>
    </xf>
    <xf numFmtId="0" fontId="25" fillId="0" borderId="0" xfId="0" applyFont="1" applyAlignment="1">
      <alignment horizontal="center" vertical="top"/>
    </xf>
    <xf numFmtId="0" fontId="52" fillId="0" borderId="0" xfId="10" applyFont="1" applyAlignment="1">
      <alignment horizontal="center"/>
    </xf>
    <xf numFmtId="0" fontId="50" fillId="0" borderId="0" xfId="12" applyFont="1" applyAlignment="1">
      <alignment horizontal="left" vertical="center" indent="2"/>
    </xf>
    <xf numFmtId="0" fontId="49" fillId="0" borderId="0" xfId="12" applyFont="1" applyBorder="1" applyAlignment="1"/>
    <xf numFmtId="0" fontId="53" fillId="0" borderId="6" xfId="8" applyFont="1" applyBorder="1"/>
    <xf numFmtId="0" fontId="44" fillId="0" borderId="6" xfId="10" applyFont="1" applyBorder="1" applyAlignment="1">
      <alignment horizontal="center"/>
    </xf>
    <xf numFmtId="0" fontId="51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6" xfId="0" applyFont="1" applyFill="1" applyBorder="1" applyAlignment="1">
      <alignment horizontal="right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 vertical="center" wrapText="1"/>
    </xf>
    <xf numFmtId="2" fontId="0" fillId="0" borderId="6" xfId="0" applyNumberForma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175" fontId="0" fillId="0" borderId="0" xfId="0" applyNumberFormat="1"/>
    <xf numFmtId="43" fontId="26" fillId="10" borderId="6" xfId="1" applyFont="1" applyFill="1" applyBorder="1" applyAlignment="1">
      <alignment wrapText="1"/>
    </xf>
    <xf numFmtId="0" fontId="43" fillId="0" borderId="40" xfId="10" applyFont="1" applyBorder="1" applyAlignment="1">
      <alignment horizontal="center"/>
    </xf>
    <xf numFmtId="0" fontId="44" fillId="0" borderId="41" xfId="10" applyFont="1" applyBorder="1"/>
    <xf numFmtId="0" fontId="44" fillId="0" borderId="42" xfId="10" applyFont="1" applyBorder="1"/>
    <xf numFmtId="0" fontId="27" fillId="0" borderId="6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top" wrapText="1"/>
    </xf>
    <xf numFmtId="0" fontId="0" fillId="0" borderId="0" xfId="0" applyAlignment="1"/>
    <xf numFmtId="0" fontId="16" fillId="11" borderId="6" xfId="7" applyFont="1" applyFill="1" applyBorder="1" applyAlignment="1">
      <alignment horizontal="center"/>
    </xf>
    <xf numFmtId="0" fontId="16" fillId="11" borderId="6" xfId="7" applyFont="1" applyFill="1" applyBorder="1" applyAlignment="1">
      <alignment horizontal="center" vertical="center"/>
    </xf>
    <xf numFmtId="0" fontId="16" fillId="11" borderId="6" xfId="7" applyFont="1" applyFill="1" applyBorder="1" applyAlignment="1">
      <alignment horizontal="center" vertical="center" wrapText="1"/>
    </xf>
    <xf numFmtId="0" fontId="16" fillId="11" borderId="6" xfId="7" applyFont="1" applyFill="1" applyBorder="1" applyAlignment="1">
      <alignment horizontal="justify" wrapText="1"/>
    </xf>
    <xf numFmtId="0" fontId="16" fillId="8" borderId="6" xfId="7" applyFont="1" applyFill="1" applyBorder="1" applyAlignment="1">
      <alignment horizontal="center"/>
    </xf>
    <xf numFmtId="0" fontId="17" fillId="17" borderId="23" xfId="2" applyFont="1" applyFill="1" applyBorder="1" applyAlignment="1">
      <alignment horizontal="center" wrapText="1"/>
    </xf>
    <xf numFmtId="0" fontId="17" fillId="17" borderId="34" xfId="2" applyFont="1" applyFill="1" applyBorder="1" applyAlignment="1">
      <alignment horizontal="center" wrapText="1"/>
    </xf>
    <xf numFmtId="0" fontId="17" fillId="12" borderId="33" xfId="2" applyFont="1" applyFill="1" applyBorder="1" applyAlignment="1">
      <alignment horizontal="center" wrapText="1"/>
    </xf>
    <xf numFmtId="0" fontId="17" fillId="12" borderId="24" xfId="2" applyFont="1" applyFill="1" applyBorder="1" applyAlignment="1">
      <alignment horizontal="center" wrapText="1"/>
    </xf>
    <xf numFmtId="0" fontId="17" fillId="12" borderId="25" xfId="2" applyFont="1" applyFill="1" applyBorder="1" applyAlignment="1">
      <alignment horizontal="center" wrapText="1"/>
    </xf>
    <xf numFmtId="0" fontId="17" fillId="17" borderId="11" xfId="2" applyFont="1" applyFill="1" applyBorder="1" applyAlignment="1">
      <alignment horizontal="center" wrapText="1"/>
    </xf>
    <xf numFmtId="0" fontId="17" fillId="17" borderId="10" xfId="2" applyFont="1" applyFill="1" applyBorder="1" applyAlignment="1">
      <alignment horizontal="center" wrapText="1"/>
    </xf>
    <xf numFmtId="0" fontId="17" fillId="12" borderId="23" xfId="2" applyFont="1" applyFill="1" applyBorder="1" applyAlignment="1">
      <alignment horizontal="center" wrapText="1"/>
    </xf>
    <xf numFmtId="2" fontId="28" fillId="0" borderId="0" xfId="0" applyNumberFormat="1" applyFont="1" applyBorder="1" applyAlignment="1">
      <alignment horizontal="left" vertical="center" wrapText="1"/>
    </xf>
    <xf numFmtId="2" fontId="28" fillId="7" borderId="6" xfId="0" applyNumberFormat="1" applyFont="1" applyFill="1" applyBorder="1" applyAlignment="1">
      <alignment horizontal="left" textRotation="90" wrapText="1"/>
    </xf>
    <xf numFmtId="2" fontId="26" fillId="0" borderId="7" xfId="0" applyNumberFormat="1" applyFont="1" applyBorder="1" applyAlignment="1">
      <alignment horizontal="center" vertical="top" wrapText="1"/>
    </xf>
    <xf numFmtId="14" fontId="26" fillId="10" borderId="8" xfId="0" applyNumberFormat="1" applyFont="1" applyFill="1" applyBorder="1" applyAlignment="1">
      <alignment horizontal="center" wrapText="1"/>
    </xf>
    <xf numFmtId="43" fontId="26" fillId="0" borderId="12" xfId="1" applyFont="1" applyBorder="1" applyAlignment="1">
      <alignment horizontal="center" vertical="top" wrapText="1"/>
    </xf>
    <xf numFmtId="43" fontId="26" fillId="0" borderId="11" xfId="1" applyFont="1" applyBorder="1" applyAlignment="1">
      <alignment horizontal="center" vertical="top" wrapText="1"/>
    </xf>
    <xf numFmtId="43" fontId="26" fillId="0" borderId="10" xfId="1" applyFont="1" applyBorder="1" applyAlignment="1">
      <alignment horizontal="center" vertical="top" wrapText="1"/>
    </xf>
    <xf numFmtId="43" fontId="28" fillId="7" borderId="8" xfId="1" applyFont="1" applyFill="1" applyBorder="1" applyAlignment="1">
      <alignment horizontal="left" vertical="top" wrapText="1"/>
    </xf>
    <xf numFmtId="43" fontId="28" fillId="7" borderId="9" xfId="1" applyFont="1" applyFill="1" applyBorder="1" applyAlignment="1">
      <alignment horizontal="left" vertical="top" wrapText="1"/>
    </xf>
    <xf numFmtId="43" fontId="28" fillId="7" borderId="8" xfId="1" applyFont="1" applyFill="1" applyBorder="1" applyAlignment="1">
      <alignment horizontal="center" vertical="top" wrapText="1"/>
    </xf>
    <xf numFmtId="43" fontId="28" fillId="7" borderId="9" xfId="1" applyFont="1" applyFill="1" applyBorder="1" applyAlignment="1">
      <alignment horizontal="center" vertical="top" wrapText="1"/>
    </xf>
    <xf numFmtId="43" fontId="28" fillId="7" borderId="12" xfId="1" applyFont="1" applyFill="1" applyBorder="1" applyAlignment="1">
      <alignment horizontal="center" vertical="top" wrapText="1"/>
    </xf>
    <xf numFmtId="43" fontId="28" fillId="7" borderId="11" xfId="1" applyFont="1" applyFill="1" applyBorder="1" applyAlignment="1">
      <alignment horizontal="center" vertical="top" wrapText="1"/>
    </xf>
    <xf numFmtId="43" fontId="28" fillId="7" borderId="10" xfId="1" applyFont="1" applyFill="1" applyBorder="1" applyAlignment="1">
      <alignment horizontal="center" vertical="top" wrapText="1"/>
    </xf>
    <xf numFmtId="2" fontId="27" fillId="0" borderId="0" xfId="0" applyNumberFormat="1" applyFont="1" applyBorder="1" applyAlignment="1">
      <alignment horizontal="center" vertical="top" wrapText="1"/>
    </xf>
    <xf numFmtId="2" fontId="28" fillId="7" borderId="6" xfId="0" applyNumberFormat="1" applyFont="1" applyFill="1" applyBorder="1" applyAlignment="1">
      <alignment horizontal="left" vertical="center" wrapText="1"/>
    </xf>
    <xf numFmtId="2" fontId="28" fillId="7" borderId="6" xfId="0" applyNumberFormat="1" applyFont="1" applyFill="1" applyBorder="1" applyAlignment="1">
      <alignment horizontal="center" vertical="top" wrapText="1"/>
    </xf>
    <xf numFmtId="2" fontId="28" fillId="7" borderId="6" xfId="0" applyNumberFormat="1" applyFont="1" applyFill="1" applyBorder="1" applyAlignment="1">
      <alignment horizontal="left" vertical="top" wrapText="1" indent="1"/>
    </xf>
    <xf numFmtId="2" fontId="28" fillId="7" borderId="6" xfId="0" applyNumberFormat="1" applyFont="1" applyFill="1" applyBorder="1" applyAlignment="1">
      <alignment horizontal="center" textRotation="90" wrapText="1"/>
    </xf>
    <xf numFmtId="43" fontId="26" fillId="0" borderId="6" xfId="1" applyFont="1" applyBorder="1" applyAlignment="1">
      <alignment horizontal="center" vertical="top" wrapText="1"/>
    </xf>
    <xf numFmtId="43" fontId="28" fillId="7" borderId="6" xfId="1" applyFont="1" applyFill="1" applyBorder="1" applyAlignment="1">
      <alignment horizontal="left" vertical="top" wrapText="1"/>
    </xf>
    <xf numFmtId="43" fontId="28" fillId="7" borderId="6" xfId="1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wrapText="1"/>
    </xf>
  </cellXfs>
  <cellStyles count="13">
    <cellStyle name="Comma" xfId="1" builtinId="3"/>
    <cellStyle name="Comma 2" xfId="3"/>
    <cellStyle name="Hyperlink" xfId="8" builtinId="8"/>
    <cellStyle name="Hyperlink 2" xfId="12"/>
    <cellStyle name="Normal" xfId="0" builtinId="0"/>
    <cellStyle name="Normal 10 3 3" xfId="7"/>
    <cellStyle name="Normal 2" xfId="2"/>
    <cellStyle name="Normal 2 2" xfId="10"/>
    <cellStyle name="Normal 3" xfId="11"/>
    <cellStyle name="Normal 4" xfId="5"/>
    <cellStyle name="Normal 5" xfId="6"/>
    <cellStyle name="Percent" xfId="9" builtinId="5"/>
    <cellStyle name="Percent 2" xfId="4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ocs-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ocs-Calibri"/>
        <scheme val="none"/>
      </font>
    </dxf>
    <dxf>
      <numFmt numFmtId="172" formatCode="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ocs-Calibri"/>
        <scheme val="none"/>
      </font>
    </dxf>
    <dxf>
      <numFmt numFmtId="172" formatCode="0.00000000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(* #,##0.000_);_(* \(#,##0.0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1" formatCode="_(* #,##0.0000000_);_(* \(#,##0.0000000\);_(* &quot;-&quot;??_);_(@_)"/>
    </dxf>
    <dxf>
      <numFmt numFmtId="0" formatCode="General"/>
    </dxf>
    <dxf>
      <numFmt numFmtId="35" formatCode="_(* #,##0.00_);_(* \(#,##0.00\);_(* &quot;-&quot;??_);_(@_)"/>
    </dxf>
    <dxf>
      <numFmt numFmtId="171" formatCode="_(* #,##0.0000000_);_(* \(#,##0.0000000\);_(* &quot;-&quot;??_);_(@_)"/>
    </dxf>
    <dxf>
      <numFmt numFmtId="0" formatCode="General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13" formatCode="0%"/>
    </dxf>
    <dxf>
      <numFmt numFmtId="2" formatCode="0.0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2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EnergyCarrier" tableColumnId="34"/>
      <queryTableField id="2" name="ModelGeography" tableColumnId="35"/>
      <queryTableField id="3" name="SubGeography1" tableColumnId="36"/>
      <queryTableField id="4" name="Year" tableColumnId="37"/>
      <queryTableField id="5" name="NonEnergyShare" tableColumnId="38"/>
      <queryTableField id="6" name="DomesticPrice" tableColumnId="39"/>
      <queryTableField id="7" name="AVTaxOHDom" tableColumnId="40"/>
      <queryTableField id="8" name="FixedTaxOHDom" tableColumnId="41"/>
      <queryTableField id="9" name="ImportPrice" tableColumnId="42"/>
      <queryTableField id="10" name="AVTaxOHImp" tableColumnId="43"/>
      <queryTableField id="11" name="FixedTaxOHImp" tableColumnId="44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EnergyCarrier" tableColumnId="21"/>
      <queryTableField id="2" name="ModelGeography" tableColumnId="22"/>
      <queryTableField id="3" name="SubGeography1" tableColumnId="23"/>
      <queryTableField id="4" name="Year" tableColumnId="24"/>
      <queryTableField id="5" name="FixedTaxOH" tableColumnId="25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C_Info_Granularity" displayName="EC_Info_Granularity" ref="A1:C13" totalsRowShown="0" headerRowDxfId="63">
  <autoFilter ref="A1:C13"/>
  <sortState ref="A2:C13">
    <sortCondition ref="B1:B13"/>
  </sortState>
  <tableColumns count="3">
    <tableColumn id="1" name="EnergyCarrier"/>
    <tableColumn id="2" name="GeographicGranularity"/>
    <tableColumn id="3" name="TimeGranularit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MS_HSD" displayName="MS_HSD" ref="A2:D26" totalsRowShown="0">
  <autoFilter ref="A2:D26"/>
  <tableColumns count="4">
    <tableColumn id="1" name="EnergyCarrier"/>
    <tableColumn id="2" name="GeographicGranularity" dataDxfId="6">
      <calculatedColumnFormula>VLOOKUP(A3,Maps!$A$1:$C$13,2,FALSE)</calculatedColumnFormula>
    </tableColumn>
    <tableColumn id="3" name="Year"/>
    <tableColumn id="4" name="FixedTaxOH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ATF_PP_OTHER" displayName="ATF_PP_OTHER" ref="A2:D26" totalsRowShown="0">
  <autoFilter ref="A2:D26"/>
  <tableColumns count="4">
    <tableColumn id="1" name="EnergyCarrier"/>
    <tableColumn id="2" name="GeographicGranularity" dataDxfId="5">
      <calculatedColumnFormula>VLOOKUP(A3,Maps!$A$1:$C$13,2,FALSE)</calculatedColumnFormula>
    </tableColumn>
    <tableColumn id="3" name="Year"/>
    <tableColumn id="4" name="FixedTaxOH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DEC_Taxation" displayName="DEC_Taxation" ref="A1:E121" tableType="queryTable" totalsRowShown="0">
  <autoFilter ref="A1:E121"/>
  <tableColumns count="5">
    <tableColumn id="21" uniqueName="21" name="EnergyCarrier" queryTableFieldId="1" dataDxfId="4"/>
    <tableColumn id="22" uniqueName="22" name="ModelGeography" queryTableFieldId="2" dataDxfId="3"/>
    <tableColumn id="23" uniqueName="23" name="SubGeography1" queryTableFieldId="3" dataDxfId="2"/>
    <tableColumn id="24" uniqueName="24" name="Year" queryTableFieldId="4" dataDxfId="1"/>
    <tableColumn id="25" uniqueName="25" name="FixedTaxOH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SG1_map" displayName="SG1_map" ref="E1:F6" totalsRowShown="0" headerRowDxfId="62" headerRowBorderDxfId="61" tableBorderDxfId="60">
  <autoFilter ref="E1:F6"/>
  <tableColumns count="2">
    <tableColumn id="1" name="GeographicGranularity" dataDxfId="59"/>
    <tableColumn id="2" name="SubGeography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COAL" displayName="COAL" ref="A2:J28" totalsRowShown="0" headerRowDxfId="58">
  <autoFilter ref="A2:J28"/>
  <tableColumns count="10">
    <tableColumn id="1" name="EnergyCarrier"/>
    <tableColumn id="2" name="GeographicGranularity" dataDxfId="57">
      <calculatedColumnFormula>VLOOKUP(A3,Maps!$A$1:$C$13,2,FALSE)</calculatedColumnFormula>
    </tableColumn>
    <tableColumn id="3" name="Year"/>
    <tableColumn id="4" name="NonEnergyShare"/>
    <tableColumn id="5" name="DomesticPrice" dataDxfId="56">
      <calculatedColumnFormula>P74</calculatedColumnFormula>
    </tableColumn>
    <tableColumn id="6" name="AVTaxOHDom"/>
    <tableColumn id="7" name="FixedTaxOHDom"/>
    <tableColumn id="8" name="ImportPrice" dataDxfId="55">
      <calculatedColumnFormula>BN34</calculatedColumnFormula>
    </tableColumn>
    <tableColumn id="9" name="AVTaxOHImp" dataDxfId="54" dataCellStyle="Comma">
      <calculatedColumnFormula>M3+Q3</calculatedColumnFormula>
    </tableColumn>
    <tableColumn id="10" name="FixedTaxOHImp" dataDxfId="53">
      <calculatedColumnFormula>COAL[[#This Row],[FixedTaxOHDom]]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CRUDE" displayName="CRUDE" ref="A2:J15" totalsRowShown="0" headerRowDxfId="52">
  <autoFilter ref="A2:J15"/>
  <tableColumns count="10">
    <tableColumn id="1" name="EnergyCarrier"/>
    <tableColumn id="2" name="GeographicGranularity" dataDxfId="51">
      <calculatedColumnFormula>VLOOKUP(A3,Maps!$A$1:$C$13,2,FALSE)</calculatedColumnFormula>
    </tableColumn>
    <tableColumn id="3" name="Year"/>
    <tableColumn id="4" name="NonEnergyShare"/>
    <tableColumn id="5" name="DomesticPrice" dataDxfId="50" dataCellStyle="Comma">
      <calculatedColumnFormula>$C$20*CRUDE[[#This Row],[ImportPrice]]</calculatedColumnFormula>
    </tableColumn>
    <tableColumn id="6" name="AVTaxOHDom" dataDxfId="49">
      <calculatedColumnFormula>AVERAGE(O3:O4)</calculatedColumnFormula>
    </tableColumn>
    <tableColumn id="7" name="FixedTaxOHDom" dataDxfId="48">
      <calculatedColumnFormula>(O28+Q28+(O28*S28))/1000</calculatedColumnFormula>
    </tableColumn>
    <tableColumn id="8" name="ImportPrice" dataDxfId="47" dataCellStyle="Comma">
      <calculatedColumnFormula>N18</calculatedColumnFormula>
    </tableColumn>
    <tableColumn id="9" name="AVTaxOHImp" dataDxfId="46"/>
    <tableColumn id="10" name="FixedTaxOHImp" dataDxfId="45">
      <calculatedColumnFormula>(1+50+1)/1000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2:J15" totalsRowShown="0" headerRowDxfId="44" dataDxfId="43" tableBorderDxfId="42">
  <autoFilter ref="A2:J15"/>
  <tableColumns count="10">
    <tableColumn id="1" name="EnergyCarrier" dataDxfId="41"/>
    <tableColumn id="2" name="GeographicGranularity" dataDxfId="40">
      <calculatedColumnFormula>VLOOKUP(A3,Maps!$A$1:$C$13,2,FALSE)</calculatedColumnFormula>
    </tableColumn>
    <tableColumn id="3" name="Year" dataDxfId="39"/>
    <tableColumn id="4" name="NonEnergyShare" dataDxfId="38" dataCellStyle="Comma">
      <calculatedColumnFormula>N33</calculatedColumnFormula>
    </tableColumn>
    <tableColumn id="5" name="DomesticPrice" dataDxfId="37" dataCellStyle="Comma">
      <calculatedColumnFormula>E2*(1+'Growth-Rates'!U8)</calculatedColumnFormula>
    </tableColumn>
    <tableColumn id="6" name="AVTaxOHDom" dataDxfId="36" dataCellStyle="Comma">
      <calculatedColumnFormula>AVERAGE(CRUDE!M28:N28)</calculatedColumnFormula>
    </tableColumn>
    <tableColumn id="7" name="FixedTaxOHDom" dataDxfId="35"/>
    <tableColumn id="8" name="ImportPrice" dataDxfId="34" dataCellStyle="Comma">
      <calculatedColumnFormula>H2*(1+'Growth-Rates'!P8)</calculatedColumnFormula>
    </tableColumn>
    <tableColumn id="9" name="AVTaxOHImp" dataDxfId="33" dataCellStyle="Comma">
      <calculatedColumnFormula>CRUDE!T29</calculatedColumnFormula>
    </tableColumn>
    <tableColumn id="10" name="FixedTaxOHImp" dataDxfId="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BIOMASS_BIOGAS" displayName="BIOMASS_BIOGAS" ref="A2:J28" totalsRowShown="0" headerRowDxfId="31">
  <autoFilter ref="A2:J28"/>
  <tableColumns count="10">
    <tableColumn id="1" name="EnergyCarrier"/>
    <tableColumn id="2" name="GeographicGranularity">
      <calculatedColumnFormula>VLOOKUP(A3,Maps!$A$1:$C$13,2,FALSE)</calculatedColumnFormula>
    </tableColumn>
    <tableColumn id="3" name="Year"/>
    <tableColumn id="4" name="NonEnergyShare"/>
    <tableColumn id="5" name="DomesticPrice" dataDxfId="30">
      <calculatedColumnFormula>M35</calculatedColumnFormula>
    </tableColumn>
    <tableColumn id="6" name="AVTaxOHDom"/>
    <tableColumn id="7" name="FixedTaxOHDom" dataDxfId="29"/>
    <tableColumn id="8" name="ImportPrice" dataDxfId="28">
      <calculatedColumnFormula>BIOMASS_BIOGAS[[#This Row],[DomesticPrice]]</calculatedColumnFormula>
    </tableColumn>
    <tableColumn id="9" name="AVTaxOHImp" dataDxfId="27"/>
    <tableColumn id="10" name="FixedTaxOHImp" dataDxfId="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PEC_Info" displayName="PEC_Info" ref="A1:K169" tableType="queryTable" totalsRowShown="0">
  <autoFilter ref="A1:K169"/>
  <tableColumns count="11">
    <tableColumn id="34" uniqueName="34" name="EnergyCarrier" queryTableFieldId="1" dataDxfId="25"/>
    <tableColumn id="35" uniqueName="35" name="ModelGeography" queryTableFieldId="2" dataDxfId="24"/>
    <tableColumn id="36" uniqueName="36" name="SubGeography1" queryTableFieldId="3" dataDxfId="23"/>
    <tableColumn id="37" uniqueName="37" name="Year" queryTableFieldId="4" dataDxfId="22"/>
    <tableColumn id="38" uniqueName="38" name="NonEnergyShare" queryTableFieldId="5" dataDxfId="21"/>
    <tableColumn id="39" uniqueName="39" name="DomesticPrice" queryTableFieldId="6" dataDxfId="20"/>
    <tableColumn id="40" uniqueName="40" name="AVTaxOHDom" queryTableFieldId="7" dataDxfId="19"/>
    <tableColumn id="41" uniqueName="41" name="FixedTaxOHDom" queryTableFieldId="8" dataDxfId="18"/>
    <tableColumn id="42" uniqueName="42" name="ImportPrice" queryTableFieldId="9" dataDxfId="17"/>
    <tableColumn id="43" uniqueName="43" name="AVTaxOHImp" queryTableFieldId="10" dataDxfId="16"/>
    <tableColumn id="44" uniqueName="44" name="FixedTaxOHImp" queryTableFieldId="11" dataDxf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ELECTRICITY" displayName="ELECTRICITY" ref="A2:E67" totalsRowShown="0">
  <autoFilter ref="A2:E67"/>
  <tableColumns count="5">
    <tableColumn id="1" name="EnergyCarrier"/>
    <tableColumn id="2" name="GeographicGranularity" dataDxfId="14">
      <calculatedColumnFormula>VLOOKUP(A3,Maps!$A$1:$C$13,2,FALSE)</calculatedColumnFormula>
    </tableColumn>
    <tableColumn id="3" name="SubGeography1"/>
    <tableColumn id="4" name="Year"/>
    <tableColumn id="5" name="FixedTaxOH" dataDxfId="13">
      <calculatedColumnFormula>SUMIF($I$57:$I$61,C3,$L$57:$L$61)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LPG" displayName="LPG" ref="A2:D15" totalsRowShown="0" headerRowDxfId="12" dataDxfId="11">
  <autoFilter ref="A2:D15"/>
  <tableColumns count="4">
    <tableColumn id="1" name="EnergyCarrier" dataDxfId="10"/>
    <tableColumn id="2" name="GeographicGranularity" dataDxfId="9">
      <calculatedColumnFormula>VLOOKUP(A3,Maps!$A$1:$C$13,2,FALSE)</calculatedColumnFormula>
    </tableColumn>
    <tableColumn id="3" name="Year" dataDxfId="8"/>
    <tableColumn id="4" name="FixedTaxOH" dataDxfId="7">
      <calculatedColumnFormula>CRUDE[[#This Row],[ImportPrice]]*($J$29)+$I$27+$I$28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pac.gov.in/WriteReadData/CMS/201809280501427628061DomesticNGPriceOct18-Mar19.pdf" TargetMode="External"/><Relationship Id="rId13" Type="http://schemas.openxmlformats.org/officeDocument/2006/relationships/hyperlink" Target="https://www.ppac.gov.in/WriteReadData/CMS/2016033105243354526091DomesticGasPriceNotification.pdf" TargetMode="External"/><Relationship Id="rId3" Type="http://schemas.openxmlformats.org/officeDocument/2006/relationships/hyperlink" Target="https://www.ppac.gov.in/WriteReadData/CMS/201509301139418719525GasPriceNotifificationOct2015-March2016.pdf" TargetMode="External"/><Relationship Id="rId7" Type="http://schemas.openxmlformats.org/officeDocument/2006/relationships/hyperlink" Target="https://www.ppac.gov.in/WriteReadData/CMS/201803280556026406713DomesticNaturalGasPricefortheperiodApriltoSeptember20181.pdf" TargetMode="External"/><Relationship Id="rId12" Type="http://schemas.openxmlformats.org/officeDocument/2006/relationships/hyperlink" Target="https://www.ppac.gov.in/WriteReadData/CMS/202009300544381880478DomesticNaturalGasPriceOct2020toMarch2021.pdf" TargetMode="External"/><Relationship Id="rId2" Type="http://schemas.openxmlformats.org/officeDocument/2006/relationships/hyperlink" Target="https://www.ppac.gov.in/WriteReadData/CMS/201503310333159478742NG_PriceNotificationApril15-Sept15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ppac.gov.in/WriteReadData/CMS/201501270451563110729NG_PriceNotificationNovember14-March2015.pdf" TargetMode="External"/><Relationship Id="rId6" Type="http://schemas.openxmlformats.org/officeDocument/2006/relationships/hyperlink" Target="https://www.ppac.gov.in/WriteReadData/CMS/201709290429335872588DomesticNaturalGasPricefortheperiodOct'2017-March2018.pdf" TargetMode="External"/><Relationship Id="rId11" Type="http://schemas.openxmlformats.org/officeDocument/2006/relationships/hyperlink" Target="https://www.ppac.gov.in/WriteReadData/CMS/202003310535049612411DomesticNaturalGasPricefortheperiodApril-September2020.pdf" TargetMode="External"/><Relationship Id="rId5" Type="http://schemas.openxmlformats.org/officeDocument/2006/relationships/hyperlink" Target="https://www.ppac.gov.in/WriteReadData/CMS/201703310422333423570DomesticNaturalGasPrice,April-September2017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ppac.gov.in/WriteReadData/CMS/201909300543402696331DomesticNaturalGasPricefortheperiodOctober2019toMarch2020.pdf" TargetMode="External"/><Relationship Id="rId4" Type="http://schemas.openxmlformats.org/officeDocument/2006/relationships/hyperlink" Target="https://www.ppac.gov.in/WriteReadData/CMS/201609300518572538170DomesticGasPriceNotificationOct2016toMar2017.pdf" TargetMode="External"/><Relationship Id="rId9" Type="http://schemas.openxmlformats.org/officeDocument/2006/relationships/hyperlink" Target="https://www.ppac.gov.in/WriteReadData/CMS/201904040841507374511DomesticNaturalGasPrice.pdf" TargetMode="External"/><Relationship Id="rId14" Type="http://schemas.openxmlformats.org/officeDocument/2006/relationships/hyperlink" Target="https://www.ppac.gov.in/WriteReadData/CMS/202103310530147126623DomesticNaturalGaspricefortheperiodApril2021toSeptember2021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rbidocs.rbi.org.in/rdocs/Publications/PDFs/140TE74E725980E74CB987BB87D52853686D.PDF" TargetMode="External"/><Relationship Id="rId5" Type="http://schemas.openxmlformats.org/officeDocument/2006/relationships/comments" Target="../comments3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30"/>
  <sheetViews>
    <sheetView showGridLines="0" tabSelected="1" zoomScaleNormal="100" workbookViewId="0"/>
  </sheetViews>
  <sheetFormatPr defaultColWidth="14.42578125" defaultRowHeight="15.75" customHeight="1"/>
  <cols>
    <col min="1" max="1" width="18.42578125" style="325" customWidth="1"/>
    <col min="2" max="2" width="18.5703125" style="325" customWidth="1"/>
    <col min="3" max="3" width="20.28515625" style="325" customWidth="1"/>
    <col min="4" max="4" width="18.7109375" style="325" customWidth="1"/>
    <col min="5" max="5" width="29.28515625" style="325" bestFit="1" customWidth="1"/>
    <col min="6" max="16384" width="14.42578125" style="325"/>
  </cols>
  <sheetData>
    <row r="1" spans="1:10" ht="19.5">
      <c r="A1" s="324" t="s">
        <v>454</v>
      </c>
      <c r="J1" s="326"/>
    </row>
    <row r="2" spans="1:10" ht="16.5">
      <c r="A2" s="327" t="s">
        <v>455</v>
      </c>
      <c r="J2" s="326"/>
    </row>
    <row r="3" spans="1:10">
      <c r="A3" s="328">
        <v>2021</v>
      </c>
      <c r="J3" s="326"/>
    </row>
    <row r="4" spans="1:10" ht="12.75">
      <c r="A4" s="329" t="s">
        <v>456</v>
      </c>
      <c r="B4" s="330">
        <v>44470</v>
      </c>
      <c r="J4" s="331"/>
    </row>
    <row r="5" spans="1:10" ht="12.75">
      <c r="A5" s="332" t="s">
        <v>457</v>
      </c>
      <c r="B5" s="333" t="s">
        <v>458</v>
      </c>
      <c r="C5" s="334"/>
      <c r="D5" s="334"/>
      <c r="E5" s="334"/>
      <c r="F5" s="334"/>
      <c r="G5" s="334"/>
      <c r="H5" s="334"/>
      <c r="I5" s="334"/>
      <c r="J5" s="331"/>
    </row>
    <row r="6" spans="1:10" ht="12.75">
      <c r="C6" s="334"/>
      <c r="D6" s="334"/>
      <c r="E6" s="334"/>
      <c r="F6" s="334"/>
      <c r="G6" s="334"/>
      <c r="H6" s="334"/>
      <c r="I6" s="334"/>
      <c r="J6" s="331"/>
    </row>
    <row r="7" spans="1:10" ht="12.75">
      <c r="C7" s="374" t="s">
        <v>459</v>
      </c>
      <c r="D7" s="375"/>
      <c r="E7" s="375"/>
      <c r="F7" s="375"/>
      <c r="G7" s="375"/>
      <c r="H7" s="375"/>
      <c r="I7" s="376"/>
      <c r="J7" s="331"/>
    </row>
    <row r="8" spans="1:10" ht="30" customHeight="1">
      <c r="A8" s="335" t="s">
        <v>460</v>
      </c>
      <c r="B8" s="336" t="s">
        <v>461</v>
      </c>
      <c r="C8" s="377" t="s">
        <v>462</v>
      </c>
      <c r="D8" s="377"/>
      <c r="E8" s="377"/>
      <c r="F8" s="377"/>
      <c r="G8" s="377"/>
      <c r="H8" s="377"/>
      <c r="I8" s="377"/>
      <c r="J8" s="331"/>
    </row>
    <row r="9" spans="1:10" ht="30" customHeight="1">
      <c r="A9" s="335" t="s">
        <v>463</v>
      </c>
      <c r="B9" s="336" t="s">
        <v>464</v>
      </c>
      <c r="C9" s="377"/>
      <c r="D9" s="377"/>
      <c r="E9" s="377"/>
      <c r="F9" s="377"/>
      <c r="G9" s="377"/>
      <c r="H9" s="377"/>
      <c r="I9" s="377"/>
      <c r="J9" s="331"/>
    </row>
    <row r="10" spans="1:10" ht="30" customHeight="1">
      <c r="A10" s="335" t="s">
        <v>465</v>
      </c>
      <c r="B10" s="336" t="s">
        <v>466</v>
      </c>
      <c r="C10" s="377" t="s">
        <v>467</v>
      </c>
      <c r="D10" s="377"/>
      <c r="E10" s="377"/>
      <c r="F10" s="377"/>
      <c r="G10" s="377"/>
      <c r="H10" s="377"/>
      <c r="I10" s="377"/>
      <c r="J10" s="331"/>
    </row>
    <row r="11" spans="1:10" ht="12.75">
      <c r="J11" s="331"/>
    </row>
    <row r="12" spans="1:10" ht="12.75">
      <c r="J12" s="331"/>
    </row>
    <row r="13" spans="1:10" ht="12.75">
      <c r="A13" s="337" t="s">
        <v>468</v>
      </c>
      <c r="B13" s="337" t="s">
        <v>495</v>
      </c>
      <c r="C13" s="338" t="s">
        <v>496</v>
      </c>
      <c r="D13" s="338" t="s">
        <v>469</v>
      </c>
      <c r="J13" s="331"/>
    </row>
    <row r="14" spans="1:10" ht="38.25">
      <c r="A14" s="339" t="s">
        <v>494</v>
      </c>
      <c r="B14" s="339" t="s">
        <v>497</v>
      </c>
      <c r="C14" s="353">
        <v>1</v>
      </c>
      <c r="D14" s="352" t="s">
        <v>476</v>
      </c>
      <c r="J14" s="331"/>
    </row>
    <row r="15" spans="1:10" ht="51">
      <c r="A15" s="339"/>
      <c r="B15" s="339" t="s">
        <v>524</v>
      </c>
      <c r="C15" s="353">
        <v>2</v>
      </c>
      <c r="D15" s="352" t="s">
        <v>476</v>
      </c>
      <c r="J15" s="331"/>
    </row>
    <row r="16" spans="1:10" ht="51">
      <c r="A16" s="339"/>
      <c r="B16" s="339" t="s">
        <v>525</v>
      </c>
      <c r="C16" s="353">
        <v>3</v>
      </c>
      <c r="D16" s="352" t="s">
        <v>476</v>
      </c>
      <c r="J16" s="331"/>
    </row>
    <row r="17" spans="1:10" ht="38.25">
      <c r="A17" s="339"/>
      <c r="B17" s="339" t="s">
        <v>497</v>
      </c>
      <c r="C17" s="353">
        <v>4</v>
      </c>
      <c r="D17" s="352" t="s">
        <v>477</v>
      </c>
      <c r="J17" s="331"/>
    </row>
    <row r="18" spans="1:10" ht="12.75">
      <c r="A18" s="341"/>
      <c r="B18" s="341"/>
      <c r="C18" s="341"/>
      <c r="D18" s="340"/>
      <c r="E18" s="351"/>
      <c r="J18" s="331"/>
    </row>
    <row r="19" spans="1:10" ht="12.75">
      <c r="A19" s="341"/>
      <c r="B19" s="341"/>
      <c r="C19" s="341"/>
      <c r="D19" s="340"/>
      <c r="E19" s="351"/>
      <c r="J19" s="331"/>
    </row>
    <row r="20" spans="1:10" ht="14.25">
      <c r="A20" s="340"/>
      <c r="B20" s="340"/>
      <c r="C20" s="341"/>
      <c r="D20" s="340"/>
      <c r="E20" s="342"/>
      <c r="J20" s="331"/>
    </row>
    <row r="21" spans="1:10" ht="12.75">
      <c r="A21" s="343" t="s">
        <v>470</v>
      </c>
      <c r="B21" s="344"/>
      <c r="C21" s="344"/>
      <c r="D21" s="344"/>
      <c r="E21" s="344"/>
      <c r="J21" s="331"/>
    </row>
    <row r="22" spans="1:10" ht="12.75">
      <c r="A22" s="344"/>
      <c r="B22" s="345"/>
      <c r="C22" s="344"/>
      <c r="D22" s="344"/>
      <c r="E22" s="344"/>
      <c r="J22" s="331"/>
    </row>
    <row r="23" spans="1:10" ht="42" customHeight="1">
      <c r="A23" s="346">
        <v>1</v>
      </c>
      <c r="B23" s="378" t="s">
        <v>510</v>
      </c>
      <c r="C23" s="379"/>
      <c r="D23" s="379"/>
      <c r="E23" s="379"/>
      <c r="F23" s="379"/>
      <c r="G23" s="379"/>
      <c r="H23" s="379"/>
      <c r="I23" s="379"/>
      <c r="J23" s="379"/>
    </row>
    <row r="24" spans="1:10" ht="12" customHeight="1">
      <c r="A24" s="346">
        <v>2</v>
      </c>
      <c r="B24" s="347" t="s">
        <v>487</v>
      </c>
      <c r="C24" s="344"/>
      <c r="D24" s="344"/>
      <c r="E24" s="344"/>
      <c r="J24" s="326"/>
    </row>
    <row r="25" spans="1:10" ht="12" customHeight="1">
      <c r="A25" s="346">
        <v>3</v>
      </c>
      <c r="B25" s="345" t="s">
        <v>471</v>
      </c>
      <c r="C25" s="344"/>
      <c r="D25" s="344"/>
      <c r="E25" s="344"/>
      <c r="J25" s="326"/>
    </row>
    <row r="26" spans="1:10" ht="14.25">
      <c r="A26" s="348"/>
      <c r="C26" s="344"/>
      <c r="D26" s="344"/>
      <c r="E26" s="344"/>
      <c r="J26" s="326"/>
    </row>
    <row r="27" spans="1:10" ht="12.75">
      <c r="A27" s="349" t="s">
        <v>472</v>
      </c>
      <c r="B27" s="345"/>
      <c r="C27" s="344"/>
      <c r="D27" s="344"/>
      <c r="E27" s="344"/>
      <c r="J27" s="331"/>
    </row>
    <row r="28" spans="1:10" ht="12.75">
      <c r="A28" s="346">
        <v>1</v>
      </c>
      <c r="B28" s="345" t="s">
        <v>478</v>
      </c>
      <c r="C28" s="344"/>
      <c r="D28" s="344"/>
      <c r="E28" s="344"/>
      <c r="J28" s="326"/>
    </row>
    <row r="29" spans="1:10" ht="12.75">
      <c r="A29" s="344">
        <v>2</v>
      </c>
      <c r="B29" s="345" t="s">
        <v>486</v>
      </c>
      <c r="C29" s="344"/>
      <c r="D29" s="344"/>
      <c r="E29" s="344"/>
      <c r="J29" s="331"/>
    </row>
    <row r="30" spans="1:10" ht="12.75">
      <c r="A30" s="346">
        <v>3</v>
      </c>
      <c r="B30" s="325" t="s">
        <v>511</v>
      </c>
      <c r="C30" s="344"/>
      <c r="D30" s="344"/>
      <c r="E30" s="344"/>
      <c r="J30" s="331"/>
    </row>
    <row r="31" spans="1:10" ht="12.75">
      <c r="A31" s="346">
        <v>4</v>
      </c>
      <c r="B31" s="354" t="s">
        <v>480</v>
      </c>
      <c r="C31" s="344"/>
      <c r="D31" s="344"/>
      <c r="E31" s="344"/>
      <c r="J31" s="331"/>
    </row>
    <row r="32" spans="1:10" ht="12.75">
      <c r="A32" s="344">
        <v>5</v>
      </c>
      <c r="B32" s="325" t="s">
        <v>479</v>
      </c>
      <c r="C32" s="344"/>
      <c r="D32" s="344"/>
      <c r="E32" s="344"/>
      <c r="J32" s="331"/>
    </row>
    <row r="33" spans="1:10" ht="12.75">
      <c r="A33" s="346">
        <v>6</v>
      </c>
      <c r="B33" s="325" t="s">
        <v>482</v>
      </c>
      <c r="C33" s="344"/>
      <c r="D33" s="344"/>
      <c r="E33" s="344"/>
      <c r="J33" s="331"/>
    </row>
    <row r="34" spans="1:10" ht="12.75">
      <c r="A34" s="344">
        <v>7</v>
      </c>
      <c r="B34" s="325" t="s">
        <v>483</v>
      </c>
      <c r="C34" s="344"/>
      <c r="D34" s="344"/>
      <c r="E34" s="344"/>
      <c r="J34" s="331"/>
    </row>
    <row r="35" spans="1:10" ht="12.75">
      <c r="A35" s="346">
        <v>8</v>
      </c>
      <c r="B35" s="325" t="s">
        <v>484</v>
      </c>
      <c r="C35" s="344"/>
      <c r="D35" s="344"/>
      <c r="E35" s="344"/>
      <c r="J35" s="331"/>
    </row>
    <row r="36" spans="1:10" ht="12.75">
      <c r="A36" s="346">
        <v>9</v>
      </c>
      <c r="B36" s="345" t="s">
        <v>485</v>
      </c>
      <c r="C36" s="344"/>
      <c r="D36" s="344"/>
      <c r="E36" s="344"/>
      <c r="J36" s="331"/>
    </row>
    <row r="37" spans="1:10" ht="12.75">
      <c r="A37" s="344"/>
      <c r="B37" s="325" t="s">
        <v>488</v>
      </c>
      <c r="C37" s="344"/>
      <c r="D37" s="344"/>
      <c r="E37" s="344"/>
      <c r="J37" s="331"/>
    </row>
    <row r="38" spans="1:10" ht="12.75">
      <c r="A38" s="344"/>
      <c r="B38" s="345"/>
      <c r="C38" s="344"/>
      <c r="D38" s="344"/>
      <c r="E38" s="344"/>
      <c r="J38" s="331"/>
    </row>
    <row r="39" spans="1:10" ht="12.75">
      <c r="A39" s="344"/>
      <c r="B39" s="345"/>
      <c r="C39" s="344"/>
      <c r="D39" s="344"/>
      <c r="E39" s="344"/>
      <c r="J39" s="331"/>
    </row>
    <row r="40" spans="1:10" ht="12.75">
      <c r="A40" s="344"/>
      <c r="B40" s="345"/>
      <c r="C40" s="344"/>
      <c r="D40" s="344"/>
      <c r="E40" s="344"/>
      <c r="J40" s="331"/>
    </row>
    <row r="41" spans="1:10" ht="12.75">
      <c r="A41" s="344"/>
      <c r="B41" s="345"/>
      <c r="C41" s="344"/>
      <c r="D41" s="344"/>
      <c r="E41" s="344"/>
      <c r="J41" s="331"/>
    </row>
    <row r="42" spans="1:10" ht="14.25">
      <c r="A42" s="344"/>
      <c r="B42" s="350"/>
      <c r="C42" s="344"/>
      <c r="D42" s="344"/>
      <c r="E42" s="344"/>
      <c r="J42" s="331"/>
    </row>
    <row r="43" spans="1:10" ht="12.75">
      <c r="A43" s="344"/>
      <c r="B43" s="345"/>
      <c r="C43" s="344"/>
      <c r="D43" s="344"/>
      <c r="E43" s="344"/>
      <c r="J43" s="331"/>
    </row>
    <row r="44" spans="1:10" ht="12.75">
      <c r="A44" s="344"/>
      <c r="B44" s="345"/>
      <c r="C44" s="344"/>
      <c r="D44" s="344"/>
      <c r="E44" s="344"/>
      <c r="J44" s="331"/>
    </row>
    <row r="45" spans="1:10" ht="12.75">
      <c r="A45" s="344"/>
      <c r="B45" s="345"/>
      <c r="C45" s="344"/>
      <c r="D45" s="344"/>
      <c r="E45" s="344"/>
      <c r="J45" s="331"/>
    </row>
    <row r="46" spans="1:10" ht="12.75">
      <c r="A46" s="344"/>
      <c r="B46" s="345"/>
      <c r="C46" s="344"/>
      <c r="D46" s="344"/>
      <c r="E46" s="344"/>
      <c r="J46" s="331"/>
    </row>
    <row r="47" spans="1:10" ht="12.75">
      <c r="A47" s="344"/>
      <c r="B47" s="345"/>
      <c r="C47" s="344"/>
      <c r="D47" s="344"/>
      <c r="E47" s="344"/>
      <c r="J47" s="331"/>
    </row>
    <row r="48" spans="1:10" ht="12.75">
      <c r="A48" s="344"/>
      <c r="B48" s="345"/>
      <c r="C48" s="344"/>
      <c r="D48" s="344"/>
      <c r="E48" s="344"/>
      <c r="J48" s="331"/>
    </row>
    <row r="49" spans="1:10" ht="12.75">
      <c r="A49" s="344"/>
      <c r="B49" s="345"/>
      <c r="C49" s="344"/>
      <c r="D49" s="344"/>
      <c r="E49" s="344"/>
      <c r="J49" s="331"/>
    </row>
    <row r="50" spans="1:10" ht="12.75">
      <c r="A50" s="344"/>
      <c r="B50" s="345"/>
      <c r="C50" s="344"/>
      <c r="D50" s="344"/>
      <c r="E50" s="344"/>
      <c r="J50" s="331"/>
    </row>
    <row r="51" spans="1:10" ht="12.75">
      <c r="A51" s="344"/>
      <c r="B51" s="345"/>
      <c r="C51" s="344"/>
      <c r="D51" s="344"/>
      <c r="E51" s="344"/>
      <c r="J51" s="331"/>
    </row>
    <row r="52" spans="1:10" ht="12.75">
      <c r="A52" s="344"/>
      <c r="B52" s="345"/>
      <c r="C52" s="344"/>
      <c r="D52" s="344"/>
      <c r="E52" s="344"/>
      <c r="J52" s="331"/>
    </row>
    <row r="53" spans="1:10" ht="12.75">
      <c r="A53" s="344"/>
      <c r="B53" s="345"/>
      <c r="C53" s="344"/>
      <c r="D53" s="344"/>
      <c r="E53" s="344"/>
      <c r="J53" s="331"/>
    </row>
    <row r="54" spans="1:10" ht="12.75">
      <c r="A54" s="344"/>
      <c r="B54" s="345"/>
      <c r="C54" s="344"/>
      <c r="D54" s="344"/>
      <c r="E54" s="344"/>
      <c r="J54" s="331"/>
    </row>
    <row r="55" spans="1:10" ht="12.75">
      <c r="A55" s="344"/>
      <c r="B55" s="345"/>
      <c r="C55" s="344"/>
      <c r="D55" s="344"/>
      <c r="E55" s="344"/>
      <c r="J55" s="331"/>
    </row>
    <row r="56" spans="1:10" ht="12.75">
      <c r="A56" s="344"/>
      <c r="B56" s="345"/>
      <c r="C56" s="344"/>
      <c r="D56" s="344"/>
      <c r="E56" s="344"/>
      <c r="J56" s="331"/>
    </row>
    <row r="57" spans="1:10" ht="12.75">
      <c r="A57" s="344"/>
      <c r="B57" s="345"/>
      <c r="C57" s="344"/>
      <c r="D57" s="344"/>
      <c r="E57" s="344"/>
      <c r="J57" s="331"/>
    </row>
    <row r="58" spans="1:10" ht="12.75">
      <c r="A58" s="344"/>
      <c r="B58" s="345"/>
      <c r="C58" s="344"/>
      <c r="D58" s="344"/>
      <c r="E58" s="344"/>
      <c r="J58" s="331"/>
    </row>
    <row r="59" spans="1:10" ht="12.75">
      <c r="A59" s="344"/>
      <c r="B59" s="345"/>
      <c r="C59" s="344"/>
      <c r="D59" s="344"/>
      <c r="E59" s="344"/>
      <c r="J59" s="331"/>
    </row>
    <row r="60" spans="1:10" ht="12.75">
      <c r="A60" s="344"/>
      <c r="B60" s="345"/>
      <c r="C60" s="344"/>
      <c r="D60" s="344"/>
      <c r="E60" s="344"/>
      <c r="J60" s="331"/>
    </row>
    <row r="61" spans="1:10" ht="12.75">
      <c r="A61" s="344"/>
      <c r="B61" s="345"/>
      <c r="C61" s="344"/>
      <c r="D61" s="344"/>
      <c r="E61" s="344"/>
      <c r="J61" s="331"/>
    </row>
    <row r="62" spans="1:10" ht="12.75">
      <c r="A62" s="344"/>
      <c r="B62" s="345"/>
      <c r="C62" s="344"/>
      <c r="D62" s="344"/>
      <c r="E62" s="344"/>
      <c r="J62" s="331"/>
    </row>
    <row r="63" spans="1:10" ht="12.75">
      <c r="A63" s="344"/>
      <c r="B63" s="345"/>
      <c r="C63" s="344"/>
      <c r="D63" s="344"/>
      <c r="E63" s="344"/>
      <c r="J63" s="331"/>
    </row>
    <row r="64" spans="1:10" ht="12.75">
      <c r="A64" s="344"/>
      <c r="B64" s="345"/>
      <c r="C64" s="344"/>
      <c r="D64" s="344"/>
      <c r="E64" s="344"/>
      <c r="J64" s="331"/>
    </row>
    <row r="65" spans="1:10" ht="12.75">
      <c r="A65" s="344"/>
      <c r="B65" s="345"/>
      <c r="C65" s="344"/>
      <c r="D65" s="344"/>
      <c r="E65" s="344"/>
      <c r="J65" s="331"/>
    </row>
    <row r="66" spans="1:10" ht="12.75">
      <c r="A66" s="344"/>
      <c r="B66" s="345"/>
      <c r="C66" s="344"/>
      <c r="D66" s="344"/>
      <c r="E66" s="344"/>
      <c r="J66" s="331"/>
    </row>
    <row r="67" spans="1:10" ht="12.75">
      <c r="A67" s="344"/>
      <c r="B67" s="345"/>
      <c r="C67" s="344"/>
      <c r="D67" s="344"/>
      <c r="E67" s="344"/>
      <c r="J67" s="331"/>
    </row>
    <row r="68" spans="1:10" ht="12.75">
      <c r="A68" s="344"/>
      <c r="B68" s="345"/>
      <c r="C68" s="344"/>
      <c r="D68" s="344"/>
      <c r="E68" s="344"/>
      <c r="J68" s="331"/>
    </row>
    <row r="69" spans="1:10" ht="12.75">
      <c r="A69" s="344"/>
      <c r="B69" s="345"/>
      <c r="C69" s="344"/>
      <c r="D69" s="344"/>
      <c r="E69" s="344"/>
      <c r="J69" s="331"/>
    </row>
    <row r="70" spans="1:10" ht="12.75">
      <c r="A70" s="344"/>
      <c r="B70" s="345"/>
      <c r="C70" s="344"/>
      <c r="D70" s="344"/>
      <c r="E70" s="344"/>
      <c r="J70" s="331"/>
    </row>
    <row r="71" spans="1:10" ht="12.75">
      <c r="A71" s="344"/>
      <c r="B71" s="345"/>
      <c r="C71" s="344"/>
      <c r="D71" s="344"/>
      <c r="E71" s="344"/>
      <c r="J71" s="331"/>
    </row>
    <row r="72" spans="1:10" ht="12.75">
      <c r="A72" s="344"/>
      <c r="B72" s="345"/>
      <c r="C72" s="344"/>
      <c r="D72" s="344"/>
      <c r="E72" s="344"/>
      <c r="J72" s="331"/>
    </row>
    <row r="73" spans="1:10" ht="12.75">
      <c r="A73" s="344"/>
      <c r="B73" s="345"/>
      <c r="C73" s="344"/>
      <c r="D73" s="344"/>
      <c r="E73" s="344"/>
      <c r="J73" s="331"/>
    </row>
    <row r="74" spans="1:10" ht="12.75">
      <c r="A74" s="344"/>
      <c r="B74" s="345"/>
      <c r="C74" s="344"/>
      <c r="D74" s="344"/>
      <c r="E74" s="344"/>
      <c r="J74" s="331"/>
    </row>
    <row r="75" spans="1:10" ht="12.75">
      <c r="A75" s="344"/>
      <c r="B75" s="345"/>
      <c r="C75" s="344"/>
      <c r="D75" s="344"/>
      <c r="E75" s="344"/>
      <c r="J75" s="331"/>
    </row>
    <row r="76" spans="1:10" ht="12.75">
      <c r="A76" s="343" t="s">
        <v>473</v>
      </c>
      <c r="B76" s="345"/>
      <c r="C76" s="344"/>
      <c r="D76" s="344"/>
      <c r="E76" s="344"/>
      <c r="J76" s="331"/>
    </row>
    <row r="77" spans="1:10" ht="12.75">
      <c r="A77" s="344">
        <v>1</v>
      </c>
      <c r="B77" s="345" t="s">
        <v>474</v>
      </c>
      <c r="C77" s="344"/>
      <c r="D77" s="344"/>
      <c r="E77" s="344"/>
      <c r="J77" s="331"/>
    </row>
    <row r="78" spans="1:10" ht="12.75">
      <c r="A78" s="344">
        <v>2</v>
      </c>
      <c r="B78" s="345" t="s">
        <v>475</v>
      </c>
      <c r="C78" s="344"/>
      <c r="D78" s="344"/>
      <c r="E78" s="344"/>
      <c r="J78" s="331"/>
    </row>
    <row r="79" spans="1:10" ht="12.75">
      <c r="A79" s="344"/>
      <c r="B79" s="344"/>
      <c r="C79" s="344"/>
      <c r="D79" s="344"/>
      <c r="E79" s="344"/>
      <c r="J79" s="331"/>
    </row>
    <row r="80" spans="1:10" ht="12.75">
      <c r="A80" s="344"/>
      <c r="B80" s="344"/>
      <c r="C80" s="344"/>
      <c r="D80" s="344"/>
      <c r="E80" s="344"/>
      <c r="J80" s="331"/>
    </row>
    <row r="81" spans="1:10" ht="12.75">
      <c r="A81" s="344"/>
      <c r="B81" s="344"/>
      <c r="C81" s="344"/>
      <c r="D81" s="344"/>
      <c r="E81" s="344"/>
      <c r="J81" s="331"/>
    </row>
    <row r="82" spans="1:10" ht="12.75">
      <c r="A82" s="344"/>
      <c r="B82" s="344"/>
      <c r="C82" s="344"/>
      <c r="D82" s="344"/>
      <c r="E82" s="344"/>
      <c r="J82" s="331"/>
    </row>
    <row r="83" spans="1:10" ht="12.75">
      <c r="J83" s="331"/>
    </row>
    <row r="84" spans="1:10" ht="12.75">
      <c r="J84" s="331"/>
    </row>
    <row r="85" spans="1:10" ht="12.75">
      <c r="J85" s="331"/>
    </row>
    <row r="86" spans="1:10" ht="12.75">
      <c r="J86" s="331"/>
    </row>
    <row r="87" spans="1:10" ht="12.75">
      <c r="J87" s="331"/>
    </row>
    <row r="88" spans="1:10" ht="12.75">
      <c r="J88" s="331"/>
    </row>
    <row r="89" spans="1:10" ht="12.75">
      <c r="J89" s="331"/>
    </row>
    <row r="90" spans="1:10" ht="12.75">
      <c r="J90" s="331"/>
    </row>
    <row r="91" spans="1:10" ht="12.75">
      <c r="J91" s="331"/>
    </row>
    <row r="92" spans="1:10" ht="12.75">
      <c r="J92" s="331"/>
    </row>
    <row r="93" spans="1:10" ht="12.75">
      <c r="J93" s="331"/>
    </row>
    <row r="94" spans="1:10" ht="12.75">
      <c r="J94" s="331"/>
    </row>
    <row r="95" spans="1:10" ht="12.75">
      <c r="J95" s="331"/>
    </row>
    <row r="96" spans="1:10" ht="12.75">
      <c r="J96" s="331"/>
    </row>
    <row r="97" spans="10:10" ht="12.75">
      <c r="J97" s="331"/>
    </row>
    <row r="98" spans="10:10" ht="12.75">
      <c r="J98" s="331"/>
    </row>
    <row r="99" spans="10:10" ht="12.75">
      <c r="J99" s="331"/>
    </row>
    <row r="100" spans="10:10" ht="12.75">
      <c r="J100" s="331"/>
    </row>
    <row r="101" spans="10:10" ht="12.75">
      <c r="J101" s="331"/>
    </row>
    <row r="102" spans="10:10" ht="12.75">
      <c r="J102" s="331"/>
    </row>
    <row r="103" spans="10:10" ht="12.75">
      <c r="J103" s="331"/>
    </row>
    <row r="104" spans="10:10" ht="12.75">
      <c r="J104" s="331"/>
    </row>
    <row r="105" spans="10:10" ht="12.75">
      <c r="J105" s="331"/>
    </row>
    <row r="106" spans="10:10" ht="12.75">
      <c r="J106" s="331"/>
    </row>
    <row r="107" spans="10:10" ht="12.75">
      <c r="J107" s="331"/>
    </row>
    <row r="108" spans="10:10" ht="12.75">
      <c r="J108" s="331"/>
    </row>
    <row r="109" spans="10:10" ht="12.75">
      <c r="J109" s="331"/>
    </row>
    <row r="110" spans="10:10" ht="12.75">
      <c r="J110" s="331"/>
    </row>
    <row r="111" spans="10:10" ht="12.75">
      <c r="J111" s="331"/>
    </row>
    <row r="112" spans="10:10" ht="12.75">
      <c r="J112" s="331"/>
    </row>
    <row r="113" spans="10:10" ht="12.75">
      <c r="J113" s="331"/>
    </row>
    <row r="114" spans="10:10" ht="12.75">
      <c r="J114" s="331"/>
    </row>
    <row r="115" spans="10:10" ht="12.75">
      <c r="J115" s="331"/>
    </row>
    <row r="116" spans="10:10" ht="12.75">
      <c r="J116" s="331"/>
    </row>
    <row r="117" spans="10:10" ht="12.75">
      <c r="J117" s="331"/>
    </row>
    <row r="118" spans="10:10" ht="12.75">
      <c r="J118" s="331"/>
    </row>
    <row r="119" spans="10:10" ht="12.75">
      <c r="J119" s="331"/>
    </row>
    <row r="120" spans="10:10" ht="12.75">
      <c r="J120" s="331"/>
    </row>
    <row r="121" spans="10:10" ht="12.75">
      <c r="J121" s="331"/>
    </row>
    <row r="122" spans="10:10" ht="12.75">
      <c r="J122" s="331"/>
    </row>
    <row r="123" spans="10:10" ht="12.75">
      <c r="J123" s="331"/>
    </row>
    <row r="124" spans="10:10" ht="12.75">
      <c r="J124" s="331"/>
    </row>
    <row r="125" spans="10:10" ht="12.75">
      <c r="J125" s="331"/>
    </row>
    <row r="126" spans="10:10" ht="12.75">
      <c r="J126" s="331"/>
    </row>
    <row r="127" spans="10:10" ht="12.75">
      <c r="J127" s="331"/>
    </row>
    <row r="128" spans="10:10" ht="12.75">
      <c r="J128" s="331"/>
    </row>
    <row r="129" spans="10:10" ht="12.75">
      <c r="J129" s="331"/>
    </row>
    <row r="130" spans="10:10" ht="12.75">
      <c r="J130" s="331"/>
    </row>
    <row r="131" spans="10:10" ht="12.75">
      <c r="J131" s="331"/>
    </row>
    <row r="132" spans="10:10" ht="12.75">
      <c r="J132" s="331"/>
    </row>
    <row r="133" spans="10:10" ht="12.75">
      <c r="J133" s="331"/>
    </row>
    <row r="134" spans="10:10" ht="12.75">
      <c r="J134" s="331"/>
    </row>
    <row r="135" spans="10:10" ht="12.75">
      <c r="J135" s="331"/>
    </row>
    <row r="136" spans="10:10" ht="12.75">
      <c r="J136" s="331"/>
    </row>
    <row r="137" spans="10:10" ht="12.75">
      <c r="J137" s="331"/>
    </row>
    <row r="138" spans="10:10" ht="12.75">
      <c r="J138" s="331"/>
    </row>
    <row r="139" spans="10:10" ht="12.75">
      <c r="J139" s="331"/>
    </row>
    <row r="140" spans="10:10" ht="12.75">
      <c r="J140" s="331"/>
    </row>
    <row r="141" spans="10:10" ht="12.75">
      <c r="J141" s="331"/>
    </row>
    <row r="142" spans="10:10" ht="12.75">
      <c r="J142" s="331"/>
    </row>
    <row r="143" spans="10:10" ht="12.75">
      <c r="J143" s="331"/>
    </row>
    <row r="144" spans="10:10" ht="12.75">
      <c r="J144" s="331"/>
    </row>
    <row r="145" spans="10:10" ht="12.75">
      <c r="J145" s="331"/>
    </row>
    <row r="146" spans="10:10" ht="12.75">
      <c r="J146" s="331"/>
    </row>
    <row r="147" spans="10:10" ht="12.75">
      <c r="J147" s="331"/>
    </row>
    <row r="148" spans="10:10" ht="12.75">
      <c r="J148" s="331"/>
    </row>
    <row r="149" spans="10:10" ht="12.75">
      <c r="J149" s="331"/>
    </row>
    <row r="150" spans="10:10" ht="12.75">
      <c r="J150" s="331"/>
    </row>
    <row r="151" spans="10:10" ht="12.75">
      <c r="J151" s="331"/>
    </row>
    <row r="152" spans="10:10" ht="12.75">
      <c r="J152" s="331"/>
    </row>
    <row r="153" spans="10:10" ht="12.75">
      <c r="J153" s="331"/>
    </row>
    <row r="154" spans="10:10" ht="12.75">
      <c r="J154" s="331"/>
    </row>
    <row r="155" spans="10:10" ht="12.75">
      <c r="J155" s="331"/>
    </row>
    <row r="156" spans="10:10" ht="12.75">
      <c r="J156" s="331"/>
    </row>
    <row r="157" spans="10:10" ht="12.75">
      <c r="J157" s="331"/>
    </row>
    <row r="158" spans="10:10" ht="12.75">
      <c r="J158" s="331"/>
    </row>
    <row r="159" spans="10:10" ht="12.75">
      <c r="J159" s="331"/>
    </row>
    <row r="160" spans="10:10" ht="12.75">
      <c r="J160" s="331"/>
    </row>
    <row r="161" spans="10:10" ht="12.75">
      <c r="J161" s="331"/>
    </row>
    <row r="162" spans="10:10" ht="12.75">
      <c r="J162" s="331"/>
    </row>
    <row r="163" spans="10:10" ht="12.75">
      <c r="J163" s="331"/>
    </row>
    <row r="164" spans="10:10" ht="12.75">
      <c r="J164" s="331"/>
    </row>
    <row r="165" spans="10:10" ht="12.75">
      <c r="J165" s="331"/>
    </row>
    <row r="166" spans="10:10" ht="12.75">
      <c r="J166" s="331"/>
    </row>
    <row r="167" spans="10:10" ht="12.75">
      <c r="J167" s="331"/>
    </row>
    <row r="168" spans="10:10" ht="12.75">
      <c r="J168" s="331"/>
    </row>
    <row r="169" spans="10:10" ht="12.75">
      <c r="J169" s="331"/>
    </row>
    <row r="170" spans="10:10" ht="12.75">
      <c r="J170" s="331"/>
    </row>
    <row r="171" spans="10:10" ht="12.75">
      <c r="J171" s="331"/>
    </row>
    <row r="172" spans="10:10" ht="12.75">
      <c r="J172" s="331"/>
    </row>
    <row r="173" spans="10:10" ht="12.75">
      <c r="J173" s="331"/>
    </row>
    <row r="174" spans="10:10" ht="12.75">
      <c r="J174" s="331"/>
    </row>
    <row r="175" spans="10:10" ht="12.75">
      <c r="J175" s="331"/>
    </row>
    <row r="176" spans="10:10" ht="12.75">
      <c r="J176" s="331"/>
    </row>
    <row r="177" spans="10:10" ht="12.75">
      <c r="J177" s="331"/>
    </row>
    <row r="178" spans="10:10" ht="12.75">
      <c r="J178" s="331"/>
    </row>
    <row r="179" spans="10:10" ht="12.75">
      <c r="J179" s="331"/>
    </row>
    <row r="180" spans="10:10" ht="12.75">
      <c r="J180" s="331"/>
    </row>
    <row r="181" spans="10:10" ht="12.75">
      <c r="J181" s="331"/>
    </row>
    <row r="182" spans="10:10" ht="12.75">
      <c r="J182" s="331"/>
    </row>
    <row r="183" spans="10:10" ht="12.75">
      <c r="J183" s="331"/>
    </row>
    <row r="184" spans="10:10" ht="12.75">
      <c r="J184" s="331"/>
    </row>
    <row r="185" spans="10:10" ht="12.75">
      <c r="J185" s="331"/>
    </row>
    <row r="186" spans="10:10" ht="12.75">
      <c r="J186" s="331"/>
    </row>
    <row r="187" spans="10:10" ht="12.75">
      <c r="J187" s="331"/>
    </row>
    <row r="188" spans="10:10" ht="12.75">
      <c r="J188" s="331"/>
    </row>
    <row r="189" spans="10:10" ht="12.75">
      <c r="J189" s="331"/>
    </row>
    <row r="190" spans="10:10" ht="12.75">
      <c r="J190" s="331"/>
    </row>
    <row r="191" spans="10:10" ht="12.75">
      <c r="J191" s="331"/>
    </row>
    <row r="192" spans="10:10" ht="12.75">
      <c r="J192" s="331"/>
    </row>
    <row r="193" spans="10:10" ht="12.75">
      <c r="J193" s="331"/>
    </row>
    <row r="194" spans="10:10" ht="12.75">
      <c r="J194" s="331"/>
    </row>
    <row r="195" spans="10:10" ht="12.75">
      <c r="J195" s="331"/>
    </row>
    <row r="196" spans="10:10" ht="12.75">
      <c r="J196" s="331"/>
    </row>
    <row r="197" spans="10:10" ht="12.75">
      <c r="J197" s="331"/>
    </row>
    <row r="198" spans="10:10" ht="12.75">
      <c r="J198" s="331"/>
    </row>
    <row r="199" spans="10:10" ht="12.75">
      <c r="J199" s="331"/>
    </row>
    <row r="200" spans="10:10" ht="12.75">
      <c r="J200" s="331"/>
    </row>
    <row r="201" spans="10:10" ht="12.75">
      <c r="J201" s="331"/>
    </row>
    <row r="202" spans="10:10" ht="12.75">
      <c r="J202" s="331"/>
    </row>
    <row r="203" spans="10:10" ht="12.75">
      <c r="J203" s="331"/>
    </row>
    <row r="204" spans="10:10" ht="12.75">
      <c r="J204" s="331"/>
    </row>
    <row r="205" spans="10:10" ht="12.75">
      <c r="J205" s="331"/>
    </row>
    <row r="206" spans="10:10" ht="12.75">
      <c r="J206" s="331"/>
    </row>
    <row r="207" spans="10:10" ht="12.75">
      <c r="J207" s="331"/>
    </row>
    <row r="208" spans="10:10" ht="12.75">
      <c r="J208" s="331"/>
    </row>
    <row r="209" spans="10:10" ht="12.75">
      <c r="J209" s="331"/>
    </row>
    <row r="210" spans="10:10" ht="12.75">
      <c r="J210" s="331"/>
    </row>
    <row r="211" spans="10:10" ht="12.75">
      <c r="J211" s="331"/>
    </row>
    <row r="212" spans="10:10" ht="12.75">
      <c r="J212" s="331"/>
    </row>
    <row r="213" spans="10:10" ht="12.75">
      <c r="J213" s="331"/>
    </row>
    <row r="214" spans="10:10" ht="12.75">
      <c r="J214" s="331"/>
    </row>
    <row r="215" spans="10:10" ht="12.75">
      <c r="J215" s="331"/>
    </row>
    <row r="216" spans="10:10" ht="12.75">
      <c r="J216" s="331"/>
    </row>
    <row r="217" spans="10:10" ht="12.75">
      <c r="J217" s="331"/>
    </row>
    <row r="218" spans="10:10" ht="12.75">
      <c r="J218" s="331"/>
    </row>
    <row r="219" spans="10:10" ht="12.75">
      <c r="J219" s="331"/>
    </row>
    <row r="220" spans="10:10" ht="12.75">
      <c r="J220" s="331"/>
    </row>
    <row r="221" spans="10:10" ht="12.75">
      <c r="J221" s="331"/>
    </row>
    <row r="222" spans="10:10" ht="12.75">
      <c r="J222" s="331"/>
    </row>
    <row r="223" spans="10:10" ht="12.75">
      <c r="J223" s="331"/>
    </row>
    <row r="224" spans="10:10" ht="12.75">
      <c r="J224" s="331"/>
    </row>
    <row r="225" spans="10:10" ht="12.75">
      <c r="J225" s="331"/>
    </row>
    <row r="226" spans="10:10" ht="12.75">
      <c r="J226" s="331"/>
    </row>
    <row r="227" spans="10:10" ht="12.75">
      <c r="J227" s="331"/>
    </row>
    <row r="228" spans="10:10" ht="12.75">
      <c r="J228" s="331"/>
    </row>
    <row r="229" spans="10:10" ht="12.75">
      <c r="J229" s="331"/>
    </row>
    <row r="230" spans="10:10" ht="12.75">
      <c r="J230" s="331"/>
    </row>
    <row r="231" spans="10:10" ht="12.75">
      <c r="J231" s="331"/>
    </row>
    <row r="232" spans="10:10" ht="12.75">
      <c r="J232" s="331"/>
    </row>
    <row r="233" spans="10:10" ht="12.75">
      <c r="J233" s="331"/>
    </row>
    <row r="234" spans="10:10" ht="12.75">
      <c r="J234" s="331"/>
    </row>
    <row r="235" spans="10:10" ht="12.75">
      <c r="J235" s="331"/>
    </row>
    <row r="236" spans="10:10" ht="12.75">
      <c r="J236" s="331"/>
    </row>
    <row r="237" spans="10:10" ht="12.75">
      <c r="J237" s="331"/>
    </row>
    <row r="238" spans="10:10" ht="12.75">
      <c r="J238" s="331"/>
    </row>
    <row r="239" spans="10:10" ht="12.75">
      <c r="J239" s="331"/>
    </row>
    <row r="240" spans="10:10" ht="12.75">
      <c r="J240" s="331"/>
    </row>
    <row r="241" spans="10:10" ht="12.75">
      <c r="J241" s="331"/>
    </row>
    <row r="242" spans="10:10" ht="12.75">
      <c r="J242" s="331"/>
    </row>
    <row r="243" spans="10:10" ht="12.75">
      <c r="J243" s="331"/>
    </row>
    <row r="244" spans="10:10" ht="12.75">
      <c r="J244" s="331"/>
    </row>
    <row r="245" spans="10:10" ht="12.75">
      <c r="J245" s="331"/>
    </row>
    <row r="246" spans="10:10" ht="12.75">
      <c r="J246" s="331"/>
    </row>
    <row r="247" spans="10:10" ht="12.75">
      <c r="J247" s="331"/>
    </row>
    <row r="248" spans="10:10" ht="12.75">
      <c r="J248" s="331"/>
    </row>
    <row r="249" spans="10:10" ht="12.75">
      <c r="J249" s="331"/>
    </row>
    <row r="250" spans="10:10" ht="12.75">
      <c r="J250" s="331"/>
    </row>
    <row r="251" spans="10:10" ht="12.75">
      <c r="J251" s="331"/>
    </row>
    <row r="252" spans="10:10" ht="12.75">
      <c r="J252" s="331"/>
    </row>
    <row r="253" spans="10:10" ht="12.75">
      <c r="J253" s="331"/>
    </row>
    <row r="254" spans="10:10" ht="12.75">
      <c r="J254" s="331"/>
    </row>
    <row r="255" spans="10:10" ht="12.75">
      <c r="J255" s="331"/>
    </row>
    <row r="256" spans="10:10" ht="12.75">
      <c r="J256" s="331"/>
    </row>
    <row r="257" spans="10:10" ht="12.75">
      <c r="J257" s="331"/>
    </row>
    <row r="258" spans="10:10" ht="12.75">
      <c r="J258" s="331"/>
    </row>
    <row r="259" spans="10:10" ht="12.75">
      <c r="J259" s="331"/>
    </row>
    <row r="260" spans="10:10" ht="12.75">
      <c r="J260" s="331"/>
    </row>
    <row r="261" spans="10:10" ht="12.75">
      <c r="J261" s="331"/>
    </row>
    <row r="262" spans="10:10" ht="12.75">
      <c r="J262" s="331"/>
    </row>
    <row r="263" spans="10:10" ht="12.75">
      <c r="J263" s="331"/>
    </row>
    <row r="264" spans="10:10" ht="12.75">
      <c r="J264" s="331"/>
    </row>
    <row r="265" spans="10:10" ht="12.75">
      <c r="J265" s="331"/>
    </row>
    <row r="266" spans="10:10" ht="12.75">
      <c r="J266" s="331"/>
    </row>
    <row r="267" spans="10:10" ht="12.75">
      <c r="J267" s="331"/>
    </row>
    <row r="268" spans="10:10" ht="12.75">
      <c r="J268" s="331"/>
    </row>
    <row r="269" spans="10:10" ht="12.75">
      <c r="J269" s="331"/>
    </row>
    <row r="270" spans="10:10" ht="12.75">
      <c r="J270" s="331"/>
    </row>
    <row r="271" spans="10:10" ht="12.75">
      <c r="J271" s="331"/>
    </row>
    <row r="272" spans="10:10" ht="12.75">
      <c r="J272" s="331"/>
    </row>
    <row r="273" spans="10:10" ht="12.75">
      <c r="J273" s="331"/>
    </row>
    <row r="274" spans="10:10" ht="12.75">
      <c r="J274" s="331"/>
    </row>
    <row r="275" spans="10:10" ht="12.75">
      <c r="J275" s="331"/>
    </row>
    <row r="276" spans="10:10" ht="12.75">
      <c r="J276" s="331"/>
    </row>
    <row r="277" spans="10:10" ht="12.75">
      <c r="J277" s="331"/>
    </row>
    <row r="278" spans="10:10" ht="12.75">
      <c r="J278" s="331"/>
    </row>
    <row r="279" spans="10:10" ht="12.75">
      <c r="J279" s="331"/>
    </row>
    <row r="280" spans="10:10" ht="12.75">
      <c r="J280" s="331"/>
    </row>
    <row r="281" spans="10:10" ht="12.75">
      <c r="J281" s="331"/>
    </row>
    <row r="282" spans="10:10" ht="12.75">
      <c r="J282" s="331"/>
    </row>
    <row r="283" spans="10:10" ht="12.75">
      <c r="J283" s="331"/>
    </row>
    <row r="284" spans="10:10" ht="12.75">
      <c r="J284" s="331"/>
    </row>
    <row r="285" spans="10:10" ht="12.75">
      <c r="J285" s="331"/>
    </row>
    <row r="286" spans="10:10" ht="12.75">
      <c r="J286" s="331"/>
    </row>
    <row r="287" spans="10:10" ht="12.75">
      <c r="J287" s="331"/>
    </row>
    <row r="288" spans="10:10" ht="12.75">
      <c r="J288" s="331"/>
    </row>
    <row r="289" spans="10:10" ht="12.75">
      <c r="J289" s="331"/>
    </row>
    <row r="290" spans="10:10" ht="12.75">
      <c r="J290" s="331"/>
    </row>
    <row r="291" spans="10:10" ht="12.75">
      <c r="J291" s="331"/>
    </row>
    <row r="292" spans="10:10" ht="12.75">
      <c r="J292" s="331"/>
    </row>
    <row r="293" spans="10:10" ht="12.75">
      <c r="J293" s="331"/>
    </row>
    <row r="294" spans="10:10" ht="12.75">
      <c r="J294" s="331"/>
    </row>
    <row r="295" spans="10:10" ht="12.75">
      <c r="J295" s="331"/>
    </row>
    <row r="296" spans="10:10" ht="12.75">
      <c r="J296" s="331"/>
    </row>
    <row r="297" spans="10:10" ht="12.75">
      <c r="J297" s="331"/>
    </row>
    <row r="298" spans="10:10" ht="12.75">
      <c r="J298" s="331"/>
    </row>
    <row r="299" spans="10:10" ht="12.75">
      <c r="J299" s="331"/>
    </row>
    <row r="300" spans="10:10" ht="12.75">
      <c r="J300" s="331"/>
    </row>
    <row r="301" spans="10:10" ht="12.75">
      <c r="J301" s="331"/>
    </row>
    <row r="302" spans="10:10" ht="12.75">
      <c r="J302" s="331"/>
    </row>
    <row r="303" spans="10:10" ht="12.75">
      <c r="J303" s="331"/>
    </row>
    <row r="304" spans="10:10" ht="12.75">
      <c r="J304" s="331"/>
    </row>
    <row r="305" spans="10:10" ht="12.75">
      <c r="J305" s="331"/>
    </row>
    <row r="306" spans="10:10" ht="12.75">
      <c r="J306" s="331"/>
    </row>
    <row r="307" spans="10:10" ht="12.75">
      <c r="J307" s="331"/>
    </row>
    <row r="308" spans="10:10" ht="12.75">
      <c r="J308" s="331"/>
    </row>
    <row r="309" spans="10:10" ht="12.75">
      <c r="J309" s="331"/>
    </row>
    <row r="310" spans="10:10" ht="12.75">
      <c r="J310" s="331"/>
    </row>
    <row r="311" spans="10:10" ht="12.75">
      <c r="J311" s="331"/>
    </row>
    <row r="312" spans="10:10" ht="12.75">
      <c r="J312" s="331"/>
    </row>
    <row r="313" spans="10:10" ht="12.75">
      <c r="J313" s="331"/>
    </row>
    <row r="314" spans="10:10" ht="12.75">
      <c r="J314" s="331"/>
    </row>
    <row r="315" spans="10:10" ht="12.75">
      <c r="J315" s="331"/>
    </row>
    <row r="316" spans="10:10" ht="12.75">
      <c r="J316" s="331"/>
    </row>
    <row r="317" spans="10:10" ht="12.75">
      <c r="J317" s="331"/>
    </row>
    <row r="318" spans="10:10" ht="12.75">
      <c r="J318" s="331"/>
    </row>
    <row r="319" spans="10:10" ht="12.75">
      <c r="J319" s="331"/>
    </row>
    <row r="320" spans="10:10" ht="12.75">
      <c r="J320" s="331"/>
    </row>
    <row r="321" spans="10:10" ht="12.75">
      <c r="J321" s="331"/>
    </row>
    <row r="322" spans="10:10" ht="12.75">
      <c r="J322" s="331"/>
    </row>
    <row r="323" spans="10:10" ht="12.75">
      <c r="J323" s="331"/>
    </row>
    <row r="324" spans="10:10" ht="12.75">
      <c r="J324" s="331"/>
    </row>
    <row r="325" spans="10:10" ht="12.75">
      <c r="J325" s="331"/>
    </row>
    <row r="326" spans="10:10" ht="12.75">
      <c r="J326" s="331"/>
    </row>
    <row r="327" spans="10:10" ht="12.75">
      <c r="J327" s="331"/>
    </row>
    <row r="328" spans="10:10" ht="12.75">
      <c r="J328" s="331"/>
    </row>
    <row r="329" spans="10:10" ht="12.75">
      <c r="J329" s="331"/>
    </row>
    <row r="330" spans="10:10" ht="12.75">
      <c r="J330" s="331"/>
    </row>
    <row r="331" spans="10:10" ht="12.75">
      <c r="J331" s="331"/>
    </row>
    <row r="332" spans="10:10" ht="12.75">
      <c r="J332" s="331"/>
    </row>
    <row r="333" spans="10:10" ht="12.75">
      <c r="J333" s="331"/>
    </row>
    <row r="334" spans="10:10" ht="12.75">
      <c r="J334" s="331"/>
    </row>
    <row r="335" spans="10:10" ht="12.75">
      <c r="J335" s="331"/>
    </row>
    <row r="336" spans="10:10" ht="12.75">
      <c r="J336" s="331"/>
    </row>
    <row r="337" spans="10:10" ht="12.75">
      <c r="J337" s="331"/>
    </row>
    <row r="338" spans="10:10" ht="12.75">
      <c r="J338" s="331"/>
    </row>
    <row r="339" spans="10:10" ht="12.75">
      <c r="J339" s="331"/>
    </row>
    <row r="340" spans="10:10" ht="12.75">
      <c r="J340" s="331"/>
    </row>
    <row r="341" spans="10:10" ht="12.75">
      <c r="J341" s="331"/>
    </row>
    <row r="342" spans="10:10" ht="12.75">
      <c r="J342" s="331"/>
    </row>
    <row r="343" spans="10:10" ht="12.75">
      <c r="J343" s="331"/>
    </row>
    <row r="344" spans="10:10" ht="12.75">
      <c r="J344" s="331"/>
    </row>
    <row r="345" spans="10:10" ht="12.75">
      <c r="J345" s="331"/>
    </row>
    <row r="346" spans="10:10" ht="12.75">
      <c r="J346" s="331"/>
    </row>
    <row r="347" spans="10:10" ht="12.75">
      <c r="J347" s="331"/>
    </row>
    <row r="348" spans="10:10" ht="12.75">
      <c r="J348" s="331"/>
    </row>
    <row r="349" spans="10:10" ht="12.75">
      <c r="J349" s="331"/>
    </row>
    <row r="350" spans="10:10" ht="12.75">
      <c r="J350" s="331"/>
    </row>
    <row r="351" spans="10:10" ht="12.75">
      <c r="J351" s="331"/>
    </row>
    <row r="352" spans="10:10" ht="12.75">
      <c r="J352" s="331"/>
    </row>
    <row r="353" spans="10:10" ht="12.75">
      <c r="J353" s="331"/>
    </row>
    <row r="354" spans="10:10" ht="12.75">
      <c r="J354" s="331"/>
    </row>
    <row r="355" spans="10:10" ht="12.75">
      <c r="J355" s="331"/>
    </row>
    <row r="356" spans="10:10" ht="12.75">
      <c r="J356" s="331"/>
    </row>
    <row r="357" spans="10:10" ht="12.75">
      <c r="J357" s="331"/>
    </row>
    <row r="358" spans="10:10" ht="12.75">
      <c r="J358" s="331"/>
    </row>
    <row r="359" spans="10:10" ht="12.75">
      <c r="J359" s="331"/>
    </row>
    <row r="360" spans="10:10" ht="12.75">
      <c r="J360" s="331"/>
    </row>
    <row r="361" spans="10:10" ht="12.75">
      <c r="J361" s="331"/>
    </row>
    <row r="362" spans="10:10" ht="12.75">
      <c r="J362" s="331"/>
    </row>
    <row r="363" spans="10:10" ht="12.75">
      <c r="J363" s="331"/>
    </row>
    <row r="364" spans="10:10" ht="12.75">
      <c r="J364" s="331"/>
    </row>
    <row r="365" spans="10:10" ht="12.75">
      <c r="J365" s="331"/>
    </row>
    <row r="366" spans="10:10" ht="12.75">
      <c r="J366" s="331"/>
    </row>
    <row r="367" spans="10:10" ht="12.75">
      <c r="J367" s="331"/>
    </row>
    <row r="368" spans="10:10" ht="12.75">
      <c r="J368" s="331"/>
    </row>
    <row r="369" spans="10:10" ht="12.75">
      <c r="J369" s="331"/>
    </row>
    <row r="370" spans="10:10" ht="12.75">
      <c r="J370" s="331"/>
    </row>
    <row r="371" spans="10:10" ht="12.75">
      <c r="J371" s="331"/>
    </row>
    <row r="372" spans="10:10" ht="12.75">
      <c r="J372" s="331"/>
    </row>
    <row r="373" spans="10:10" ht="12.75">
      <c r="J373" s="331"/>
    </row>
    <row r="374" spans="10:10" ht="12.75">
      <c r="J374" s="331"/>
    </row>
    <row r="375" spans="10:10" ht="12.75">
      <c r="J375" s="331"/>
    </row>
    <row r="376" spans="10:10" ht="12.75">
      <c r="J376" s="331"/>
    </row>
    <row r="377" spans="10:10" ht="12.75">
      <c r="J377" s="331"/>
    </row>
    <row r="378" spans="10:10" ht="12.75">
      <c r="J378" s="331"/>
    </row>
    <row r="379" spans="10:10" ht="12.75">
      <c r="J379" s="331"/>
    </row>
    <row r="380" spans="10:10" ht="12.75">
      <c r="J380" s="331"/>
    </row>
    <row r="381" spans="10:10" ht="12.75">
      <c r="J381" s="331"/>
    </row>
    <row r="382" spans="10:10" ht="12.75">
      <c r="J382" s="331"/>
    </row>
    <row r="383" spans="10:10" ht="12.75">
      <c r="J383" s="331"/>
    </row>
    <row r="384" spans="10:10" ht="12.75">
      <c r="J384" s="331"/>
    </row>
    <row r="385" spans="10:10" ht="12.75">
      <c r="J385" s="331"/>
    </row>
    <row r="386" spans="10:10" ht="12.75">
      <c r="J386" s="331"/>
    </row>
    <row r="387" spans="10:10" ht="12.75">
      <c r="J387" s="331"/>
    </row>
    <row r="388" spans="10:10" ht="12.75">
      <c r="J388" s="331"/>
    </row>
    <row r="389" spans="10:10" ht="12.75">
      <c r="J389" s="331"/>
    </row>
    <row r="390" spans="10:10" ht="12.75">
      <c r="J390" s="331"/>
    </row>
    <row r="391" spans="10:10" ht="12.75">
      <c r="J391" s="331"/>
    </row>
    <row r="392" spans="10:10" ht="12.75">
      <c r="J392" s="331"/>
    </row>
    <row r="393" spans="10:10" ht="12.75">
      <c r="J393" s="331"/>
    </row>
    <row r="394" spans="10:10" ht="12.75">
      <c r="J394" s="331"/>
    </row>
    <row r="395" spans="10:10" ht="12.75">
      <c r="J395" s="331"/>
    </row>
    <row r="396" spans="10:10" ht="12.75">
      <c r="J396" s="331"/>
    </row>
    <row r="397" spans="10:10" ht="12.75">
      <c r="J397" s="331"/>
    </row>
    <row r="398" spans="10:10" ht="12.75">
      <c r="J398" s="331"/>
    </row>
    <row r="399" spans="10:10" ht="12.75">
      <c r="J399" s="331"/>
    </row>
    <row r="400" spans="10:10" ht="12.75">
      <c r="J400" s="331"/>
    </row>
    <row r="401" spans="10:10" ht="12.75">
      <c r="J401" s="331"/>
    </row>
    <row r="402" spans="10:10" ht="12.75">
      <c r="J402" s="331"/>
    </row>
    <row r="403" spans="10:10" ht="12.75">
      <c r="J403" s="331"/>
    </row>
    <row r="404" spans="10:10" ht="12.75">
      <c r="J404" s="331"/>
    </row>
    <row r="405" spans="10:10" ht="12.75">
      <c r="J405" s="331"/>
    </row>
    <row r="406" spans="10:10" ht="12.75">
      <c r="J406" s="331"/>
    </row>
    <row r="407" spans="10:10" ht="12.75">
      <c r="J407" s="331"/>
    </row>
    <row r="408" spans="10:10" ht="12.75">
      <c r="J408" s="331"/>
    </row>
    <row r="409" spans="10:10" ht="12.75">
      <c r="J409" s="331"/>
    </row>
    <row r="410" spans="10:10" ht="12.75">
      <c r="J410" s="331"/>
    </row>
    <row r="411" spans="10:10" ht="12.75">
      <c r="J411" s="331"/>
    </row>
    <row r="412" spans="10:10" ht="12.75">
      <c r="J412" s="331"/>
    </row>
    <row r="413" spans="10:10" ht="12.75">
      <c r="J413" s="331"/>
    </row>
    <row r="414" spans="10:10" ht="12.75">
      <c r="J414" s="331"/>
    </row>
    <row r="415" spans="10:10" ht="12.75">
      <c r="J415" s="331"/>
    </row>
    <row r="416" spans="10:10" ht="12.75">
      <c r="J416" s="331"/>
    </row>
    <row r="417" spans="10:10" ht="12.75">
      <c r="J417" s="331"/>
    </row>
    <row r="418" spans="10:10" ht="12.75">
      <c r="J418" s="331"/>
    </row>
    <row r="419" spans="10:10" ht="12.75">
      <c r="J419" s="331"/>
    </row>
    <row r="420" spans="10:10" ht="12.75">
      <c r="J420" s="331"/>
    </row>
    <row r="421" spans="10:10" ht="12.75">
      <c r="J421" s="331"/>
    </row>
    <row r="422" spans="10:10" ht="12.75">
      <c r="J422" s="331"/>
    </row>
    <row r="423" spans="10:10" ht="12.75">
      <c r="J423" s="331"/>
    </row>
    <row r="424" spans="10:10" ht="12.75">
      <c r="J424" s="331"/>
    </row>
    <row r="425" spans="10:10" ht="12.75">
      <c r="J425" s="331"/>
    </row>
    <row r="426" spans="10:10" ht="12.75">
      <c r="J426" s="331"/>
    </row>
    <row r="427" spans="10:10" ht="12.75">
      <c r="J427" s="331"/>
    </row>
    <row r="428" spans="10:10" ht="12.75">
      <c r="J428" s="331"/>
    </row>
    <row r="429" spans="10:10" ht="12.75">
      <c r="J429" s="331"/>
    </row>
    <row r="430" spans="10:10" ht="12.75">
      <c r="J430" s="331"/>
    </row>
    <row r="431" spans="10:10" ht="12.75">
      <c r="J431" s="331"/>
    </row>
    <row r="432" spans="10:10" ht="12.75">
      <c r="J432" s="331"/>
    </row>
    <row r="433" spans="10:10" ht="12.75">
      <c r="J433" s="331"/>
    </row>
    <row r="434" spans="10:10" ht="12.75">
      <c r="J434" s="331"/>
    </row>
    <row r="435" spans="10:10" ht="12.75">
      <c r="J435" s="331"/>
    </row>
    <row r="436" spans="10:10" ht="12.75">
      <c r="J436" s="331"/>
    </row>
    <row r="437" spans="10:10" ht="12.75">
      <c r="J437" s="331"/>
    </row>
    <row r="438" spans="10:10" ht="12.75">
      <c r="J438" s="331"/>
    </row>
    <row r="439" spans="10:10" ht="12.75">
      <c r="J439" s="331"/>
    </row>
    <row r="440" spans="10:10" ht="12.75">
      <c r="J440" s="331"/>
    </row>
    <row r="441" spans="10:10" ht="12.75">
      <c r="J441" s="331"/>
    </row>
    <row r="442" spans="10:10" ht="12.75">
      <c r="J442" s="331"/>
    </row>
    <row r="443" spans="10:10" ht="12.75">
      <c r="J443" s="331"/>
    </row>
    <row r="444" spans="10:10" ht="12.75">
      <c r="J444" s="331"/>
    </row>
    <row r="445" spans="10:10" ht="12.75">
      <c r="J445" s="331"/>
    </row>
    <row r="446" spans="10:10" ht="12.75">
      <c r="J446" s="331"/>
    </row>
    <row r="447" spans="10:10" ht="12.75">
      <c r="J447" s="331"/>
    </row>
    <row r="448" spans="10:10" ht="12.75">
      <c r="J448" s="331"/>
    </row>
    <row r="449" spans="10:10" ht="12.75">
      <c r="J449" s="331"/>
    </row>
    <row r="450" spans="10:10" ht="12.75">
      <c r="J450" s="331"/>
    </row>
    <row r="451" spans="10:10" ht="12.75">
      <c r="J451" s="331"/>
    </row>
    <row r="452" spans="10:10" ht="12.75">
      <c r="J452" s="331"/>
    </row>
    <row r="453" spans="10:10" ht="12.75">
      <c r="J453" s="331"/>
    </row>
    <row r="454" spans="10:10" ht="12.75">
      <c r="J454" s="331"/>
    </row>
    <row r="455" spans="10:10" ht="12.75">
      <c r="J455" s="331"/>
    </row>
    <row r="456" spans="10:10" ht="12.75">
      <c r="J456" s="331"/>
    </row>
    <row r="457" spans="10:10" ht="12.75">
      <c r="J457" s="331"/>
    </row>
    <row r="458" spans="10:10" ht="12.75">
      <c r="J458" s="331"/>
    </row>
    <row r="459" spans="10:10" ht="12.75">
      <c r="J459" s="331"/>
    </row>
    <row r="460" spans="10:10" ht="12.75">
      <c r="J460" s="331"/>
    </row>
    <row r="461" spans="10:10" ht="12.75">
      <c r="J461" s="331"/>
    </row>
    <row r="462" spans="10:10" ht="12.75">
      <c r="J462" s="331"/>
    </row>
    <row r="463" spans="10:10" ht="12.75">
      <c r="J463" s="331"/>
    </row>
    <row r="464" spans="10:10" ht="12.75">
      <c r="J464" s="331"/>
    </row>
    <row r="465" spans="10:10" ht="12.75">
      <c r="J465" s="331"/>
    </row>
    <row r="466" spans="10:10" ht="12.75">
      <c r="J466" s="331"/>
    </row>
    <row r="467" spans="10:10" ht="12.75">
      <c r="J467" s="331"/>
    </row>
    <row r="468" spans="10:10" ht="12.75">
      <c r="J468" s="331"/>
    </row>
    <row r="469" spans="10:10" ht="12.75">
      <c r="J469" s="331"/>
    </row>
    <row r="470" spans="10:10" ht="12.75">
      <c r="J470" s="331"/>
    </row>
    <row r="471" spans="10:10" ht="12.75">
      <c r="J471" s="331"/>
    </row>
    <row r="472" spans="10:10" ht="12.75">
      <c r="J472" s="331"/>
    </row>
    <row r="473" spans="10:10" ht="12.75">
      <c r="J473" s="331"/>
    </row>
    <row r="474" spans="10:10" ht="12.75">
      <c r="J474" s="331"/>
    </row>
    <row r="475" spans="10:10" ht="12.75">
      <c r="J475" s="331"/>
    </row>
    <row r="476" spans="10:10" ht="12.75">
      <c r="J476" s="331"/>
    </row>
    <row r="477" spans="10:10" ht="12.75">
      <c r="J477" s="331"/>
    </row>
    <row r="478" spans="10:10" ht="12.75">
      <c r="J478" s="331"/>
    </row>
    <row r="479" spans="10:10" ht="12.75">
      <c r="J479" s="331"/>
    </row>
    <row r="480" spans="10:10" ht="12.75">
      <c r="J480" s="331"/>
    </row>
    <row r="481" spans="10:10" ht="12.75">
      <c r="J481" s="331"/>
    </row>
    <row r="482" spans="10:10" ht="12.75">
      <c r="J482" s="331"/>
    </row>
    <row r="483" spans="10:10" ht="12.75">
      <c r="J483" s="331"/>
    </row>
    <row r="484" spans="10:10" ht="12.75">
      <c r="J484" s="331"/>
    </row>
    <row r="485" spans="10:10" ht="12.75">
      <c r="J485" s="331"/>
    </row>
    <row r="486" spans="10:10" ht="12.75">
      <c r="J486" s="331"/>
    </row>
    <row r="487" spans="10:10" ht="12.75">
      <c r="J487" s="331"/>
    </row>
    <row r="488" spans="10:10" ht="12.75">
      <c r="J488" s="331"/>
    </row>
    <row r="489" spans="10:10" ht="12.75">
      <c r="J489" s="331"/>
    </row>
    <row r="490" spans="10:10" ht="12.75">
      <c r="J490" s="331"/>
    </row>
    <row r="491" spans="10:10" ht="12.75">
      <c r="J491" s="331"/>
    </row>
    <row r="492" spans="10:10" ht="12.75">
      <c r="J492" s="331"/>
    </row>
    <row r="493" spans="10:10" ht="12.75">
      <c r="J493" s="331"/>
    </row>
    <row r="494" spans="10:10" ht="12.75">
      <c r="J494" s="331"/>
    </row>
    <row r="495" spans="10:10" ht="12.75">
      <c r="J495" s="331"/>
    </row>
    <row r="496" spans="10:10" ht="12.75">
      <c r="J496" s="331"/>
    </row>
    <row r="497" spans="10:10" ht="12.75">
      <c r="J497" s="331"/>
    </row>
    <row r="498" spans="10:10" ht="12.75">
      <c r="J498" s="331"/>
    </row>
    <row r="499" spans="10:10" ht="12.75">
      <c r="J499" s="331"/>
    </row>
    <row r="500" spans="10:10" ht="12.75">
      <c r="J500" s="331"/>
    </row>
    <row r="501" spans="10:10" ht="12.75">
      <c r="J501" s="331"/>
    </row>
    <row r="502" spans="10:10" ht="12.75">
      <c r="J502" s="331"/>
    </row>
    <row r="503" spans="10:10" ht="12.75">
      <c r="J503" s="331"/>
    </row>
    <row r="504" spans="10:10" ht="12.75">
      <c r="J504" s="331"/>
    </row>
    <row r="505" spans="10:10" ht="12.75">
      <c r="J505" s="331"/>
    </row>
    <row r="506" spans="10:10" ht="12.75">
      <c r="J506" s="331"/>
    </row>
    <row r="507" spans="10:10" ht="12.75">
      <c r="J507" s="331"/>
    </row>
    <row r="508" spans="10:10" ht="12.75">
      <c r="J508" s="331"/>
    </row>
    <row r="509" spans="10:10" ht="12.75">
      <c r="J509" s="331"/>
    </row>
    <row r="510" spans="10:10" ht="12.75">
      <c r="J510" s="331"/>
    </row>
    <row r="511" spans="10:10" ht="12.75">
      <c r="J511" s="331"/>
    </row>
    <row r="512" spans="10:10" ht="12.75">
      <c r="J512" s="331"/>
    </row>
    <row r="513" spans="10:10" ht="12.75">
      <c r="J513" s="331"/>
    </row>
    <row r="514" spans="10:10" ht="12.75">
      <c r="J514" s="331"/>
    </row>
    <row r="515" spans="10:10" ht="12.75">
      <c r="J515" s="331"/>
    </row>
    <row r="516" spans="10:10" ht="12.75">
      <c r="J516" s="331"/>
    </row>
    <row r="517" spans="10:10" ht="12.75">
      <c r="J517" s="331"/>
    </row>
    <row r="518" spans="10:10" ht="12.75">
      <c r="J518" s="331"/>
    </row>
    <row r="519" spans="10:10" ht="12.75">
      <c r="J519" s="331"/>
    </row>
    <row r="520" spans="10:10" ht="12.75">
      <c r="J520" s="331"/>
    </row>
    <row r="521" spans="10:10" ht="12.75">
      <c r="J521" s="331"/>
    </row>
    <row r="522" spans="10:10" ht="12.75">
      <c r="J522" s="331"/>
    </row>
    <row r="523" spans="10:10" ht="12.75">
      <c r="J523" s="331"/>
    </row>
    <row r="524" spans="10:10" ht="12.75">
      <c r="J524" s="331"/>
    </row>
    <row r="525" spans="10:10" ht="12.75">
      <c r="J525" s="331"/>
    </row>
    <row r="526" spans="10:10" ht="12.75">
      <c r="J526" s="331"/>
    </row>
    <row r="527" spans="10:10" ht="12.75">
      <c r="J527" s="331"/>
    </row>
    <row r="528" spans="10:10" ht="12.75">
      <c r="J528" s="331"/>
    </row>
    <row r="529" spans="10:10" ht="12.75">
      <c r="J529" s="331"/>
    </row>
    <row r="530" spans="10:10" ht="12.75">
      <c r="J530" s="331"/>
    </row>
    <row r="531" spans="10:10" ht="12.75">
      <c r="J531" s="331"/>
    </row>
    <row r="532" spans="10:10" ht="12.75">
      <c r="J532" s="331"/>
    </row>
    <row r="533" spans="10:10" ht="12.75">
      <c r="J533" s="331"/>
    </row>
    <row r="534" spans="10:10" ht="12.75">
      <c r="J534" s="331"/>
    </row>
    <row r="535" spans="10:10" ht="12.75">
      <c r="J535" s="331"/>
    </row>
    <row r="536" spans="10:10" ht="12.75">
      <c r="J536" s="331"/>
    </row>
    <row r="537" spans="10:10" ht="12.75">
      <c r="J537" s="331"/>
    </row>
    <row r="538" spans="10:10" ht="12.75">
      <c r="J538" s="331"/>
    </row>
    <row r="539" spans="10:10" ht="12.75">
      <c r="J539" s="331"/>
    </row>
    <row r="540" spans="10:10" ht="12.75">
      <c r="J540" s="331"/>
    </row>
    <row r="541" spans="10:10" ht="12.75">
      <c r="J541" s="331"/>
    </row>
    <row r="542" spans="10:10" ht="12.75">
      <c r="J542" s="331"/>
    </row>
    <row r="543" spans="10:10" ht="12.75">
      <c r="J543" s="331"/>
    </row>
    <row r="544" spans="10:10" ht="12.75">
      <c r="J544" s="331"/>
    </row>
    <row r="545" spans="10:10" ht="12.75">
      <c r="J545" s="331"/>
    </row>
    <row r="546" spans="10:10" ht="12.75">
      <c r="J546" s="331"/>
    </row>
    <row r="547" spans="10:10" ht="12.75">
      <c r="J547" s="331"/>
    </row>
    <row r="548" spans="10:10" ht="12.75">
      <c r="J548" s="331"/>
    </row>
    <row r="549" spans="10:10" ht="12.75">
      <c r="J549" s="331"/>
    </row>
    <row r="550" spans="10:10" ht="12.75">
      <c r="J550" s="331"/>
    </row>
    <row r="551" spans="10:10" ht="12.75">
      <c r="J551" s="331"/>
    </row>
    <row r="552" spans="10:10" ht="12.75">
      <c r="J552" s="331"/>
    </row>
    <row r="553" spans="10:10" ht="12.75">
      <c r="J553" s="331"/>
    </row>
    <row r="554" spans="10:10" ht="12.75">
      <c r="J554" s="331"/>
    </row>
    <row r="555" spans="10:10" ht="12.75">
      <c r="J555" s="331"/>
    </row>
    <row r="556" spans="10:10" ht="12.75">
      <c r="J556" s="331"/>
    </row>
    <row r="557" spans="10:10" ht="12.75">
      <c r="J557" s="331"/>
    </row>
    <row r="558" spans="10:10" ht="12.75">
      <c r="J558" s="331"/>
    </row>
    <row r="559" spans="10:10" ht="12.75">
      <c r="J559" s="331"/>
    </row>
    <row r="560" spans="10:10" ht="12.75">
      <c r="J560" s="331"/>
    </row>
    <row r="561" spans="10:10" ht="12.75">
      <c r="J561" s="331"/>
    </row>
    <row r="562" spans="10:10" ht="12.75">
      <c r="J562" s="331"/>
    </row>
    <row r="563" spans="10:10" ht="12.75">
      <c r="J563" s="331"/>
    </row>
    <row r="564" spans="10:10" ht="12.75">
      <c r="J564" s="331"/>
    </row>
    <row r="565" spans="10:10" ht="12.75">
      <c r="J565" s="331"/>
    </row>
    <row r="566" spans="10:10" ht="12.75">
      <c r="J566" s="331"/>
    </row>
    <row r="567" spans="10:10" ht="12.75">
      <c r="J567" s="331"/>
    </row>
    <row r="568" spans="10:10" ht="12.75">
      <c r="J568" s="331"/>
    </row>
    <row r="569" spans="10:10" ht="12.75">
      <c r="J569" s="331"/>
    </row>
    <row r="570" spans="10:10" ht="12.75">
      <c r="J570" s="331"/>
    </row>
    <row r="571" spans="10:10" ht="12.75">
      <c r="J571" s="331"/>
    </row>
    <row r="572" spans="10:10" ht="12.75">
      <c r="J572" s="331"/>
    </row>
    <row r="573" spans="10:10" ht="12.75">
      <c r="J573" s="331"/>
    </row>
    <row r="574" spans="10:10" ht="12.75">
      <c r="J574" s="331"/>
    </row>
    <row r="575" spans="10:10" ht="12.75">
      <c r="J575" s="331"/>
    </row>
    <row r="576" spans="10:10" ht="12.75">
      <c r="J576" s="331"/>
    </row>
    <row r="577" spans="10:10" ht="12.75">
      <c r="J577" s="331"/>
    </row>
    <row r="578" spans="10:10" ht="12.75">
      <c r="J578" s="331"/>
    </row>
    <row r="579" spans="10:10" ht="12.75">
      <c r="J579" s="331"/>
    </row>
    <row r="580" spans="10:10" ht="12.75">
      <c r="J580" s="331"/>
    </row>
    <row r="581" spans="10:10" ht="12.75">
      <c r="J581" s="331"/>
    </row>
    <row r="582" spans="10:10" ht="12.75">
      <c r="J582" s="331"/>
    </row>
    <row r="583" spans="10:10" ht="12.75">
      <c r="J583" s="331"/>
    </row>
    <row r="584" spans="10:10" ht="12.75">
      <c r="J584" s="331"/>
    </row>
    <row r="585" spans="10:10" ht="12.75">
      <c r="J585" s="331"/>
    </row>
    <row r="586" spans="10:10" ht="12.75">
      <c r="J586" s="331"/>
    </row>
    <row r="587" spans="10:10" ht="12.75">
      <c r="J587" s="331"/>
    </row>
    <row r="588" spans="10:10" ht="12.75">
      <c r="J588" s="331"/>
    </row>
    <row r="589" spans="10:10" ht="12.75">
      <c r="J589" s="331"/>
    </row>
    <row r="590" spans="10:10" ht="12.75">
      <c r="J590" s="331"/>
    </row>
    <row r="591" spans="10:10" ht="12.75">
      <c r="J591" s="331"/>
    </row>
    <row r="592" spans="10:10" ht="12.75">
      <c r="J592" s="331"/>
    </row>
    <row r="593" spans="10:10" ht="12.75">
      <c r="J593" s="331"/>
    </row>
    <row r="594" spans="10:10" ht="12.75">
      <c r="J594" s="331"/>
    </row>
    <row r="595" spans="10:10" ht="12.75">
      <c r="J595" s="331"/>
    </row>
    <row r="596" spans="10:10" ht="12.75">
      <c r="J596" s="331"/>
    </row>
    <row r="597" spans="10:10" ht="12.75">
      <c r="J597" s="331"/>
    </row>
    <row r="598" spans="10:10" ht="12.75">
      <c r="J598" s="331"/>
    </row>
    <row r="599" spans="10:10" ht="12.75">
      <c r="J599" s="331"/>
    </row>
    <row r="600" spans="10:10" ht="12.75">
      <c r="J600" s="331"/>
    </row>
    <row r="601" spans="10:10" ht="12.75">
      <c r="J601" s="331"/>
    </row>
    <row r="602" spans="10:10" ht="12.75">
      <c r="J602" s="331"/>
    </row>
    <row r="603" spans="10:10" ht="12.75">
      <c r="J603" s="331"/>
    </row>
    <row r="604" spans="10:10" ht="12.75">
      <c r="J604" s="331"/>
    </row>
    <row r="605" spans="10:10" ht="12.75">
      <c r="J605" s="331"/>
    </row>
    <row r="606" spans="10:10" ht="12.75">
      <c r="J606" s="331"/>
    </row>
    <row r="607" spans="10:10" ht="12.75">
      <c r="J607" s="331"/>
    </row>
    <row r="608" spans="10:10" ht="12.75">
      <c r="J608" s="331"/>
    </row>
    <row r="609" spans="10:10" ht="12.75">
      <c r="J609" s="331"/>
    </row>
    <row r="610" spans="10:10" ht="12.75">
      <c r="J610" s="331"/>
    </row>
    <row r="611" spans="10:10" ht="12.75">
      <c r="J611" s="331"/>
    </row>
    <row r="612" spans="10:10" ht="12.75">
      <c r="J612" s="331"/>
    </row>
    <row r="613" spans="10:10" ht="12.75">
      <c r="J613" s="331"/>
    </row>
    <row r="614" spans="10:10" ht="12.75">
      <c r="J614" s="331"/>
    </row>
    <row r="615" spans="10:10" ht="12.75">
      <c r="J615" s="331"/>
    </row>
    <row r="616" spans="10:10" ht="12.75">
      <c r="J616" s="331"/>
    </row>
    <row r="617" spans="10:10" ht="12.75">
      <c r="J617" s="331"/>
    </row>
    <row r="618" spans="10:10" ht="12.75">
      <c r="J618" s="331"/>
    </row>
    <row r="619" spans="10:10" ht="12.75">
      <c r="J619" s="331"/>
    </row>
    <row r="620" spans="10:10" ht="12.75">
      <c r="J620" s="331"/>
    </row>
    <row r="621" spans="10:10" ht="12.75">
      <c r="J621" s="331"/>
    </row>
    <row r="622" spans="10:10" ht="12.75">
      <c r="J622" s="331"/>
    </row>
    <row r="623" spans="10:10" ht="12.75">
      <c r="J623" s="331"/>
    </row>
    <row r="624" spans="10:10" ht="12.75">
      <c r="J624" s="331"/>
    </row>
    <row r="625" spans="10:10" ht="12.75">
      <c r="J625" s="331"/>
    </row>
    <row r="626" spans="10:10" ht="12.75">
      <c r="J626" s="331"/>
    </row>
    <row r="627" spans="10:10" ht="12.75">
      <c r="J627" s="331"/>
    </row>
    <row r="628" spans="10:10" ht="12.75">
      <c r="J628" s="331"/>
    </row>
    <row r="629" spans="10:10" ht="12.75">
      <c r="J629" s="331"/>
    </row>
    <row r="630" spans="10:10" ht="12.75">
      <c r="J630" s="331"/>
    </row>
    <row r="631" spans="10:10" ht="12.75">
      <c r="J631" s="331"/>
    </row>
    <row r="632" spans="10:10" ht="12.75">
      <c r="J632" s="331"/>
    </row>
    <row r="633" spans="10:10" ht="12.75">
      <c r="J633" s="331"/>
    </row>
    <row r="634" spans="10:10" ht="12.75">
      <c r="J634" s="331"/>
    </row>
    <row r="635" spans="10:10" ht="12.75">
      <c r="J635" s="331"/>
    </row>
    <row r="636" spans="10:10" ht="12.75">
      <c r="J636" s="331"/>
    </row>
    <row r="637" spans="10:10" ht="12.75">
      <c r="J637" s="331"/>
    </row>
    <row r="638" spans="10:10" ht="12.75">
      <c r="J638" s="331"/>
    </row>
    <row r="639" spans="10:10" ht="12.75">
      <c r="J639" s="331"/>
    </row>
    <row r="640" spans="10:10" ht="12.75">
      <c r="J640" s="331"/>
    </row>
    <row r="641" spans="10:10" ht="12.75">
      <c r="J641" s="331"/>
    </row>
    <row r="642" spans="10:10" ht="12.75">
      <c r="J642" s="331"/>
    </row>
    <row r="643" spans="10:10" ht="12.75">
      <c r="J643" s="331"/>
    </row>
    <row r="644" spans="10:10" ht="12.75">
      <c r="J644" s="331"/>
    </row>
    <row r="645" spans="10:10" ht="12.75">
      <c r="J645" s="331"/>
    </row>
    <row r="646" spans="10:10" ht="12.75">
      <c r="J646" s="331"/>
    </row>
    <row r="647" spans="10:10" ht="12.75">
      <c r="J647" s="331"/>
    </row>
    <row r="648" spans="10:10" ht="12.75">
      <c r="J648" s="331"/>
    </row>
    <row r="649" spans="10:10" ht="12.75">
      <c r="J649" s="331"/>
    </row>
    <row r="650" spans="10:10" ht="12.75">
      <c r="J650" s="331"/>
    </row>
    <row r="651" spans="10:10" ht="12.75">
      <c r="J651" s="331"/>
    </row>
    <row r="652" spans="10:10" ht="12.75">
      <c r="J652" s="331"/>
    </row>
    <row r="653" spans="10:10" ht="12.75">
      <c r="J653" s="331"/>
    </row>
    <row r="654" spans="10:10" ht="12.75">
      <c r="J654" s="331"/>
    </row>
    <row r="655" spans="10:10" ht="12.75">
      <c r="J655" s="331"/>
    </row>
    <row r="656" spans="10:10" ht="12.75">
      <c r="J656" s="331"/>
    </row>
    <row r="657" spans="10:10" ht="12.75">
      <c r="J657" s="331"/>
    </row>
    <row r="658" spans="10:10" ht="12.75">
      <c r="J658" s="331"/>
    </row>
    <row r="659" spans="10:10" ht="12.75">
      <c r="J659" s="331"/>
    </row>
    <row r="660" spans="10:10" ht="12.75">
      <c r="J660" s="331"/>
    </row>
    <row r="661" spans="10:10" ht="12.75">
      <c r="J661" s="331"/>
    </row>
    <row r="662" spans="10:10" ht="12.75">
      <c r="J662" s="331"/>
    </row>
    <row r="663" spans="10:10" ht="12.75">
      <c r="J663" s="331"/>
    </row>
    <row r="664" spans="10:10" ht="12.75">
      <c r="J664" s="331"/>
    </row>
    <row r="665" spans="10:10" ht="12.75">
      <c r="J665" s="331"/>
    </row>
    <row r="666" spans="10:10" ht="12.75">
      <c r="J666" s="331"/>
    </row>
    <row r="667" spans="10:10" ht="12.75">
      <c r="J667" s="331"/>
    </row>
    <row r="668" spans="10:10" ht="12.75">
      <c r="J668" s="331"/>
    </row>
    <row r="669" spans="10:10" ht="12.75">
      <c r="J669" s="331"/>
    </row>
    <row r="670" spans="10:10" ht="12.75">
      <c r="J670" s="331"/>
    </row>
    <row r="671" spans="10:10" ht="12.75">
      <c r="J671" s="331"/>
    </row>
    <row r="672" spans="10:10" ht="12.75">
      <c r="J672" s="331"/>
    </row>
    <row r="673" spans="10:10" ht="12.75">
      <c r="J673" s="331"/>
    </row>
    <row r="674" spans="10:10" ht="12.75">
      <c r="J674" s="331"/>
    </row>
    <row r="675" spans="10:10" ht="12.75">
      <c r="J675" s="331"/>
    </row>
    <row r="676" spans="10:10" ht="12.75">
      <c r="J676" s="331"/>
    </row>
    <row r="677" spans="10:10" ht="12.75">
      <c r="J677" s="331"/>
    </row>
    <row r="678" spans="10:10" ht="12.75">
      <c r="J678" s="331"/>
    </row>
    <row r="679" spans="10:10" ht="12.75">
      <c r="J679" s="331"/>
    </row>
    <row r="680" spans="10:10" ht="12.75">
      <c r="J680" s="331"/>
    </row>
    <row r="681" spans="10:10" ht="12.75">
      <c r="J681" s="331"/>
    </row>
    <row r="682" spans="10:10" ht="12.75">
      <c r="J682" s="331"/>
    </row>
    <row r="683" spans="10:10" ht="12.75">
      <c r="J683" s="331"/>
    </row>
    <row r="684" spans="10:10" ht="12.75">
      <c r="J684" s="331"/>
    </row>
    <row r="685" spans="10:10" ht="12.75">
      <c r="J685" s="331"/>
    </row>
    <row r="686" spans="10:10" ht="12.75">
      <c r="J686" s="331"/>
    </row>
    <row r="687" spans="10:10" ht="12.75">
      <c r="J687" s="331"/>
    </row>
    <row r="688" spans="10:10" ht="12.75">
      <c r="J688" s="331"/>
    </row>
    <row r="689" spans="10:10" ht="12.75">
      <c r="J689" s="331"/>
    </row>
    <row r="690" spans="10:10" ht="12.75">
      <c r="J690" s="331"/>
    </row>
    <row r="691" spans="10:10" ht="12.75">
      <c r="J691" s="331"/>
    </row>
    <row r="692" spans="10:10" ht="12.75">
      <c r="J692" s="331"/>
    </row>
    <row r="693" spans="10:10" ht="12.75">
      <c r="J693" s="331"/>
    </row>
    <row r="694" spans="10:10" ht="12.75">
      <c r="J694" s="331"/>
    </row>
    <row r="695" spans="10:10" ht="12.75">
      <c r="J695" s="331"/>
    </row>
    <row r="696" spans="10:10" ht="12.75">
      <c r="J696" s="331"/>
    </row>
    <row r="697" spans="10:10" ht="12.75">
      <c r="J697" s="331"/>
    </row>
    <row r="698" spans="10:10" ht="12.75">
      <c r="J698" s="331"/>
    </row>
    <row r="699" spans="10:10" ht="12.75">
      <c r="J699" s="331"/>
    </row>
    <row r="700" spans="10:10" ht="12.75">
      <c r="J700" s="331"/>
    </row>
    <row r="701" spans="10:10" ht="12.75">
      <c r="J701" s="331"/>
    </row>
    <row r="702" spans="10:10" ht="12.75">
      <c r="J702" s="331"/>
    </row>
    <row r="703" spans="10:10" ht="12.75">
      <c r="J703" s="331"/>
    </row>
    <row r="704" spans="10:10" ht="12.75">
      <c r="J704" s="331"/>
    </row>
    <row r="705" spans="10:10" ht="12.75">
      <c r="J705" s="331"/>
    </row>
    <row r="706" spans="10:10" ht="12.75">
      <c r="J706" s="331"/>
    </row>
    <row r="707" spans="10:10" ht="12.75">
      <c r="J707" s="331"/>
    </row>
    <row r="708" spans="10:10" ht="12.75">
      <c r="J708" s="331"/>
    </row>
    <row r="709" spans="10:10" ht="12.75">
      <c r="J709" s="331"/>
    </row>
    <row r="710" spans="10:10" ht="12.75">
      <c r="J710" s="331"/>
    </row>
    <row r="711" spans="10:10" ht="12.75">
      <c r="J711" s="331"/>
    </row>
    <row r="712" spans="10:10" ht="12.75">
      <c r="J712" s="331"/>
    </row>
    <row r="713" spans="10:10" ht="12.75">
      <c r="J713" s="331"/>
    </row>
    <row r="714" spans="10:10" ht="12.75">
      <c r="J714" s="331"/>
    </row>
    <row r="715" spans="10:10" ht="12.75">
      <c r="J715" s="331"/>
    </row>
    <row r="716" spans="10:10" ht="12.75">
      <c r="J716" s="331"/>
    </row>
    <row r="717" spans="10:10" ht="12.75">
      <c r="J717" s="331"/>
    </row>
    <row r="718" spans="10:10" ht="12.75">
      <c r="J718" s="331"/>
    </row>
    <row r="719" spans="10:10" ht="12.75">
      <c r="J719" s="331"/>
    </row>
    <row r="720" spans="10:10" ht="12.75">
      <c r="J720" s="331"/>
    </row>
    <row r="721" spans="10:10" ht="12.75">
      <c r="J721" s="331"/>
    </row>
    <row r="722" spans="10:10" ht="12.75">
      <c r="J722" s="331"/>
    </row>
    <row r="723" spans="10:10" ht="12.75">
      <c r="J723" s="331"/>
    </row>
    <row r="724" spans="10:10" ht="12.75">
      <c r="J724" s="331"/>
    </row>
    <row r="725" spans="10:10" ht="12.75">
      <c r="J725" s="331"/>
    </row>
    <row r="726" spans="10:10" ht="12.75">
      <c r="J726" s="331"/>
    </row>
    <row r="727" spans="10:10" ht="12.75">
      <c r="J727" s="331"/>
    </row>
    <row r="728" spans="10:10" ht="12.75">
      <c r="J728" s="331"/>
    </row>
    <row r="729" spans="10:10" ht="12.75">
      <c r="J729" s="331"/>
    </row>
    <row r="730" spans="10:10" ht="12.75">
      <c r="J730" s="331"/>
    </row>
    <row r="731" spans="10:10" ht="12.75">
      <c r="J731" s="331"/>
    </row>
    <row r="732" spans="10:10" ht="12.75">
      <c r="J732" s="331"/>
    </row>
    <row r="733" spans="10:10" ht="12.75">
      <c r="J733" s="331"/>
    </row>
    <row r="734" spans="10:10" ht="12.75">
      <c r="J734" s="331"/>
    </row>
    <row r="735" spans="10:10" ht="12.75">
      <c r="J735" s="331"/>
    </row>
    <row r="736" spans="10:10" ht="12.75">
      <c r="J736" s="331"/>
    </row>
    <row r="737" spans="10:10" ht="12.75">
      <c r="J737" s="331"/>
    </row>
    <row r="738" spans="10:10" ht="12.75">
      <c r="J738" s="331"/>
    </row>
    <row r="739" spans="10:10" ht="12.75">
      <c r="J739" s="331"/>
    </row>
    <row r="740" spans="10:10" ht="12.75">
      <c r="J740" s="331"/>
    </row>
    <row r="741" spans="10:10" ht="12.75">
      <c r="J741" s="331"/>
    </row>
    <row r="742" spans="10:10" ht="12.75">
      <c r="J742" s="331"/>
    </row>
    <row r="743" spans="10:10" ht="12.75">
      <c r="J743" s="331"/>
    </row>
    <row r="744" spans="10:10" ht="12.75">
      <c r="J744" s="331"/>
    </row>
    <row r="745" spans="10:10" ht="12.75">
      <c r="J745" s="331"/>
    </row>
    <row r="746" spans="10:10" ht="12.75">
      <c r="J746" s="331"/>
    </row>
    <row r="747" spans="10:10" ht="12.75">
      <c r="J747" s="331"/>
    </row>
    <row r="748" spans="10:10" ht="12.75">
      <c r="J748" s="331"/>
    </row>
    <row r="749" spans="10:10" ht="12.75">
      <c r="J749" s="331"/>
    </row>
    <row r="750" spans="10:10" ht="12.75">
      <c r="J750" s="331"/>
    </row>
    <row r="751" spans="10:10" ht="12.75">
      <c r="J751" s="331"/>
    </row>
    <row r="752" spans="10:10" ht="12.75">
      <c r="J752" s="331"/>
    </row>
    <row r="753" spans="10:10" ht="12.75">
      <c r="J753" s="331"/>
    </row>
    <row r="754" spans="10:10" ht="12.75">
      <c r="J754" s="331"/>
    </row>
    <row r="755" spans="10:10" ht="12.75">
      <c r="J755" s="331"/>
    </row>
    <row r="756" spans="10:10" ht="12.75">
      <c r="J756" s="331"/>
    </row>
    <row r="757" spans="10:10" ht="12.75">
      <c r="J757" s="331"/>
    </row>
    <row r="758" spans="10:10" ht="12.75">
      <c r="J758" s="331"/>
    </row>
    <row r="759" spans="10:10" ht="12.75">
      <c r="J759" s="331"/>
    </row>
    <row r="760" spans="10:10" ht="12.75">
      <c r="J760" s="331"/>
    </row>
    <row r="761" spans="10:10" ht="12.75">
      <c r="J761" s="331"/>
    </row>
    <row r="762" spans="10:10" ht="12.75">
      <c r="J762" s="331"/>
    </row>
    <row r="763" spans="10:10" ht="12.75">
      <c r="J763" s="331"/>
    </row>
    <row r="764" spans="10:10" ht="12.75">
      <c r="J764" s="331"/>
    </row>
    <row r="765" spans="10:10" ht="12.75">
      <c r="J765" s="331"/>
    </row>
    <row r="766" spans="10:10" ht="12.75">
      <c r="J766" s="331"/>
    </row>
    <row r="767" spans="10:10" ht="12.75">
      <c r="J767" s="331"/>
    </row>
    <row r="768" spans="10:10" ht="12.75">
      <c r="J768" s="331"/>
    </row>
    <row r="769" spans="10:10" ht="12.75">
      <c r="J769" s="331"/>
    </row>
    <row r="770" spans="10:10" ht="12.75">
      <c r="J770" s="331"/>
    </row>
    <row r="771" spans="10:10" ht="12.75">
      <c r="J771" s="331"/>
    </row>
    <row r="772" spans="10:10" ht="12.75">
      <c r="J772" s="331"/>
    </row>
    <row r="773" spans="10:10" ht="12.75">
      <c r="J773" s="331"/>
    </row>
    <row r="774" spans="10:10" ht="12.75">
      <c r="J774" s="331"/>
    </row>
    <row r="775" spans="10:10" ht="12.75">
      <c r="J775" s="331"/>
    </row>
    <row r="776" spans="10:10" ht="12.75">
      <c r="J776" s="331"/>
    </row>
    <row r="777" spans="10:10" ht="12.75">
      <c r="J777" s="331"/>
    </row>
    <row r="778" spans="10:10" ht="12.75">
      <c r="J778" s="331"/>
    </row>
    <row r="779" spans="10:10" ht="12.75">
      <c r="J779" s="331"/>
    </row>
    <row r="780" spans="10:10" ht="12.75">
      <c r="J780" s="331"/>
    </row>
    <row r="781" spans="10:10" ht="12.75">
      <c r="J781" s="331"/>
    </row>
    <row r="782" spans="10:10" ht="12.75">
      <c r="J782" s="331"/>
    </row>
    <row r="783" spans="10:10" ht="12.75">
      <c r="J783" s="331"/>
    </row>
    <row r="784" spans="10:10" ht="12.75">
      <c r="J784" s="331"/>
    </row>
    <row r="785" spans="10:10" ht="12.75">
      <c r="J785" s="331"/>
    </row>
    <row r="786" spans="10:10" ht="12.75">
      <c r="J786" s="331"/>
    </row>
    <row r="787" spans="10:10" ht="12.75">
      <c r="J787" s="331"/>
    </row>
    <row r="788" spans="10:10" ht="12.75">
      <c r="J788" s="331"/>
    </row>
    <row r="789" spans="10:10" ht="12.75">
      <c r="J789" s="331"/>
    </row>
    <row r="790" spans="10:10" ht="12.75">
      <c r="J790" s="331"/>
    </row>
    <row r="791" spans="10:10" ht="12.75">
      <c r="J791" s="331"/>
    </row>
    <row r="792" spans="10:10" ht="12.75">
      <c r="J792" s="331"/>
    </row>
    <row r="793" spans="10:10" ht="12.75">
      <c r="J793" s="331"/>
    </row>
    <row r="794" spans="10:10" ht="12.75">
      <c r="J794" s="331"/>
    </row>
    <row r="795" spans="10:10" ht="12.75">
      <c r="J795" s="331"/>
    </row>
    <row r="796" spans="10:10" ht="12.75">
      <c r="J796" s="331"/>
    </row>
    <row r="797" spans="10:10" ht="12.75">
      <c r="J797" s="331"/>
    </row>
    <row r="798" spans="10:10" ht="12.75">
      <c r="J798" s="331"/>
    </row>
    <row r="799" spans="10:10" ht="12.75">
      <c r="J799" s="331"/>
    </row>
    <row r="800" spans="10:10" ht="12.75">
      <c r="J800" s="331"/>
    </row>
    <row r="801" spans="10:10" ht="12.75">
      <c r="J801" s="331"/>
    </row>
    <row r="802" spans="10:10" ht="12.75">
      <c r="J802" s="331"/>
    </row>
    <row r="803" spans="10:10" ht="12.75">
      <c r="J803" s="331"/>
    </row>
    <row r="804" spans="10:10" ht="12.75">
      <c r="J804" s="331"/>
    </row>
    <row r="805" spans="10:10" ht="12.75">
      <c r="J805" s="331"/>
    </row>
    <row r="806" spans="10:10" ht="12.75">
      <c r="J806" s="331"/>
    </row>
    <row r="807" spans="10:10" ht="12.75">
      <c r="J807" s="331"/>
    </row>
    <row r="808" spans="10:10" ht="12.75">
      <c r="J808" s="331"/>
    </row>
    <row r="809" spans="10:10" ht="12.75">
      <c r="J809" s="331"/>
    </row>
    <row r="810" spans="10:10" ht="12.75">
      <c r="J810" s="331"/>
    </row>
    <row r="811" spans="10:10" ht="12.75">
      <c r="J811" s="331"/>
    </row>
    <row r="812" spans="10:10" ht="12.75">
      <c r="J812" s="331"/>
    </row>
    <row r="813" spans="10:10" ht="12.75">
      <c r="J813" s="331"/>
    </row>
    <row r="814" spans="10:10" ht="12.75">
      <c r="J814" s="331"/>
    </row>
    <row r="815" spans="10:10" ht="12.75">
      <c r="J815" s="331"/>
    </row>
    <row r="816" spans="10:10" ht="12.75">
      <c r="J816" s="331"/>
    </row>
    <row r="817" spans="10:10" ht="12.75">
      <c r="J817" s="331"/>
    </row>
    <row r="818" spans="10:10" ht="12.75">
      <c r="J818" s="331"/>
    </row>
    <row r="819" spans="10:10" ht="12.75">
      <c r="J819" s="331"/>
    </row>
    <row r="820" spans="10:10" ht="12.75">
      <c r="J820" s="331"/>
    </row>
    <row r="821" spans="10:10" ht="12.75">
      <c r="J821" s="331"/>
    </row>
    <row r="822" spans="10:10" ht="12.75">
      <c r="J822" s="331"/>
    </row>
    <row r="823" spans="10:10" ht="12.75">
      <c r="J823" s="331"/>
    </row>
    <row r="824" spans="10:10" ht="12.75">
      <c r="J824" s="331"/>
    </row>
    <row r="825" spans="10:10" ht="12.75">
      <c r="J825" s="331"/>
    </row>
    <row r="826" spans="10:10" ht="12.75">
      <c r="J826" s="331"/>
    </row>
    <row r="827" spans="10:10" ht="12.75">
      <c r="J827" s="331"/>
    </row>
    <row r="828" spans="10:10" ht="12.75">
      <c r="J828" s="331"/>
    </row>
    <row r="829" spans="10:10" ht="12.75">
      <c r="J829" s="331"/>
    </row>
    <row r="830" spans="10:10" ht="12.75">
      <c r="J830" s="331"/>
    </row>
    <row r="831" spans="10:10" ht="12.75">
      <c r="J831" s="331"/>
    </row>
    <row r="832" spans="10:10" ht="12.75">
      <c r="J832" s="331"/>
    </row>
    <row r="833" spans="10:10" ht="12.75">
      <c r="J833" s="331"/>
    </row>
    <row r="834" spans="10:10" ht="12.75">
      <c r="J834" s="331"/>
    </row>
    <row r="835" spans="10:10" ht="12.75">
      <c r="J835" s="331"/>
    </row>
    <row r="836" spans="10:10" ht="12.75">
      <c r="J836" s="331"/>
    </row>
    <row r="837" spans="10:10" ht="12.75">
      <c r="J837" s="331"/>
    </row>
    <row r="838" spans="10:10" ht="12.75">
      <c r="J838" s="331"/>
    </row>
    <row r="839" spans="10:10" ht="12.75">
      <c r="J839" s="331"/>
    </row>
    <row r="840" spans="10:10" ht="12.75">
      <c r="J840" s="331"/>
    </row>
    <row r="841" spans="10:10" ht="12.75">
      <c r="J841" s="331"/>
    </row>
    <row r="842" spans="10:10" ht="12.75">
      <c r="J842" s="331"/>
    </row>
    <row r="843" spans="10:10" ht="12.75">
      <c r="J843" s="331"/>
    </row>
    <row r="844" spans="10:10" ht="12.75">
      <c r="J844" s="331"/>
    </row>
    <row r="845" spans="10:10" ht="12.75">
      <c r="J845" s="331"/>
    </row>
    <row r="846" spans="10:10" ht="12.75">
      <c r="J846" s="331"/>
    </row>
    <row r="847" spans="10:10" ht="12.75">
      <c r="J847" s="331"/>
    </row>
    <row r="848" spans="10:10" ht="12.75">
      <c r="J848" s="331"/>
    </row>
    <row r="849" spans="10:10" ht="12.75">
      <c r="J849" s="331"/>
    </row>
    <row r="850" spans="10:10" ht="12.75">
      <c r="J850" s="331"/>
    </row>
    <row r="851" spans="10:10" ht="12.75">
      <c r="J851" s="331"/>
    </row>
    <row r="852" spans="10:10" ht="12.75">
      <c r="J852" s="331"/>
    </row>
    <row r="853" spans="10:10" ht="12.75">
      <c r="J853" s="331"/>
    </row>
    <row r="854" spans="10:10" ht="12.75">
      <c r="J854" s="331"/>
    </row>
    <row r="855" spans="10:10" ht="12.75">
      <c r="J855" s="331"/>
    </row>
    <row r="856" spans="10:10" ht="12.75">
      <c r="J856" s="331"/>
    </row>
    <row r="857" spans="10:10" ht="12.75">
      <c r="J857" s="331"/>
    </row>
    <row r="858" spans="10:10" ht="12.75">
      <c r="J858" s="331"/>
    </row>
    <row r="859" spans="10:10" ht="12.75">
      <c r="J859" s="331"/>
    </row>
    <row r="860" spans="10:10" ht="12.75">
      <c r="J860" s="331"/>
    </row>
    <row r="861" spans="10:10" ht="12.75">
      <c r="J861" s="331"/>
    </row>
    <row r="862" spans="10:10" ht="12.75">
      <c r="J862" s="331"/>
    </row>
    <row r="863" spans="10:10" ht="12.75">
      <c r="J863" s="331"/>
    </row>
    <row r="864" spans="10:10" ht="12.75">
      <c r="J864" s="331"/>
    </row>
    <row r="865" spans="10:10" ht="12.75">
      <c r="J865" s="331"/>
    </row>
    <row r="866" spans="10:10" ht="12.75">
      <c r="J866" s="331"/>
    </row>
    <row r="867" spans="10:10" ht="12.75">
      <c r="J867" s="331"/>
    </row>
    <row r="868" spans="10:10" ht="12.75">
      <c r="J868" s="331"/>
    </row>
    <row r="869" spans="10:10" ht="12.75">
      <c r="J869" s="331"/>
    </row>
    <row r="870" spans="10:10" ht="12.75">
      <c r="J870" s="331"/>
    </row>
    <row r="871" spans="10:10" ht="12.75">
      <c r="J871" s="331"/>
    </row>
    <row r="872" spans="10:10" ht="12.75">
      <c r="J872" s="331"/>
    </row>
    <row r="873" spans="10:10" ht="12.75">
      <c r="J873" s="331"/>
    </row>
    <row r="874" spans="10:10" ht="12.75">
      <c r="J874" s="331"/>
    </row>
    <row r="875" spans="10:10" ht="12.75">
      <c r="J875" s="331"/>
    </row>
    <row r="876" spans="10:10" ht="12.75">
      <c r="J876" s="331"/>
    </row>
    <row r="877" spans="10:10" ht="12.75">
      <c r="J877" s="331"/>
    </row>
    <row r="878" spans="10:10" ht="12.75">
      <c r="J878" s="331"/>
    </row>
    <row r="879" spans="10:10" ht="12.75">
      <c r="J879" s="331"/>
    </row>
    <row r="880" spans="10:10" ht="12.75">
      <c r="J880" s="331"/>
    </row>
    <row r="881" spans="10:10" ht="12.75">
      <c r="J881" s="331"/>
    </row>
    <row r="882" spans="10:10" ht="12.75">
      <c r="J882" s="331"/>
    </row>
    <row r="883" spans="10:10" ht="12.75">
      <c r="J883" s="331"/>
    </row>
    <row r="884" spans="10:10" ht="12.75">
      <c r="J884" s="331"/>
    </row>
    <row r="885" spans="10:10" ht="12.75">
      <c r="J885" s="331"/>
    </row>
    <row r="886" spans="10:10" ht="12.75">
      <c r="J886" s="331"/>
    </row>
    <row r="887" spans="10:10" ht="12.75">
      <c r="J887" s="331"/>
    </row>
    <row r="888" spans="10:10" ht="12.75">
      <c r="J888" s="331"/>
    </row>
    <row r="889" spans="10:10" ht="12.75">
      <c r="J889" s="331"/>
    </row>
    <row r="890" spans="10:10" ht="12.75">
      <c r="J890" s="331"/>
    </row>
    <row r="891" spans="10:10" ht="12.75">
      <c r="J891" s="331"/>
    </row>
    <row r="892" spans="10:10" ht="12.75">
      <c r="J892" s="331"/>
    </row>
    <row r="893" spans="10:10" ht="12.75">
      <c r="J893" s="331"/>
    </row>
    <row r="894" spans="10:10" ht="12.75">
      <c r="J894" s="331"/>
    </row>
    <row r="895" spans="10:10" ht="12.75">
      <c r="J895" s="331"/>
    </row>
    <row r="896" spans="10:10" ht="12.75">
      <c r="J896" s="331"/>
    </row>
    <row r="897" spans="10:10" ht="12.75">
      <c r="J897" s="331"/>
    </row>
    <row r="898" spans="10:10" ht="12.75">
      <c r="J898" s="331"/>
    </row>
    <row r="899" spans="10:10" ht="12.75">
      <c r="J899" s="331"/>
    </row>
    <row r="900" spans="10:10" ht="12.75">
      <c r="J900" s="331"/>
    </row>
    <row r="901" spans="10:10" ht="12.75">
      <c r="J901" s="331"/>
    </row>
    <row r="902" spans="10:10" ht="12.75">
      <c r="J902" s="331"/>
    </row>
    <row r="903" spans="10:10" ht="12.75">
      <c r="J903" s="331"/>
    </row>
    <row r="904" spans="10:10" ht="12.75">
      <c r="J904" s="331"/>
    </row>
    <row r="905" spans="10:10" ht="12.75">
      <c r="J905" s="331"/>
    </row>
    <row r="906" spans="10:10" ht="12.75">
      <c r="J906" s="331"/>
    </row>
    <row r="907" spans="10:10" ht="12.75">
      <c r="J907" s="331"/>
    </row>
    <row r="908" spans="10:10" ht="12.75">
      <c r="J908" s="331"/>
    </row>
    <row r="909" spans="10:10" ht="12.75">
      <c r="J909" s="331"/>
    </row>
    <row r="910" spans="10:10" ht="12.75">
      <c r="J910" s="331"/>
    </row>
    <row r="911" spans="10:10" ht="12.75">
      <c r="J911" s="331"/>
    </row>
    <row r="912" spans="10:10" ht="12.75">
      <c r="J912" s="331"/>
    </row>
    <row r="913" spans="10:10" ht="12.75">
      <c r="J913" s="331"/>
    </row>
    <row r="914" spans="10:10" ht="12.75">
      <c r="J914" s="331"/>
    </row>
    <row r="915" spans="10:10" ht="12.75">
      <c r="J915" s="331"/>
    </row>
    <row r="916" spans="10:10" ht="12.75">
      <c r="J916" s="331"/>
    </row>
    <row r="917" spans="10:10" ht="12.75">
      <c r="J917" s="331"/>
    </row>
    <row r="918" spans="10:10" ht="12.75">
      <c r="J918" s="331"/>
    </row>
    <row r="919" spans="10:10" ht="12.75">
      <c r="J919" s="331"/>
    </row>
    <row r="920" spans="10:10" ht="12.75">
      <c r="J920" s="331"/>
    </row>
    <row r="921" spans="10:10" ht="12.75">
      <c r="J921" s="331"/>
    </row>
    <row r="922" spans="10:10" ht="12.75">
      <c r="J922" s="331"/>
    </row>
    <row r="923" spans="10:10" ht="12.75">
      <c r="J923" s="331"/>
    </row>
    <row r="924" spans="10:10" ht="12.75">
      <c r="J924" s="331"/>
    </row>
    <row r="925" spans="10:10" ht="12.75">
      <c r="J925" s="331"/>
    </row>
    <row r="926" spans="10:10" ht="12.75">
      <c r="J926" s="331"/>
    </row>
    <row r="927" spans="10:10" ht="12.75">
      <c r="J927" s="331"/>
    </row>
    <row r="928" spans="10:10" ht="12.75">
      <c r="J928" s="331"/>
    </row>
    <row r="929" spans="10:10" ht="12.75">
      <c r="J929" s="331"/>
    </row>
    <row r="930" spans="10:10" ht="12.75">
      <c r="J930" s="331"/>
    </row>
    <row r="931" spans="10:10" ht="12.75">
      <c r="J931" s="331"/>
    </row>
    <row r="932" spans="10:10" ht="12.75">
      <c r="J932" s="331"/>
    </row>
    <row r="933" spans="10:10" ht="12.75">
      <c r="J933" s="331"/>
    </row>
    <row r="934" spans="10:10" ht="12.75">
      <c r="J934" s="331"/>
    </row>
    <row r="935" spans="10:10" ht="12.75">
      <c r="J935" s="331"/>
    </row>
    <row r="936" spans="10:10" ht="12.75">
      <c r="J936" s="331"/>
    </row>
    <row r="937" spans="10:10" ht="12.75">
      <c r="J937" s="331"/>
    </row>
    <row r="938" spans="10:10" ht="12.75">
      <c r="J938" s="331"/>
    </row>
    <row r="939" spans="10:10" ht="12.75">
      <c r="J939" s="331"/>
    </row>
    <row r="940" spans="10:10" ht="12.75">
      <c r="J940" s="331"/>
    </row>
    <row r="941" spans="10:10" ht="12.75">
      <c r="J941" s="331"/>
    </row>
    <row r="942" spans="10:10" ht="12.75">
      <c r="J942" s="331"/>
    </row>
    <row r="943" spans="10:10" ht="12.75">
      <c r="J943" s="331"/>
    </row>
    <row r="944" spans="10:10" ht="12.75">
      <c r="J944" s="331"/>
    </row>
    <row r="945" spans="10:10" ht="12.75">
      <c r="J945" s="331"/>
    </row>
    <row r="946" spans="10:10" ht="12.75">
      <c r="J946" s="331"/>
    </row>
    <row r="947" spans="10:10" ht="12.75">
      <c r="J947" s="331"/>
    </row>
    <row r="948" spans="10:10" ht="12.75">
      <c r="J948" s="331"/>
    </row>
    <row r="949" spans="10:10" ht="12.75">
      <c r="J949" s="331"/>
    </row>
    <row r="950" spans="10:10" ht="12.75">
      <c r="J950" s="331"/>
    </row>
    <row r="951" spans="10:10" ht="12.75">
      <c r="J951" s="331"/>
    </row>
    <row r="952" spans="10:10" ht="12.75">
      <c r="J952" s="331"/>
    </row>
    <row r="953" spans="10:10" ht="12.75">
      <c r="J953" s="331"/>
    </row>
    <row r="954" spans="10:10" ht="12.75">
      <c r="J954" s="331"/>
    </row>
    <row r="955" spans="10:10" ht="12.75">
      <c r="J955" s="331"/>
    </row>
    <row r="956" spans="10:10" ht="12.75">
      <c r="J956" s="331"/>
    </row>
    <row r="957" spans="10:10" ht="12.75">
      <c r="J957" s="331"/>
    </row>
    <row r="958" spans="10:10" ht="12.75">
      <c r="J958" s="331"/>
    </row>
    <row r="959" spans="10:10" ht="12.75">
      <c r="J959" s="331"/>
    </row>
    <row r="960" spans="10:10" ht="12.75">
      <c r="J960" s="331"/>
    </row>
    <row r="961" spans="10:10" ht="12.75">
      <c r="J961" s="331"/>
    </row>
    <row r="962" spans="10:10" ht="12.75">
      <c r="J962" s="331"/>
    </row>
    <row r="963" spans="10:10" ht="12.75">
      <c r="J963" s="331"/>
    </row>
    <row r="964" spans="10:10" ht="12.75">
      <c r="J964" s="331"/>
    </row>
    <row r="965" spans="10:10" ht="12.75">
      <c r="J965" s="331"/>
    </row>
    <row r="966" spans="10:10" ht="12.75">
      <c r="J966" s="331"/>
    </row>
    <row r="967" spans="10:10" ht="12.75">
      <c r="J967" s="331"/>
    </row>
    <row r="968" spans="10:10" ht="12.75">
      <c r="J968" s="331"/>
    </row>
    <row r="969" spans="10:10" ht="12.75">
      <c r="J969" s="331"/>
    </row>
    <row r="970" spans="10:10" ht="12.75">
      <c r="J970" s="331"/>
    </row>
    <row r="971" spans="10:10" ht="12.75">
      <c r="J971" s="331"/>
    </row>
    <row r="972" spans="10:10" ht="12.75">
      <c r="J972" s="331"/>
    </row>
    <row r="973" spans="10:10" ht="12.75">
      <c r="J973" s="331"/>
    </row>
    <row r="974" spans="10:10" ht="12.75">
      <c r="J974" s="331"/>
    </row>
    <row r="975" spans="10:10" ht="12.75">
      <c r="J975" s="331"/>
    </row>
    <row r="976" spans="10:10" ht="12.75">
      <c r="J976" s="331"/>
    </row>
    <row r="977" spans="10:10" ht="12.75">
      <c r="J977" s="331"/>
    </row>
    <row r="978" spans="10:10" ht="12.75">
      <c r="J978" s="331"/>
    </row>
    <row r="979" spans="10:10" ht="12.75">
      <c r="J979" s="331"/>
    </row>
    <row r="980" spans="10:10" ht="12.75">
      <c r="J980" s="331"/>
    </row>
    <row r="981" spans="10:10" ht="12.75">
      <c r="J981" s="331"/>
    </row>
    <row r="982" spans="10:10" ht="12.75">
      <c r="J982" s="331"/>
    </row>
    <row r="983" spans="10:10" ht="12.75">
      <c r="J983" s="331"/>
    </row>
    <row r="984" spans="10:10" ht="12.75">
      <c r="J984" s="331"/>
    </row>
    <row r="985" spans="10:10" ht="12.75">
      <c r="J985" s="331"/>
    </row>
    <row r="986" spans="10:10" ht="12.75">
      <c r="J986" s="331"/>
    </row>
    <row r="987" spans="10:10" ht="12.75">
      <c r="J987" s="331"/>
    </row>
    <row r="988" spans="10:10" ht="12.75">
      <c r="J988" s="331"/>
    </row>
    <row r="989" spans="10:10" ht="12.75">
      <c r="J989" s="331"/>
    </row>
    <row r="990" spans="10:10" ht="12.75">
      <c r="J990" s="331"/>
    </row>
    <row r="991" spans="10:10" ht="12.75">
      <c r="J991" s="331"/>
    </row>
    <row r="992" spans="10:10" ht="12.75">
      <c r="J992" s="331"/>
    </row>
    <row r="993" spans="10:10" ht="12.75">
      <c r="J993" s="331"/>
    </row>
    <row r="994" spans="10:10" ht="12.75">
      <c r="J994" s="331"/>
    </row>
    <row r="995" spans="10:10" ht="12.75">
      <c r="J995" s="331"/>
    </row>
    <row r="996" spans="10:10" ht="12.75">
      <c r="J996" s="331"/>
    </row>
    <row r="997" spans="10:10" ht="12.75">
      <c r="J997" s="331"/>
    </row>
    <row r="998" spans="10:10" ht="12.75">
      <c r="J998" s="331"/>
    </row>
    <row r="999" spans="10:10" ht="12.75">
      <c r="J999" s="331"/>
    </row>
    <row r="1000" spans="10:10" ht="12.75">
      <c r="J1000" s="331"/>
    </row>
    <row r="1001" spans="10:10" ht="12.75">
      <c r="J1001" s="331"/>
    </row>
    <row r="1002" spans="10:10" ht="12.75">
      <c r="J1002" s="331"/>
    </row>
    <row r="1003" spans="10:10" ht="12.75">
      <c r="J1003" s="331"/>
    </row>
    <row r="1004" spans="10:10" ht="12.75">
      <c r="J1004" s="331"/>
    </row>
    <row r="1005" spans="10:10" ht="12.75">
      <c r="J1005" s="331"/>
    </row>
    <row r="1006" spans="10:10" ht="12.75">
      <c r="J1006" s="331"/>
    </row>
    <row r="1007" spans="10:10" ht="12.75">
      <c r="J1007" s="331"/>
    </row>
    <row r="1008" spans="10:10" ht="12.75">
      <c r="J1008" s="331"/>
    </row>
    <row r="1009" spans="10:10" ht="12.75">
      <c r="J1009" s="331"/>
    </row>
    <row r="1010" spans="10:10" ht="12.75">
      <c r="J1010" s="331"/>
    </row>
    <row r="1011" spans="10:10" ht="12.75">
      <c r="J1011" s="331"/>
    </row>
    <row r="1012" spans="10:10" ht="12.75">
      <c r="J1012" s="331"/>
    </row>
    <row r="1013" spans="10:10" ht="12.75">
      <c r="J1013" s="331"/>
    </row>
    <row r="1014" spans="10:10" ht="12.75">
      <c r="J1014" s="331"/>
    </row>
    <row r="1015" spans="10:10" ht="12.75">
      <c r="J1015" s="331"/>
    </row>
    <row r="1016" spans="10:10" ht="12.75">
      <c r="J1016" s="331"/>
    </row>
    <row r="1017" spans="10:10" ht="12.75">
      <c r="J1017" s="331"/>
    </row>
    <row r="1018" spans="10:10" ht="12.75">
      <c r="J1018" s="331"/>
    </row>
    <row r="1019" spans="10:10" ht="12.75">
      <c r="J1019" s="331"/>
    </row>
    <row r="1020" spans="10:10" ht="12.75">
      <c r="J1020" s="331"/>
    </row>
    <row r="1021" spans="10:10" ht="12.75">
      <c r="J1021" s="331"/>
    </row>
    <row r="1022" spans="10:10" ht="12.75">
      <c r="J1022" s="331"/>
    </row>
    <row r="1023" spans="10:10" ht="12.75">
      <c r="J1023" s="331"/>
    </row>
    <row r="1024" spans="10:10" ht="12.75">
      <c r="J1024" s="331"/>
    </row>
    <row r="1025" spans="10:10" ht="12.75">
      <c r="J1025" s="331"/>
    </row>
    <row r="1026" spans="10:10" ht="12.75">
      <c r="J1026" s="331"/>
    </row>
    <row r="1027" spans="10:10" ht="12.75">
      <c r="J1027" s="331"/>
    </row>
    <row r="1028" spans="10:10" ht="12.75">
      <c r="J1028" s="331"/>
    </row>
    <row r="1029" spans="10:10" ht="12.75">
      <c r="J1029" s="331"/>
    </row>
    <row r="1030" spans="10:10" ht="12.75">
      <c r="J1030" s="331"/>
    </row>
  </sheetData>
  <mergeCells count="4">
    <mergeCell ref="C7:I7"/>
    <mergeCell ref="C8:I9"/>
    <mergeCell ref="C10:I10"/>
    <mergeCell ref="B23:J23"/>
  </mergeCells>
  <hyperlinks>
    <hyperlink ref="B8" r:id="rId1"/>
    <hyperlink ref="B9" r:id="rId2"/>
    <hyperlink ref="B10" r:id="rId3"/>
    <hyperlink ref="D14" location="PEC_Info!A1" display="PEC_Info.csv"/>
    <hyperlink ref="D17" location="DEC_Taxation!A1" display="DEC_Taxation.csv"/>
    <hyperlink ref="D16" location="'PEC_Info HighRELowFossil'!A1" display="PEC_Info.csv"/>
    <hyperlink ref="D15" location="'PEC_Info LowREHighFossil'!A1" display="PEC_Info.csv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9"/>
  <sheetViews>
    <sheetView zoomScaleNormal="100" workbookViewId="0"/>
  </sheetViews>
  <sheetFormatPr defaultRowHeight="15"/>
  <cols>
    <col min="1" max="1" width="13.85546875" bestFit="1" customWidth="1"/>
    <col min="2" max="2" width="16.42578125" bestFit="1" customWidth="1"/>
    <col min="3" max="3" width="15" bestFit="1" customWidth="1"/>
    <col min="4" max="4" width="5" bestFit="1" customWidth="1"/>
    <col min="5" max="5" width="15.85546875" bestFit="1" customWidth="1"/>
    <col min="6" max="6" width="19.85546875" style="372" bestFit="1" customWidth="1"/>
    <col min="7" max="7" width="13.5703125" bestFit="1" customWidth="1"/>
    <col min="8" max="8" width="15.85546875" bestFit="1" customWidth="1"/>
    <col min="9" max="9" width="19.85546875" style="372" bestFit="1" customWidth="1"/>
    <col min="10" max="10" width="12.7109375" bestFit="1" customWidth="1"/>
    <col min="11" max="11" width="15.140625" bestFit="1" customWidth="1"/>
  </cols>
  <sheetData>
    <row r="1" spans="1:11">
      <c r="A1" t="str">
        <f>PEC_Info!A1</f>
        <v>EnergyCarrier</v>
      </c>
      <c r="B1" t="str">
        <f>PEC_Info!B1</f>
        <v>ModelGeography</v>
      </c>
      <c r="C1" t="str">
        <f>PEC_Info!C1</f>
        <v>SubGeography1</v>
      </c>
      <c r="D1" t="str">
        <f>PEC_Info!D1</f>
        <v>Year</v>
      </c>
      <c r="E1" t="str">
        <f>PEC_Info!E1</f>
        <v>NonEnergyShare</v>
      </c>
      <c r="F1" s="372" t="str">
        <f>PEC_Info!F1</f>
        <v>DomesticPrice</v>
      </c>
      <c r="G1" t="str">
        <f>PEC_Info!G1</f>
        <v>AVTaxOHDom</v>
      </c>
      <c r="H1" t="str">
        <f>PEC_Info!H1</f>
        <v>FixedTaxOHDom</v>
      </c>
      <c r="I1" s="372" t="str">
        <f>PEC_Info!I1</f>
        <v>ImportPrice</v>
      </c>
      <c r="J1" t="str">
        <f>PEC_Info!J1</f>
        <v>AVTaxOHImp</v>
      </c>
      <c r="K1" t="str">
        <f>PEC_Info!K1</f>
        <v>FixedTaxOHImp</v>
      </c>
    </row>
    <row r="2" spans="1:11">
      <c r="A2" t="str">
        <f>PEC_Info!A2</f>
        <v>CRUDE</v>
      </c>
      <c r="B2" t="str">
        <f>PEC_Info!B2</f>
        <v>INDIA</v>
      </c>
      <c r="C2" t="str">
        <f xml:space="preserve"> IF(ISBLANK(PEC_Info!C2), "", PEC_Info!C2)</f>
        <v/>
      </c>
      <c r="D2">
        <f>PEC_Info!D2</f>
        <v>2020</v>
      </c>
      <c r="E2">
        <f>PEC_Info!E2</f>
        <v>0</v>
      </c>
      <c r="F2" s="372">
        <f xml:space="preserve"> IF(AND(D2 &lt;&gt; 2020, OR(A2 = "NATGAS", A2 = "STEAM_COAL", A2 = "COKING_COAL")), PEC_Info_Scen_assumptions!$B$5, 1) * PEC_Info!F2</f>
        <v>27328.761354469305</v>
      </c>
      <c r="G2">
        <f>PEC_Info!G2</f>
        <v>0.1</v>
      </c>
      <c r="H2">
        <f>PEC_Info!H2</f>
        <v>51.2</v>
      </c>
      <c r="I2" s="372">
        <f xml:space="preserve"> IF(AND(D2 &lt;&gt; 2020, OR(A2 = "NATGAS", A2 = "STEAM_COAL", A2 = "COKING_COAL")), PEC_Info_Scen_assumptions!$B$5, 1) * PEC_Info!I2</f>
        <v>30365.290393854782</v>
      </c>
      <c r="J2">
        <f>PEC_Info!J2</f>
        <v>0</v>
      </c>
      <c r="K2">
        <f>PEC_Info!K2</f>
        <v>52</v>
      </c>
    </row>
    <row r="3" spans="1:11">
      <c r="A3" t="str">
        <f>PEC_Info!A3</f>
        <v>CRUDE</v>
      </c>
      <c r="B3" t="str">
        <f>PEC_Info!B3</f>
        <v>INDIA</v>
      </c>
      <c r="C3" t="str">
        <f xml:space="preserve"> IF(ISBLANK(PEC_Info!C3), "", PEC_Info!C3)</f>
        <v/>
      </c>
      <c r="D3">
        <f>PEC_Info!D3</f>
        <v>2021</v>
      </c>
      <c r="E3">
        <f>PEC_Info!E3</f>
        <v>0</v>
      </c>
      <c r="F3" s="372">
        <f xml:space="preserve"> IF(AND(D3 &lt;&gt; 2020, OR(A3 = "NATGAS", A3 = "STEAM_COAL", A3 = "COKING_COAL")), PEC_Info_Scen_assumptions!$B$5, 1) * PEC_Info!F3</f>
        <v>18704.034594433222</v>
      </c>
      <c r="G3">
        <f>PEC_Info!G3</f>
        <v>0.1</v>
      </c>
      <c r="H3">
        <f>PEC_Info!H3</f>
        <v>51.2</v>
      </c>
      <c r="I3" s="372">
        <f xml:space="preserve"> IF(AND(D3 &lt;&gt; 2020, OR(A3 = "NATGAS", A3 = "STEAM_COAL", A3 = "COKING_COAL")), PEC_Info_Scen_assumptions!$B$5, 1) * PEC_Info!I3</f>
        <v>20782.260660481355</v>
      </c>
      <c r="J3">
        <f>PEC_Info!J3</f>
        <v>0</v>
      </c>
      <c r="K3">
        <f>PEC_Info!K3</f>
        <v>52</v>
      </c>
    </row>
    <row r="4" spans="1:11">
      <c r="A4" t="str">
        <f>PEC_Info!A4</f>
        <v>CRUDE</v>
      </c>
      <c r="B4" t="str">
        <f>PEC_Info!B4</f>
        <v>INDIA</v>
      </c>
      <c r="C4" t="str">
        <f xml:space="preserve"> IF(ISBLANK(PEC_Info!C4), "", PEC_Info!C4)</f>
        <v/>
      </c>
      <c r="D4">
        <f>PEC_Info!D4</f>
        <v>2022</v>
      </c>
      <c r="E4">
        <f>PEC_Info!E4</f>
        <v>0</v>
      </c>
      <c r="F4" s="372">
        <f xml:space="preserve"> IF(AND(D4 &lt;&gt; 2020, OR(A4 = "NATGAS", A4 = "STEAM_COAL", A4 = "COKING_COAL")), PEC_Info_Scen_assumptions!$B$5, 1) * PEC_Info!F4</f>
        <v>20184.092984079674</v>
      </c>
      <c r="G4">
        <f>PEC_Info!G4</f>
        <v>0.1</v>
      </c>
      <c r="H4">
        <f>PEC_Info!H4</f>
        <v>51.2</v>
      </c>
      <c r="I4" s="372">
        <f xml:space="preserve"> IF(AND(D4 &lt;&gt; 2020, OR(A4 = "NATGAS", A4 = "STEAM_COAL", A4 = "COKING_COAL")), PEC_Info_Scen_assumptions!$B$5, 1) * PEC_Info!I4</f>
        <v>22426.76998231075</v>
      </c>
      <c r="J4">
        <f>PEC_Info!J4</f>
        <v>0</v>
      </c>
      <c r="K4">
        <f>PEC_Info!K4</f>
        <v>52</v>
      </c>
    </row>
    <row r="5" spans="1:11">
      <c r="A5" t="str">
        <f>PEC_Info!A5</f>
        <v>CRUDE</v>
      </c>
      <c r="B5" t="str">
        <f>PEC_Info!B5</f>
        <v>INDIA</v>
      </c>
      <c r="C5" t="str">
        <f xml:space="preserve"> IF(ISBLANK(PEC_Info!C5), "", PEC_Info!C5)</f>
        <v/>
      </c>
      <c r="D5">
        <f>PEC_Info!D5</f>
        <v>2023</v>
      </c>
      <c r="E5">
        <f>PEC_Info!E5</f>
        <v>0</v>
      </c>
      <c r="F5" s="372">
        <f xml:space="preserve"> IF(AND(D5 &lt;&gt; 2020, OR(A5 = "NATGAS", A5 = "STEAM_COAL", A5 = "COKING_COAL")), PEC_Info_Scen_assumptions!$B$5, 1) * PEC_Info!F5</f>
        <v>22984.981503651281</v>
      </c>
      <c r="G5">
        <f>PEC_Info!G5</f>
        <v>0.1</v>
      </c>
      <c r="H5">
        <f>PEC_Info!H5</f>
        <v>51.2</v>
      </c>
      <c r="I5" s="372">
        <f xml:space="preserve"> IF(AND(D5 &lt;&gt; 2020, OR(A5 = "NATGAS", A5 = "STEAM_COAL", A5 = "COKING_COAL")), PEC_Info_Scen_assumptions!$B$5, 1) * PEC_Info!I5</f>
        <v>25538.868337390311</v>
      </c>
      <c r="J5">
        <f>PEC_Info!J5</f>
        <v>0</v>
      </c>
      <c r="K5">
        <f>PEC_Info!K5</f>
        <v>52</v>
      </c>
    </row>
    <row r="6" spans="1:11">
      <c r="A6" t="str">
        <f>PEC_Info!A6</f>
        <v>CRUDE</v>
      </c>
      <c r="B6" t="str">
        <f>PEC_Info!B6</f>
        <v>INDIA</v>
      </c>
      <c r="C6" t="str">
        <f xml:space="preserve"> IF(ISBLANK(PEC_Info!C6), "", PEC_Info!C6)</f>
        <v/>
      </c>
      <c r="D6">
        <f>PEC_Info!D6</f>
        <v>2024</v>
      </c>
      <c r="E6">
        <f>PEC_Info!E6</f>
        <v>0</v>
      </c>
      <c r="F6" s="372">
        <f xml:space="preserve"> IF(AND(D6 &lt;&gt; 2020, OR(A6 = "NATGAS", A6 = "STEAM_COAL", A6 = "COKING_COAL")), PEC_Info_Scen_assumptions!$B$5, 1) * PEC_Info!F6</f>
        <v>24020.010732097908</v>
      </c>
      <c r="G6">
        <f>PEC_Info!G6</f>
        <v>0.1</v>
      </c>
      <c r="H6">
        <f>PEC_Info!H6</f>
        <v>51.2</v>
      </c>
      <c r="I6" s="372">
        <f xml:space="preserve"> IF(AND(D6 &lt;&gt; 2020, OR(A6 = "NATGAS", A6 = "STEAM_COAL", A6 = "COKING_COAL")), PEC_Info_Scen_assumptions!$B$5, 1) * PEC_Info!I6</f>
        <v>26688.90081344212</v>
      </c>
      <c r="J6">
        <f>PEC_Info!J6</f>
        <v>0</v>
      </c>
      <c r="K6">
        <f>PEC_Info!K6</f>
        <v>52</v>
      </c>
    </row>
    <row r="7" spans="1:11">
      <c r="A7" t="str">
        <f>PEC_Info!A7</f>
        <v>CRUDE</v>
      </c>
      <c r="B7" t="str">
        <f>PEC_Info!B7</f>
        <v>INDIA</v>
      </c>
      <c r="C7" t="str">
        <f xml:space="preserve"> IF(ISBLANK(PEC_Info!C7), "", PEC_Info!C7)</f>
        <v/>
      </c>
      <c r="D7">
        <f>PEC_Info!D7</f>
        <v>2025</v>
      </c>
      <c r="E7">
        <f>PEC_Info!E7</f>
        <v>0</v>
      </c>
      <c r="F7" s="372">
        <f xml:space="preserve"> IF(AND(D7 &lt;&gt; 2020, OR(A7 = "NATGAS", A7 = "STEAM_COAL", A7 = "COKING_COAL")), PEC_Info_Scen_assumptions!$B$5, 1) * PEC_Info!F7</f>
        <v>25136.150152942701</v>
      </c>
      <c r="G7">
        <f>PEC_Info!G7</f>
        <v>0.1</v>
      </c>
      <c r="H7">
        <f>PEC_Info!H7</f>
        <v>51.2</v>
      </c>
      <c r="I7" s="372">
        <f xml:space="preserve"> IF(AND(D7 &lt;&gt; 2020, OR(A7 = "NATGAS", A7 = "STEAM_COAL", A7 = "COKING_COAL")), PEC_Info_Scen_assumptions!$B$5, 1) * PEC_Info!I7</f>
        <v>27929.055725491889</v>
      </c>
      <c r="J7">
        <f>PEC_Info!J7</f>
        <v>0</v>
      </c>
      <c r="K7">
        <f>PEC_Info!K7</f>
        <v>52</v>
      </c>
    </row>
    <row r="8" spans="1:11">
      <c r="A8" t="str">
        <f>PEC_Info!A8</f>
        <v>CRUDE</v>
      </c>
      <c r="B8" t="str">
        <f>PEC_Info!B8</f>
        <v>INDIA</v>
      </c>
      <c r="C8" t="str">
        <f xml:space="preserve"> IF(ISBLANK(PEC_Info!C8), "", PEC_Info!C8)</f>
        <v/>
      </c>
      <c r="D8">
        <f>PEC_Info!D8</f>
        <v>2026</v>
      </c>
      <c r="E8">
        <f>PEC_Info!E8</f>
        <v>0</v>
      </c>
      <c r="F8" s="372">
        <f xml:space="preserve"> IF(AND(D8 &lt;&gt; 2020, OR(A8 = "NATGAS", A8 = "STEAM_COAL", A8 = "COKING_COAL")), PEC_Info_Scen_assumptions!$B$5, 1) * PEC_Info!F8</f>
        <v>26237.446070149454</v>
      </c>
      <c r="G8">
        <f>PEC_Info!G8</f>
        <v>0.1</v>
      </c>
      <c r="H8">
        <f>PEC_Info!H8</f>
        <v>51.2</v>
      </c>
      <c r="I8" s="372">
        <f xml:space="preserve"> IF(AND(D8 &lt;&gt; 2020, OR(A8 = "NATGAS", A8 = "STEAM_COAL", A8 = "COKING_COAL")), PEC_Info_Scen_assumptions!$B$5, 1) * PEC_Info!I8</f>
        <v>29152.717855721614</v>
      </c>
      <c r="J8">
        <f>PEC_Info!J8</f>
        <v>0</v>
      </c>
      <c r="K8">
        <f>PEC_Info!K8</f>
        <v>52</v>
      </c>
    </row>
    <row r="9" spans="1:11">
      <c r="A9" t="str">
        <f>PEC_Info!A9</f>
        <v>CRUDE</v>
      </c>
      <c r="B9" t="str">
        <f>PEC_Info!B9</f>
        <v>INDIA</v>
      </c>
      <c r="C9" t="str">
        <f xml:space="preserve"> IF(ISBLANK(PEC_Info!C9), "", PEC_Info!C9)</f>
        <v/>
      </c>
      <c r="D9">
        <f>PEC_Info!D9</f>
        <v>2027</v>
      </c>
      <c r="E9">
        <f>PEC_Info!E9</f>
        <v>0</v>
      </c>
      <c r="F9" s="372">
        <f xml:space="preserve"> IF(AND(D9 &lt;&gt; 2020, OR(A9 = "NATGAS", A9 = "STEAM_COAL", A9 = "COKING_COAL")), PEC_Info_Scen_assumptions!$B$5, 1) * PEC_Info!F9</f>
        <v>27383.880074665198</v>
      </c>
      <c r="G9">
        <f>PEC_Info!G9</f>
        <v>0.1</v>
      </c>
      <c r="H9">
        <f>PEC_Info!H9</f>
        <v>51.2</v>
      </c>
      <c r="I9" s="372">
        <f xml:space="preserve"> IF(AND(D9 &lt;&gt; 2020, OR(A9 = "NATGAS", A9 = "STEAM_COAL", A9 = "COKING_COAL")), PEC_Info_Scen_assumptions!$B$5, 1) * PEC_Info!I9</f>
        <v>30426.53341629466</v>
      </c>
      <c r="J9">
        <f>PEC_Info!J9</f>
        <v>0</v>
      </c>
      <c r="K9">
        <f>PEC_Info!K9</f>
        <v>52</v>
      </c>
    </row>
    <row r="10" spans="1:11">
      <c r="A10" t="str">
        <f>PEC_Info!A10</f>
        <v>CRUDE</v>
      </c>
      <c r="B10" t="str">
        <f>PEC_Info!B10</f>
        <v>INDIA</v>
      </c>
      <c r="C10" t="str">
        <f xml:space="preserve"> IF(ISBLANK(PEC_Info!C10), "", PEC_Info!C10)</f>
        <v/>
      </c>
      <c r="D10">
        <f>PEC_Info!D10</f>
        <v>2028</v>
      </c>
      <c r="E10">
        <f>PEC_Info!E10</f>
        <v>0</v>
      </c>
      <c r="F10" s="372">
        <f xml:space="preserve"> IF(AND(D10 &lt;&gt; 2020, OR(A10 = "NATGAS", A10 = "STEAM_COAL", A10 = "COKING_COAL")), PEC_Info_Scen_assumptions!$B$5, 1) * PEC_Info!F10</f>
        <v>28580.407023562642</v>
      </c>
      <c r="G10">
        <f>PEC_Info!G10</f>
        <v>0.1</v>
      </c>
      <c r="H10">
        <f>PEC_Info!H10</f>
        <v>51.2</v>
      </c>
      <c r="I10" s="372">
        <f xml:space="preserve"> IF(AND(D10 &lt;&gt; 2020, OR(A10 = "NATGAS", A10 = "STEAM_COAL", A10 = "COKING_COAL")), PEC_Info_Scen_assumptions!$B$5, 1) * PEC_Info!I10</f>
        <v>31756.007803958488</v>
      </c>
      <c r="J10">
        <f>PEC_Info!J10</f>
        <v>0</v>
      </c>
      <c r="K10">
        <f>PEC_Info!K10</f>
        <v>52</v>
      </c>
    </row>
    <row r="11" spans="1:11">
      <c r="A11" t="str">
        <f>PEC_Info!A11</f>
        <v>CRUDE</v>
      </c>
      <c r="B11" t="str">
        <f>PEC_Info!B11</f>
        <v>INDIA</v>
      </c>
      <c r="C11" t="str">
        <f xml:space="preserve"> IF(ISBLANK(PEC_Info!C11), "", PEC_Info!C11)</f>
        <v/>
      </c>
      <c r="D11">
        <f>PEC_Info!D11</f>
        <v>2029</v>
      </c>
      <c r="E11">
        <f>PEC_Info!E11</f>
        <v>0</v>
      </c>
      <c r="F11" s="372">
        <f xml:space="preserve"> IF(AND(D11 &lt;&gt; 2020, OR(A11 = "NATGAS", A11 = "STEAM_COAL", A11 = "COKING_COAL")), PEC_Info_Scen_assumptions!$B$5, 1) * PEC_Info!F11</f>
        <v>29829.215706660434</v>
      </c>
      <c r="G11">
        <f>PEC_Info!G11</f>
        <v>0.1</v>
      </c>
      <c r="H11">
        <f>PEC_Info!H11</f>
        <v>51.2</v>
      </c>
      <c r="I11" s="372">
        <f xml:space="preserve"> IF(AND(D11 &lt;&gt; 2020, OR(A11 = "NATGAS", A11 = "STEAM_COAL", A11 = "COKING_COAL")), PEC_Info_Scen_assumptions!$B$5, 1) * PEC_Info!I11</f>
        <v>33143.573007400482</v>
      </c>
      <c r="J11">
        <f>PEC_Info!J11</f>
        <v>0</v>
      </c>
      <c r="K11">
        <f>PEC_Info!K11</f>
        <v>52</v>
      </c>
    </row>
    <row r="12" spans="1:11">
      <c r="A12" t="str">
        <f>PEC_Info!A12</f>
        <v>CRUDE</v>
      </c>
      <c r="B12" t="str">
        <f>PEC_Info!B12</f>
        <v>INDIA</v>
      </c>
      <c r="C12" t="str">
        <f xml:space="preserve"> IF(ISBLANK(PEC_Info!C12), "", PEC_Info!C12)</f>
        <v/>
      </c>
      <c r="D12">
        <f>PEC_Info!D12</f>
        <v>2030</v>
      </c>
      <c r="E12">
        <f>PEC_Info!E12</f>
        <v>0</v>
      </c>
      <c r="F12" s="372">
        <f xml:space="preserve"> IF(AND(D12 &lt;&gt; 2020, OR(A12 = "NATGAS", A12 = "STEAM_COAL", A12 = "COKING_COAL")), PEC_Info_Scen_assumptions!$B$5, 1) * PEC_Info!F12</f>
        <v>31132.590552013891</v>
      </c>
      <c r="G12">
        <f>PEC_Info!G12</f>
        <v>0.1</v>
      </c>
      <c r="H12">
        <f>PEC_Info!H12</f>
        <v>51.2</v>
      </c>
      <c r="I12" s="372">
        <f xml:space="preserve"> IF(AND(D12 &lt;&gt; 2020, OR(A12 = "NATGAS", A12 = "STEAM_COAL", A12 = "COKING_COAL")), PEC_Info_Scen_assumptions!$B$5, 1) * PEC_Info!I12</f>
        <v>34591.767280015432</v>
      </c>
      <c r="J12">
        <f>PEC_Info!J12</f>
        <v>0</v>
      </c>
      <c r="K12">
        <f>PEC_Info!K12</f>
        <v>52</v>
      </c>
    </row>
    <row r="13" spans="1:11">
      <c r="A13" t="str">
        <f>PEC_Info!A13</f>
        <v>CRUDE</v>
      </c>
      <c r="B13" t="str">
        <f>PEC_Info!B13</f>
        <v>INDIA</v>
      </c>
      <c r="C13" t="str">
        <f xml:space="preserve"> IF(ISBLANK(PEC_Info!C13), "", PEC_Info!C13)</f>
        <v/>
      </c>
      <c r="D13">
        <f>PEC_Info!D13</f>
        <v>2031</v>
      </c>
      <c r="E13">
        <f>PEC_Info!E13</f>
        <v>0</v>
      </c>
      <c r="F13" s="372">
        <f xml:space="preserve"> IF(AND(D13 &lt;&gt; 2020, OR(A13 = "NATGAS", A13 = "STEAM_COAL", A13 = "COKING_COAL")), PEC_Info_Scen_assumptions!$B$5, 1) * PEC_Info!F13</f>
        <v>32492.915804786902</v>
      </c>
      <c r="G13">
        <f>PEC_Info!G13</f>
        <v>0.1</v>
      </c>
      <c r="H13">
        <f>PEC_Info!H13</f>
        <v>51.2</v>
      </c>
      <c r="I13" s="372">
        <f xml:space="preserve"> IF(AND(D13 &lt;&gt; 2020, OR(A13 = "NATGAS", A13 = "STEAM_COAL", A13 = "COKING_COAL")), PEC_Info_Scen_assumptions!$B$5, 1) * PEC_Info!I13</f>
        <v>36103.239783096556</v>
      </c>
      <c r="J13">
        <f>PEC_Info!J13</f>
        <v>0</v>
      </c>
      <c r="K13">
        <f>PEC_Info!K13</f>
        <v>52</v>
      </c>
    </row>
    <row r="14" spans="1:11">
      <c r="A14" t="str">
        <f>PEC_Info!A14</f>
        <v>BIOMASS</v>
      </c>
      <c r="B14" t="str">
        <f>PEC_Info!B14</f>
        <v>INDIA</v>
      </c>
      <c r="C14" t="str">
        <f xml:space="preserve"> IF(ISBLANK(PEC_Info!C14), "", PEC_Info!C14)</f>
        <v/>
      </c>
      <c r="D14">
        <f>PEC_Info!D14</f>
        <v>2020</v>
      </c>
      <c r="E14">
        <f>PEC_Info!E14</f>
        <v>0</v>
      </c>
      <c r="F14" s="372">
        <f xml:space="preserve"> IF(AND(D14 &lt;&gt; 2020, OR(A14 = "NATGAS", A14 = "STEAM_COAL", A14 = "COKING_COAL")), PEC_Info_Scen_assumptions!$B$5, 1) * PEC_Info!F14</f>
        <v>3494.3578580033732</v>
      </c>
      <c r="G14">
        <f>PEC_Info!G14</f>
        <v>0</v>
      </c>
      <c r="H14">
        <f>PEC_Info!H14</f>
        <v>0</v>
      </c>
      <c r="I14" s="372">
        <f xml:space="preserve"> IF(AND(D14 &lt;&gt; 2020, OR(A14 = "NATGAS", A14 = "STEAM_COAL", A14 = "COKING_COAL")), PEC_Info_Scen_assumptions!$B$5, 1) * PEC_Info!I14</f>
        <v>3494.3578580033732</v>
      </c>
      <c r="J14">
        <f>PEC_Info!J14</f>
        <v>0</v>
      </c>
      <c r="K14">
        <f>PEC_Info!K14</f>
        <v>0</v>
      </c>
    </row>
    <row r="15" spans="1:11">
      <c r="A15" t="str">
        <f>PEC_Info!A15</f>
        <v>BIOMASS</v>
      </c>
      <c r="B15" t="str">
        <f>PEC_Info!B15</f>
        <v>INDIA</v>
      </c>
      <c r="C15" t="str">
        <f xml:space="preserve"> IF(ISBLANK(PEC_Info!C15), "", PEC_Info!C15)</f>
        <v/>
      </c>
      <c r="D15">
        <f>PEC_Info!D15</f>
        <v>2021</v>
      </c>
      <c r="E15">
        <f>PEC_Info!E15</f>
        <v>0</v>
      </c>
      <c r="F15" s="372">
        <f xml:space="preserve"> IF(AND(D15 &lt;&gt; 2020, OR(A15 = "NATGAS", A15 = "STEAM_COAL", A15 = "COKING_COAL")), PEC_Info_Scen_assumptions!$B$5, 1) * PEC_Info!F15</f>
        <v>3576.8978579354234</v>
      </c>
      <c r="G15">
        <f>PEC_Info!G15</f>
        <v>0</v>
      </c>
      <c r="H15">
        <f>PEC_Info!H15</f>
        <v>0</v>
      </c>
      <c r="I15" s="372">
        <f xml:space="preserve"> IF(AND(D15 &lt;&gt; 2020, OR(A15 = "NATGAS", A15 = "STEAM_COAL", A15 = "COKING_COAL")), PEC_Info_Scen_assumptions!$B$5, 1) * PEC_Info!I15</f>
        <v>3576.8978579354234</v>
      </c>
      <c r="J15">
        <f>PEC_Info!J15</f>
        <v>0</v>
      </c>
      <c r="K15">
        <f>PEC_Info!K15</f>
        <v>0</v>
      </c>
    </row>
    <row r="16" spans="1:11">
      <c r="A16" t="str">
        <f>PEC_Info!A16</f>
        <v>BIOMASS</v>
      </c>
      <c r="B16" t="str">
        <f>PEC_Info!B16</f>
        <v>INDIA</v>
      </c>
      <c r="C16" t="str">
        <f xml:space="preserve"> IF(ISBLANK(PEC_Info!C16), "", PEC_Info!C16)</f>
        <v/>
      </c>
      <c r="D16">
        <f>PEC_Info!D16</f>
        <v>2022</v>
      </c>
      <c r="E16">
        <f>PEC_Info!E16</f>
        <v>0</v>
      </c>
      <c r="F16" s="372">
        <f xml:space="preserve"> IF(AND(D16 &lt;&gt; 2020, OR(A16 = "NATGAS", A16 = "STEAM_COAL", A16 = "COKING_COAL")), PEC_Info_Scen_assumptions!$B$5, 1) * PEC_Info!F16</f>
        <v>3659.9311611943544</v>
      </c>
      <c r="G16">
        <f>PEC_Info!G16</f>
        <v>0</v>
      </c>
      <c r="H16">
        <f>PEC_Info!H16</f>
        <v>0</v>
      </c>
      <c r="I16" s="372">
        <f xml:space="preserve"> IF(AND(D16 &lt;&gt; 2020, OR(A16 = "NATGAS", A16 = "STEAM_COAL", A16 = "COKING_COAL")), PEC_Info_Scen_assumptions!$B$5, 1) * PEC_Info!I16</f>
        <v>3659.9311611943544</v>
      </c>
      <c r="J16">
        <f>PEC_Info!J16</f>
        <v>0</v>
      </c>
      <c r="K16">
        <f>PEC_Info!K16</f>
        <v>0</v>
      </c>
    </row>
    <row r="17" spans="1:11">
      <c r="A17" t="str">
        <f>PEC_Info!A17</f>
        <v>BIOMASS</v>
      </c>
      <c r="B17" t="str">
        <f>PEC_Info!B17</f>
        <v>INDIA</v>
      </c>
      <c r="C17" t="str">
        <f xml:space="preserve"> IF(ISBLANK(PEC_Info!C17), "", PEC_Info!C17)</f>
        <v/>
      </c>
      <c r="D17">
        <f>PEC_Info!D17</f>
        <v>2023</v>
      </c>
      <c r="E17">
        <f>PEC_Info!E17</f>
        <v>0</v>
      </c>
      <c r="F17" s="372">
        <f xml:space="preserve"> IF(AND(D17 &lt;&gt; 2020, OR(A17 = "NATGAS", A17 = "STEAM_COAL", A17 = "COKING_COAL")), PEC_Info_Scen_assumptions!$B$5, 1) * PEC_Info!F17</f>
        <v>3746.1057306588614</v>
      </c>
      <c r="G17">
        <f>PEC_Info!G17</f>
        <v>0</v>
      </c>
      <c r="H17">
        <f>PEC_Info!H17</f>
        <v>0</v>
      </c>
      <c r="I17" s="372">
        <f xml:space="preserve"> IF(AND(D17 &lt;&gt; 2020, OR(A17 = "NATGAS", A17 = "STEAM_COAL", A17 = "COKING_COAL")), PEC_Info_Scen_assumptions!$B$5, 1) * PEC_Info!I17</f>
        <v>3746.1057306588614</v>
      </c>
      <c r="J17">
        <f>PEC_Info!J17</f>
        <v>0</v>
      </c>
      <c r="K17">
        <f>PEC_Info!K17</f>
        <v>0</v>
      </c>
    </row>
    <row r="18" spans="1:11">
      <c r="A18" t="str">
        <f>PEC_Info!A18</f>
        <v>BIOMASS</v>
      </c>
      <c r="B18" t="str">
        <f>PEC_Info!B18</f>
        <v>INDIA</v>
      </c>
      <c r="C18" t="str">
        <f xml:space="preserve"> IF(ISBLANK(PEC_Info!C18), "", PEC_Info!C18)</f>
        <v/>
      </c>
      <c r="D18">
        <f>PEC_Info!D18</f>
        <v>2024</v>
      </c>
      <c r="E18">
        <f>PEC_Info!E18</f>
        <v>0</v>
      </c>
      <c r="F18" s="372">
        <f xml:space="preserve"> IF(AND(D18 &lt;&gt; 2020, OR(A18 = "NATGAS", A18 = "STEAM_COAL", A18 = "COKING_COAL")), PEC_Info_Scen_assumptions!$B$5, 1) * PEC_Info!F18</f>
        <v>3833.6786883937298</v>
      </c>
      <c r="G18">
        <f>PEC_Info!G18</f>
        <v>0</v>
      </c>
      <c r="H18">
        <f>PEC_Info!H18</f>
        <v>0</v>
      </c>
      <c r="I18" s="372">
        <f xml:space="preserve"> IF(AND(D18 &lt;&gt; 2020, OR(A18 = "NATGAS", A18 = "STEAM_COAL", A18 = "COKING_COAL")), PEC_Info_Scen_assumptions!$B$5, 1) * PEC_Info!I18</f>
        <v>3833.6786883937298</v>
      </c>
      <c r="J18">
        <f>PEC_Info!J18</f>
        <v>0</v>
      </c>
      <c r="K18">
        <f>PEC_Info!K18</f>
        <v>0</v>
      </c>
    </row>
    <row r="19" spans="1:11">
      <c r="A19" t="str">
        <f>PEC_Info!A19</f>
        <v>BIOMASS</v>
      </c>
      <c r="B19" t="str">
        <f>PEC_Info!B19</f>
        <v>INDIA</v>
      </c>
      <c r="C19" t="str">
        <f xml:space="preserve"> IF(ISBLANK(PEC_Info!C19), "", PEC_Info!C19)</f>
        <v/>
      </c>
      <c r="D19">
        <f>PEC_Info!D19</f>
        <v>2025</v>
      </c>
      <c r="E19">
        <f>PEC_Info!E19</f>
        <v>0</v>
      </c>
      <c r="F19" s="372">
        <f xml:space="preserve"> IF(AND(D19 &lt;&gt; 2020, OR(A19 = "NATGAS", A19 = "STEAM_COAL", A19 = "COKING_COAL")), PEC_Info_Scen_assumptions!$B$5, 1) * PEC_Info!F19</f>
        <v>3923.210754367406</v>
      </c>
      <c r="G19">
        <f>PEC_Info!G19</f>
        <v>0</v>
      </c>
      <c r="H19">
        <f>PEC_Info!H19</f>
        <v>0</v>
      </c>
      <c r="I19" s="372">
        <f xml:space="preserve"> IF(AND(D19 &lt;&gt; 2020, OR(A19 = "NATGAS", A19 = "STEAM_COAL", A19 = "COKING_COAL")), PEC_Info_Scen_assumptions!$B$5, 1) * PEC_Info!I19</f>
        <v>3923.210754367406</v>
      </c>
      <c r="J19">
        <f>PEC_Info!J19</f>
        <v>0</v>
      </c>
      <c r="K19">
        <f>PEC_Info!K19</f>
        <v>0</v>
      </c>
    </row>
    <row r="20" spans="1:11">
      <c r="A20" t="str">
        <f>PEC_Info!A20</f>
        <v>BIOMASS</v>
      </c>
      <c r="B20" t="str">
        <f>PEC_Info!B20</f>
        <v>INDIA</v>
      </c>
      <c r="C20" t="str">
        <f xml:space="preserve"> IF(ISBLANK(PEC_Info!C20), "", PEC_Info!C20)</f>
        <v/>
      </c>
      <c r="D20">
        <f>PEC_Info!D20</f>
        <v>2026</v>
      </c>
      <c r="E20">
        <f>PEC_Info!E20</f>
        <v>0</v>
      </c>
      <c r="F20" s="372">
        <f xml:space="preserve"> IF(AND(D20 &lt;&gt; 2020, OR(A20 = "NATGAS", A20 = "STEAM_COAL", A20 = "COKING_COAL")), PEC_Info_Scen_assumptions!$B$5, 1) * PEC_Info!F20</f>
        <v>4015.2984562764232</v>
      </c>
      <c r="G20">
        <f>PEC_Info!G20</f>
        <v>0</v>
      </c>
      <c r="H20">
        <f>PEC_Info!H20</f>
        <v>0</v>
      </c>
      <c r="I20" s="372">
        <f xml:space="preserve"> IF(AND(D20 &lt;&gt; 2020, OR(A20 = "NATGAS", A20 = "STEAM_COAL", A20 = "COKING_COAL")), PEC_Info_Scen_assumptions!$B$5, 1) * PEC_Info!I20</f>
        <v>4015.2984562764232</v>
      </c>
      <c r="J20">
        <f>PEC_Info!J20</f>
        <v>0</v>
      </c>
      <c r="K20">
        <f>PEC_Info!K20</f>
        <v>0</v>
      </c>
    </row>
    <row r="21" spans="1:11">
      <c r="A21" t="str">
        <f>PEC_Info!A21</f>
        <v>BIOMASS</v>
      </c>
      <c r="B21" t="str">
        <f>PEC_Info!B21</f>
        <v>INDIA</v>
      </c>
      <c r="C21" t="str">
        <f xml:space="preserve"> IF(ISBLANK(PEC_Info!C21), "", PEC_Info!C21)</f>
        <v/>
      </c>
      <c r="D21">
        <f>PEC_Info!D21</f>
        <v>2027</v>
      </c>
      <c r="E21">
        <f>PEC_Info!E21</f>
        <v>0</v>
      </c>
      <c r="F21" s="372">
        <f xml:space="preserve"> IF(AND(D21 &lt;&gt; 2020, OR(A21 = "NATGAS", A21 = "STEAM_COAL", A21 = "COKING_COAL")), PEC_Info_Scen_assumptions!$B$5, 1) * PEC_Info!F21</f>
        <v>4111.0234439416818</v>
      </c>
      <c r="G21">
        <f>PEC_Info!G21</f>
        <v>0</v>
      </c>
      <c r="H21">
        <f>PEC_Info!H21</f>
        <v>0</v>
      </c>
      <c r="I21" s="372">
        <f xml:space="preserve"> IF(AND(D21 &lt;&gt; 2020, OR(A21 = "NATGAS", A21 = "STEAM_COAL", A21 = "COKING_COAL")), PEC_Info_Scen_assumptions!$B$5, 1) * PEC_Info!I21</f>
        <v>4111.0234439416818</v>
      </c>
      <c r="J21">
        <f>PEC_Info!J21</f>
        <v>0</v>
      </c>
      <c r="K21">
        <f>PEC_Info!K21</f>
        <v>0</v>
      </c>
    </row>
    <row r="22" spans="1:11">
      <c r="A22" t="str">
        <f>PEC_Info!A22</f>
        <v>BIOMASS</v>
      </c>
      <c r="B22" t="str">
        <f>PEC_Info!B22</f>
        <v>INDIA</v>
      </c>
      <c r="C22" t="str">
        <f xml:space="preserve"> IF(ISBLANK(PEC_Info!C22), "", PEC_Info!C22)</f>
        <v/>
      </c>
      <c r="D22">
        <f>PEC_Info!D22</f>
        <v>2028</v>
      </c>
      <c r="E22">
        <f>PEC_Info!E22</f>
        <v>0</v>
      </c>
      <c r="F22" s="372">
        <f xml:space="preserve"> IF(AND(D22 &lt;&gt; 2020, OR(A22 = "NATGAS", A22 = "STEAM_COAL", A22 = "COKING_COAL")), PEC_Info_Scen_assumptions!$B$5, 1) * PEC_Info!F22</f>
        <v>4207.5951387093437</v>
      </c>
      <c r="G22">
        <f>PEC_Info!G22</f>
        <v>0</v>
      </c>
      <c r="H22">
        <f>PEC_Info!H22</f>
        <v>0</v>
      </c>
      <c r="I22" s="372">
        <f xml:space="preserve"> IF(AND(D22 &lt;&gt; 2020, OR(A22 = "NATGAS", A22 = "STEAM_COAL", A22 = "COKING_COAL")), PEC_Info_Scen_assumptions!$B$5, 1) * PEC_Info!I22</f>
        <v>4207.5951387093437</v>
      </c>
      <c r="J22">
        <f>PEC_Info!J22</f>
        <v>0</v>
      </c>
      <c r="K22">
        <f>PEC_Info!K22</f>
        <v>0</v>
      </c>
    </row>
    <row r="23" spans="1:11">
      <c r="A23" t="str">
        <f>PEC_Info!A23</f>
        <v>BIOMASS</v>
      </c>
      <c r="B23" t="str">
        <f>PEC_Info!B23</f>
        <v>INDIA</v>
      </c>
      <c r="C23" t="str">
        <f xml:space="preserve"> IF(ISBLANK(PEC_Info!C23), "", PEC_Info!C23)</f>
        <v/>
      </c>
      <c r="D23">
        <f>PEC_Info!D23</f>
        <v>2029</v>
      </c>
      <c r="E23">
        <f>PEC_Info!E23</f>
        <v>0</v>
      </c>
      <c r="F23" s="372">
        <f xml:space="preserve"> IF(AND(D23 &lt;&gt; 2020, OR(A23 = "NATGAS", A23 = "STEAM_COAL", A23 = "COKING_COAL")), PEC_Info_Scen_assumptions!$B$5, 1) * PEC_Info!F23</f>
        <v>4304.9860993165357</v>
      </c>
      <c r="G23">
        <f>PEC_Info!G23</f>
        <v>0</v>
      </c>
      <c r="H23">
        <f>PEC_Info!H23</f>
        <v>0</v>
      </c>
      <c r="I23" s="372">
        <f xml:space="preserve"> IF(AND(D23 &lt;&gt; 2020, OR(A23 = "NATGAS", A23 = "STEAM_COAL", A23 = "COKING_COAL")), PEC_Info_Scen_assumptions!$B$5, 1) * PEC_Info!I23</f>
        <v>4304.9860993165357</v>
      </c>
      <c r="J23">
        <f>PEC_Info!J23</f>
        <v>0</v>
      </c>
      <c r="K23">
        <f>PEC_Info!K23</f>
        <v>0</v>
      </c>
    </row>
    <row r="24" spans="1:11">
      <c r="A24" t="str">
        <f>PEC_Info!A24</f>
        <v>BIOMASS</v>
      </c>
      <c r="B24" t="str">
        <f>PEC_Info!B24</f>
        <v>INDIA</v>
      </c>
      <c r="C24" t="str">
        <f xml:space="preserve"> IF(ISBLANK(PEC_Info!C24), "", PEC_Info!C24)</f>
        <v/>
      </c>
      <c r="D24">
        <f>PEC_Info!D24</f>
        <v>2030</v>
      </c>
      <c r="E24">
        <f>PEC_Info!E24</f>
        <v>0</v>
      </c>
      <c r="F24" s="372">
        <f xml:space="preserve"> IF(AND(D24 &lt;&gt; 2020, OR(A24 = "NATGAS", A24 = "STEAM_COAL", A24 = "COKING_COAL")), PEC_Info_Scen_assumptions!$B$5, 1) * PEC_Info!F24</f>
        <v>4403.168824805377</v>
      </c>
      <c r="G24">
        <f>PEC_Info!G24</f>
        <v>0</v>
      </c>
      <c r="H24">
        <f>PEC_Info!H24</f>
        <v>0</v>
      </c>
      <c r="I24" s="372">
        <f xml:space="preserve"> IF(AND(D24 &lt;&gt; 2020, OR(A24 = "NATGAS", A24 = "STEAM_COAL", A24 = "COKING_COAL")), PEC_Info_Scen_assumptions!$B$5, 1) * PEC_Info!I24</f>
        <v>4403.168824805377</v>
      </c>
      <c r="J24">
        <f>PEC_Info!J24</f>
        <v>0</v>
      </c>
      <c r="K24">
        <f>PEC_Info!K24</f>
        <v>0</v>
      </c>
    </row>
    <row r="25" spans="1:11">
      <c r="A25" t="str">
        <f>PEC_Info!A25</f>
        <v>BIOMASS</v>
      </c>
      <c r="B25" t="str">
        <f>PEC_Info!B25</f>
        <v>INDIA</v>
      </c>
      <c r="C25" t="str">
        <f xml:space="preserve"> IF(ISBLANK(PEC_Info!C25), "", PEC_Info!C25)</f>
        <v/>
      </c>
      <c r="D25">
        <f>PEC_Info!D25</f>
        <v>2031</v>
      </c>
      <c r="E25">
        <f>PEC_Info!E25</f>
        <v>0</v>
      </c>
      <c r="F25" s="372">
        <f xml:space="preserve"> IF(AND(D25 &lt;&gt; 2020, OR(A25 = "NATGAS", A25 = "STEAM_COAL", A25 = "COKING_COAL")), PEC_Info_Scen_assumptions!$B$5, 1) * PEC_Info!F25</f>
        <v>4502.1157842307348</v>
      </c>
      <c r="G25">
        <f>PEC_Info!G25</f>
        <v>0</v>
      </c>
      <c r="H25">
        <f>PEC_Info!H25</f>
        <v>0</v>
      </c>
      <c r="I25" s="372">
        <f xml:space="preserve"> IF(AND(D25 &lt;&gt; 2020, OR(A25 = "NATGAS", A25 = "STEAM_COAL", A25 = "COKING_COAL")), PEC_Info_Scen_assumptions!$B$5, 1) * PEC_Info!I25</f>
        <v>4502.1157842307348</v>
      </c>
      <c r="J25">
        <f>PEC_Info!J25</f>
        <v>0</v>
      </c>
      <c r="K25">
        <f>PEC_Info!K25</f>
        <v>0</v>
      </c>
    </row>
    <row r="26" spans="1:11">
      <c r="A26" t="str">
        <f>PEC_Info!A26</f>
        <v>BIOGAS</v>
      </c>
      <c r="B26" t="str">
        <f>PEC_Info!B26</f>
        <v>INDIA</v>
      </c>
      <c r="C26" t="str">
        <f xml:space="preserve"> IF(ISBLANK(PEC_Info!C26), "", PEC_Info!C26)</f>
        <v/>
      </c>
      <c r="D26">
        <f>PEC_Info!D26</f>
        <v>2020</v>
      </c>
      <c r="E26">
        <f>PEC_Info!E26</f>
        <v>0</v>
      </c>
      <c r="F26" s="372">
        <f xml:space="preserve"> IF(AND(D26 &lt;&gt; 2020, OR(A26 = "NATGAS", A26 = "STEAM_COAL", A26 = "COKING_COAL")), PEC_Info_Scen_assumptions!$B$5, 1) * PEC_Info!F26</f>
        <v>34767.524479267442</v>
      </c>
      <c r="G26">
        <f>PEC_Info!G26</f>
        <v>0</v>
      </c>
      <c r="H26">
        <f>PEC_Info!H26</f>
        <v>0</v>
      </c>
      <c r="I26" s="372">
        <f xml:space="preserve"> IF(AND(D26 &lt;&gt; 2020, OR(A26 = "NATGAS", A26 = "STEAM_COAL", A26 = "COKING_COAL")), PEC_Info_Scen_assumptions!$B$5, 1) * PEC_Info!I26</f>
        <v>34767.524479267442</v>
      </c>
      <c r="J26">
        <f>PEC_Info!J26</f>
        <v>0</v>
      </c>
      <c r="K26">
        <f>PEC_Info!K26</f>
        <v>0</v>
      </c>
    </row>
    <row r="27" spans="1:11">
      <c r="A27" t="str">
        <f>PEC_Info!A27</f>
        <v>BIOGAS</v>
      </c>
      <c r="B27" t="str">
        <f>PEC_Info!B27</f>
        <v>INDIA</v>
      </c>
      <c r="C27" t="str">
        <f xml:space="preserve"> IF(ISBLANK(PEC_Info!C27), "", PEC_Info!C27)</f>
        <v/>
      </c>
      <c r="D27">
        <f>PEC_Info!D27</f>
        <v>2021</v>
      </c>
      <c r="E27">
        <f>PEC_Info!E27</f>
        <v>0</v>
      </c>
      <c r="F27" s="372">
        <f xml:space="preserve"> IF(AND(D27 &lt;&gt; 2020, OR(A27 = "NATGAS", A27 = "STEAM_COAL", A27 = "COKING_COAL")), PEC_Info_Scen_assumptions!$B$5, 1) * PEC_Info!F27</f>
        <v>35234.01612397367</v>
      </c>
      <c r="G27">
        <f>PEC_Info!G27</f>
        <v>0</v>
      </c>
      <c r="H27">
        <f>PEC_Info!H27</f>
        <v>0</v>
      </c>
      <c r="I27" s="372">
        <f xml:space="preserve"> IF(AND(D27 &lt;&gt; 2020, OR(A27 = "NATGAS", A27 = "STEAM_COAL", A27 = "COKING_COAL")), PEC_Info_Scen_assumptions!$B$5, 1) * PEC_Info!I27</f>
        <v>35234.01612397367</v>
      </c>
      <c r="J27">
        <f>PEC_Info!J27</f>
        <v>0</v>
      </c>
      <c r="K27">
        <f>PEC_Info!K27</f>
        <v>0</v>
      </c>
    </row>
    <row r="28" spans="1:11">
      <c r="A28" t="str">
        <f>PEC_Info!A28</f>
        <v>BIOGAS</v>
      </c>
      <c r="B28" t="str">
        <f>PEC_Info!B28</f>
        <v>INDIA</v>
      </c>
      <c r="C28" t="str">
        <f xml:space="preserve"> IF(ISBLANK(PEC_Info!C28), "", PEC_Info!C28)</f>
        <v/>
      </c>
      <c r="D28">
        <f>PEC_Info!D28</f>
        <v>2022</v>
      </c>
      <c r="E28">
        <f>PEC_Info!E28</f>
        <v>0</v>
      </c>
      <c r="F28" s="372">
        <f xml:space="preserve"> IF(AND(D28 &lt;&gt; 2020, OR(A28 = "NATGAS", A28 = "STEAM_COAL", A28 = "COKING_COAL")), PEC_Info_Scen_assumptions!$B$5, 1) * PEC_Info!F28</f>
        <v>35717.752703644779</v>
      </c>
      <c r="G28">
        <f>PEC_Info!G28</f>
        <v>0</v>
      </c>
      <c r="H28">
        <f>PEC_Info!H28</f>
        <v>0</v>
      </c>
      <c r="I28" s="372">
        <f xml:space="preserve"> IF(AND(D28 &lt;&gt; 2020, OR(A28 = "NATGAS", A28 = "STEAM_COAL", A28 = "COKING_COAL")), PEC_Info_Scen_assumptions!$B$5, 1) * PEC_Info!I28</f>
        <v>35717.752703644779</v>
      </c>
      <c r="J28">
        <f>PEC_Info!J28</f>
        <v>0</v>
      </c>
      <c r="K28">
        <f>PEC_Info!K28</f>
        <v>0</v>
      </c>
    </row>
    <row r="29" spans="1:11">
      <c r="A29" t="str">
        <f>PEC_Info!A29</f>
        <v>BIOGAS</v>
      </c>
      <c r="B29" t="str">
        <f>PEC_Info!B29</f>
        <v>INDIA</v>
      </c>
      <c r="C29" t="str">
        <f xml:space="preserve"> IF(ISBLANK(PEC_Info!C29), "", PEC_Info!C29)</f>
        <v/>
      </c>
      <c r="D29">
        <f>PEC_Info!D29</f>
        <v>2023</v>
      </c>
      <c r="E29">
        <f>PEC_Info!E29</f>
        <v>0</v>
      </c>
      <c r="F29" s="372">
        <f xml:space="preserve"> IF(AND(D29 &lt;&gt; 2020, OR(A29 = "NATGAS", A29 = "STEAM_COAL", A29 = "COKING_COAL")), PEC_Info_Scen_assumptions!$B$5, 1) * PEC_Info!F29</f>
        <v>36188.119143740747</v>
      </c>
      <c r="G29">
        <f>PEC_Info!G29</f>
        <v>0</v>
      </c>
      <c r="H29">
        <f>PEC_Info!H29</f>
        <v>0</v>
      </c>
      <c r="I29" s="372">
        <f xml:space="preserve"> IF(AND(D29 &lt;&gt; 2020, OR(A29 = "NATGAS", A29 = "STEAM_COAL", A29 = "COKING_COAL")), PEC_Info_Scen_assumptions!$B$5, 1) * PEC_Info!I29</f>
        <v>36188.119143740747</v>
      </c>
      <c r="J29">
        <f>PEC_Info!J29</f>
        <v>0</v>
      </c>
      <c r="K29">
        <f>PEC_Info!K29</f>
        <v>0</v>
      </c>
    </row>
    <row r="30" spans="1:11">
      <c r="A30" t="str">
        <f>PEC_Info!A30</f>
        <v>BIOGAS</v>
      </c>
      <c r="B30" t="str">
        <f>PEC_Info!B30</f>
        <v>INDIA</v>
      </c>
      <c r="C30" t="str">
        <f xml:space="preserve"> IF(ISBLANK(PEC_Info!C30), "", PEC_Info!C30)</f>
        <v/>
      </c>
      <c r="D30">
        <f>PEC_Info!D30</f>
        <v>2024</v>
      </c>
      <c r="E30">
        <f>PEC_Info!E30</f>
        <v>0</v>
      </c>
      <c r="F30" s="372">
        <f xml:space="preserve"> IF(AND(D30 &lt;&gt; 2020, OR(A30 = "NATGAS", A30 = "STEAM_COAL", A30 = "COKING_COAL")), PEC_Info_Scen_assumptions!$B$5, 1) * PEC_Info!F30</f>
        <v>36686.91237881624</v>
      </c>
      <c r="G30">
        <f>PEC_Info!G30</f>
        <v>0</v>
      </c>
      <c r="H30">
        <f>PEC_Info!H30</f>
        <v>0</v>
      </c>
      <c r="I30" s="372">
        <f xml:space="preserve"> IF(AND(D30 &lt;&gt; 2020, OR(A30 = "NATGAS", A30 = "STEAM_COAL", A30 = "COKING_COAL")), PEC_Info_Scen_assumptions!$B$5, 1) * PEC_Info!I30</f>
        <v>36686.91237881624</v>
      </c>
      <c r="J30">
        <f>PEC_Info!J30</f>
        <v>0</v>
      </c>
      <c r="K30">
        <f>PEC_Info!K30</f>
        <v>0</v>
      </c>
    </row>
    <row r="31" spans="1:11">
      <c r="A31" t="str">
        <f>PEC_Info!A31</f>
        <v>BIOGAS</v>
      </c>
      <c r="B31" t="str">
        <f>PEC_Info!B31</f>
        <v>INDIA</v>
      </c>
      <c r="C31" t="str">
        <f xml:space="preserve"> IF(ISBLANK(PEC_Info!C31), "", PEC_Info!C31)</f>
        <v/>
      </c>
      <c r="D31">
        <f>PEC_Info!D31</f>
        <v>2025</v>
      </c>
      <c r="E31">
        <f>PEC_Info!E31</f>
        <v>0</v>
      </c>
      <c r="F31" s="372">
        <f xml:space="preserve"> IF(AND(D31 &lt;&gt; 2020, OR(A31 = "NATGAS", A31 = "STEAM_COAL", A31 = "COKING_COAL")), PEC_Info_Scen_assumptions!$B$5, 1) * PEC_Info!F31</f>
        <v>37171.709675763545</v>
      </c>
      <c r="G31">
        <f>PEC_Info!G31</f>
        <v>0</v>
      </c>
      <c r="H31">
        <f>PEC_Info!H31</f>
        <v>0</v>
      </c>
      <c r="I31" s="372">
        <f xml:space="preserve"> IF(AND(D31 &lt;&gt; 2020, OR(A31 = "NATGAS", A31 = "STEAM_COAL", A31 = "COKING_COAL")), PEC_Info_Scen_assumptions!$B$5, 1) * PEC_Info!I31</f>
        <v>37171.709675763545</v>
      </c>
      <c r="J31">
        <f>PEC_Info!J31</f>
        <v>0</v>
      </c>
      <c r="K31">
        <f>PEC_Info!K31</f>
        <v>0</v>
      </c>
    </row>
    <row r="32" spans="1:11">
      <c r="A32" t="str">
        <f>PEC_Info!A32</f>
        <v>BIOGAS</v>
      </c>
      <c r="B32" t="str">
        <f>PEC_Info!B32</f>
        <v>INDIA</v>
      </c>
      <c r="C32" t="str">
        <f xml:space="preserve"> IF(ISBLANK(PEC_Info!C32), "", PEC_Info!C32)</f>
        <v/>
      </c>
      <c r="D32">
        <f>PEC_Info!D32</f>
        <v>2026</v>
      </c>
      <c r="E32">
        <f>PEC_Info!E32</f>
        <v>0</v>
      </c>
      <c r="F32" s="372">
        <f xml:space="preserve"> IF(AND(D32 &lt;&gt; 2020, OR(A32 = "NATGAS", A32 = "STEAM_COAL", A32 = "COKING_COAL")), PEC_Info_Scen_assumptions!$B$5, 1) * PEC_Info!F32</f>
        <v>37675.064498997897</v>
      </c>
      <c r="G32">
        <f>PEC_Info!G32</f>
        <v>0</v>
      </c>
      <c r="H32">
        <f>PEC_Info!H32</f>
        <v>0</v>
      </c>
      <c r="I32" s="372">
        <f xml:space="preserve"> IF(AND(D32 &lt;&gt; 2020, OR(A32 = "NATGAS", A32 = "STEAM_COAL", A32 = "COKING_COAL")), PEC_Info_Scen_assumptions!$B$5, 1) * PEC_Info!I32</f>
        <v>37675.064498997897</v>
      </c>
      <c r="J32">
        <f>PEC_Info!J32</f>
        <v>0</v>
      </c>
      <c r="K32">
        <f>PEC_Info!K32</f>
        <v>0</v>
      </c>
    </row>
    <row r="33" spans="1:11">
      <c r="A33" t="str">
        <f>PEC_Info!A33</f>
        <v>BIOGAS</v>
      </c>
      <c r="B33" t="str">
        <f>PEC_Info!B33</f>
        <v>INDIA</v>
      </c>
      <c r="C33" t="str">
        <f xml:space="preserve"> IF(ISBLANK(PEC_Info!C33), "", PEC_Info!C33)</f>
        <v/>
      </c>
      <c r="D33">
        <f>PEC_Info!D33</f>
        <v>2027</v>
      </c>
      <c r="E33">
        <f>PEC_Info!E33</f>
        <v>0</v>
      </c>
      <c r="F33" s="372">
        <f xml:space="preserve"> IF(AND(D33 &lt;&gt; 2020, OR(A33 = "NATGAS", A33 = "STEAM_COAL", A33 = "COKING_COAL")), PEC_Info_Scen_assumptions!$B$5, 1) * PEC_Info!F33</f>
        <v>38193.576650438154</v>
      </c>
      <c r="G33">
        <f>PEC_Info!G33</f>
        <v>0</v>
      </c>
      <c r="H33">
        <f>PEC_Info!H33</f>
        <v>0</v>
      </c>
      <c r="I33" s="372">
        <f xml:space="preserve"> IF(AND(D33 &lt;&gt; 2020, OR(A33 = "NATGAS", A33 = "STEAM_COAL", A33 = "COKING_COAL")), PEC_Info_Scen_assumptions!$B$5, 1) * PEC_Info!I33</f>
        <v>38193.576650438154</v>
      </c>
      <c r="J33">
        <f>PEC_Info!J33</f>
        <v>0</v>
      </c>
      <c r="K33">
        <f>PEC_Info!K33</f>
        <v>0</v>
      </c>
    </row>
    <row r="34" spans="1:11">
      <c r="A34" t="str">
        <f>PEC_Info!A34</f>
        <v>BIOGAS</v>
      </c>
      <c r="B34" t="str">
        <f>PEC_Info!B34</f>
        <v>INDIA</v>
      </c>
      <c r="C34" t="str">
        <f xml:space="preserve"> IF(ISBLANK(PEC_Info!C34), "", PEC_Info!C34)</f>
        <v/>
      </c>
      <c r="D34">
        <f>PEC_Info!D34</f>
        <v>2028</v>
      </c>
      <c r="E34">
        <f>PEC_Info!E34</f>
        <v>0</v>
      </c>
      <c r="F34" s="372">
        <f xml:space="preserve"> IF(AND(D34 &lt;&gt; 2020, OR(A34 = "NATGAS", A34 = "STEAM_COAL", A34 = "COKING_COAL")), PEC_Info_Scen_assumptions!$B$5, 1) * PEC_Info!F34</f>
        <v>38714.092179236759</v>
      </c>
      <c r="G34">
        <f>PEC_Info!G34</f>
        <v>0</v>
      </c>
      <c r="H34">
        <f>PEC_Info!H34</f>
        <v>0</v>
      </c>
      <c r="I34" s="372">
        <f xml:space="preserve"> IF(AND(D34 &lt;&gt; 2020, OR(A34 = "NATGAS", A34 = "STEAM_COAL", A34 = "COKING_COAL")), PEC_Info_Scen_assumptions!$B$5, 1) * PEC_Info!I34</f>
        <v>38714.092179236759</v>
      </c>
      <c r="J34">
        <f>PEC_Info!J34</f>
        <v>0</v>
      </c>
      <c r="K34">
        <f>PEC_Info!K34</f>
        <v>0</v>
      </c>
    </row>
    <row r="35" spans="1:11">
      <c r="A35" t="str">
        <f>PEC_Info!A35</f>
        <v>BIOGAS</v>
      </c>
      <c r="B35" t="str">
        <f>PEC_Info!B35</f>
        <v>INDIA</v>
      </c>
      <c r="C35" t="str">
        <f xml:space="preserve"> IF(ISBLANK(PEC_Info!C35), "", PEC_Info!C35)</f>
        <v/>
      </c>
      <c r="D35">
        <f>PEC_Info!D35</f>
        <v>2029</v>
      </c>
      <c r="E35">
        <f>PEC_Info!E35</f>
        <v>0</v>
      </c>
      <c r="F35" s="372">
        <f xml:space="preserve"> IF(AND(D35 &lt;&gt; 2020, OR(A35 = "NATGAS", A35 = "STEAM_COAL", A35 = "COKING_COAL")), PEC_Info_Scen_assumptions!$B$5, 1) * PEC_Info!F35</f>
        <v>39242.715647326535</v>
      </c>
      <c r="G35">
        <f>PEC_Info!G35</f>
        <v>0</v>
      </c>
      <c r="H35">
        <f>PEC_Info!H35</f>
        <v>0</v>
      </c>
      <c r="I35" s="372">
        <f xml:space="preserve"> IF(AND(D35 &lt;&gt; 2020, OR(A35 = "NATGAS", A35 = "STEAM_COAL", A35 = "COKING_COAL")), PEC_Info_Scen_assumptions!$B$5, 1) * PEC_Info!I35</f>
        <v>39242.715647326535</v>
      </c>
      <c r="J35">
        <f>PEC_Info!J35</f>
        <v>0</v>
      </c>
      <c r="K35">
        <f>PEC_Info!K35</f>
        <v>0</v>
      </c>
    </row>
    <row r="36" spans="1:11">
      <c r="A36" t="str">
        <f>PEC_Info!A36</f>
        <v>BIOGAS</v>
      </c>
      <c r="B36" t="str">
        <f>PEC_Info!B36</f>
        <v>INDIA</v>
      </c>
      <c r="C36" t="str">
        <f xml:space="preserve"> IF(ISBLANK(PEC_Info!C36), "", PEC_Info!C36)</f>
        <v/>
      </c>
      <c r="D36">
        <f>PEC_Info!D36</f>
        <v>2030</v>
      </c>
      <c r="E36">
        <f>PEC_Info!E36</f>
        <v>0</v>
      </c>
      <c r="F36" s="372">
        <f xml:space="preserve"> IF(AND(D36 &lt;&gt; 2020, OR(A36 = "NATGAS", A36 = "STEAM_COAL", A36 = "COKING_COAL")), PEC_Info_Scen_assumptions!$B$5, 1) * PEC_Info!F36</f>
        <v>39779.527308250777</v>
      </c>
      <c r="G36">
        <f>PEC_Info!G36</f>
        <v>0</v>
      </c>
      <c r="H36">
        <f>PEC_Info!H36</f>
        <v>0</v>
      </c>
      <c r="I36" s="372">
        <f xml:space="preserve"> IF(AND(D36 &lt;&gt; 2020, OR(A36 = "NATGAS", A36 = "STEAM_COAL", A36 = "COKING_COAL")), PEC_Info_Scen_assumptions!$B$5, 1) * PEC_Info!I36</f>
        <v>39779.527308250777</v>
      </c>
      <c r="J36">
        <f>PEC_Info!J36</f>
        <v>0</v>
      </c>
      <c r="K36">
        <f>PEC_Info!K36</f>
        <v>0</v>
      </c>
    </row>
    <row r="37" spans="1:11">
      <c r="A37" t="str">
        <f>PEC_Info!A37</f>
        <v>BIOGAS</v>
      </c>
      <c r="B37" t="str">
        <f>PEC_Info!B37</f>
        <v>INDIA</v>
      </c>
      <c r="C37" t="str">
        <f xml:space="preserve"> IF(ISBLANK(PEC_Info!C37), "", PEC_Info!C37)</f>
        <v/>
      </c>
      <c r="D37">
        <f>PEC_Info!D37</f>
        <v>2031</v>
      </c>
      <c r="E37">
        <f>PEC_Info!E37</f>
        <v>0</v>
      </c>
      <c r="F37" s="372">
        <f xml:space="preserve"> IF(AND(D37 &lt;&gt; 2020, OR(A37 = "NATGAS", A37 = "STEAM_COAL", A37 = "COKING_COAL")), PEC_Info_Scen_assumptions!$B$5, 1) * PEC_Info!F37</f>
        <v>40324.607171760465</v>
      </c>
      <c r="G37">
        <f>PEC_Info!G37</f>
        <v>0</v>
      </c>
      <c r="H37">
        <f>PEC_Info!H37</f>
        <v>0</v>
      </c>
      <c r="I37" s="372">
        <f xml:space="preserve"> IF(AND(D37 &lt;&gt; 2020, OR(A37 = "NATGAS", A37 = "STEAM_COAL", A37 = "COKING_COAL")), PEC_Info_Scen_assumptions!$B$5, 1) * PEC_Info!I37</f>
        <v>40324.607171760465</v>
      </c>
      <c r="J37">
        <f>PEC_Info!J37</f>
        <v>0</v>
      </c>
      <c r="K37">
        <f>PEC_Info!K37</f>
        <v>0</v>
      </c>
    </row>
    <row r="38" spans="1:11">
      <c r="A38" t="str">
        <f>PEC_Info!A38</f>
        <v>NATGAS</v>
      </c>
      <c r="B38" t="str">
        <f>PEC_Info!B38</f>
        <v>INDIA</v>
      </c>
      <c r="C38" t="str">
        <f xml:space="preserve"> IF(ISBLANK(PEC_Info!C38), "", PEC_Info!C38)</f>
        <v/>
      </c>
      <c r="D38">
        <f>PEC_Info!D38</f>
        <v>2020</v>
      </c>
      <c r="E38">
        <f>PEC_Info!E38</f>
        <v>0.36046081315680056</v>
      </c>
      <c r="F38" s="372">
        <f xml:space="preserve"> IF(AND(D38 &lt;&gt; 2020, OR(A38 = "NATGAS", A38 = "STEAM_COAL", A38 = "COKING_COAL")), PEC_Info_Scen_assumptions!$B$5, 1) * PEC_Info!F38</f>
        <v>7824.4999801156382</v>
      </c>
      <c r="G38">
        <f>PEC_Info!G38</f>
        <v>8.7499999999999994E-2</v>
      </c>
      <c r="H38">
        <f>PEC_Info!H38</f>
        <v>0</v>
      </c>
      <c r="I38" s="372">
        <f xml:space="preserve"> IF(AND(D38 &lt;&gt; 2020, OR(A38 = "NATGAS", A38 = "STEAM_COAL", A38 = "COKING_COAL")), PEC_Info_Scen_assumptions!$B$5, 1) * PEC_Info!I38</f>
        <v>19375.903087945066</v>
      </c>
      <c r="J38">
        <f>PEC_Info!J38</f>
        <v>2.5000000000000001E-2</v>
      </c>
      <c r="K38">
        <f>PEC_Info!K38</f>
        <v>0</v>
      </c>
    </row>
    <row r="39" spans="1:11">
      <c r="A39" t="str">
        <f>PEC_Info!A39</f>
        <v>NATGAS</v>
      </c>
      <c r="B39" t="str">
        <f>PEC_Info!B39</f>
        <v>INDIA</v>
      </c>
      <c r="C39" t="str">
        <f xml:space="preserve"> IF(ISBLANK(PEC_Info!C39), "", PEC_Info!C39)</f>
        <v/>
      </c>
      <c r="D39">
        <f>PEC_Info!D39</f>
        <v>2021</v>
      </c>
      <c r="E39">
        <f>PEC_Info!E39</f>
        <v>0.36046081315680056</v>
      </c>
      <c r="F39" s="372">
        <f xml:space="preserve"> IF(AND(D39 &lt;&gt; 2020, OR(A39 = "NATGAS", A39 = "STEAM_COAL", A39 = "COKING_COAL")), PEC_Info_Scen_assumptions!$B$5, 1) * PEC_Info!F39</f>
        <v>9037.2974770335622</v>
      </c>
      <c r="G39">
        <f>PEC_Info!G39</f>
        <v>8.7499999999999994E-2</v>
      </c>
      <c r="H39">
        <f>PEC_Info!H39</f>
        <v>0</v>
      </c>
      <c r="I39" s="372">
        <f xml:space="preserve"> IF(AND(D39 &lt;&gt; 2020, OR(A39 = "NATGAS", A39 = "STEAM_COAL", A39 = "COKING_COAL")), PEC_Info_Scen_assumptions!$B$5, 1) * PEC_Info!I39</f>
        <v>16184.045985924249</v>
      </c>
      <c r="J39">
        <f>PEC_Info!J39</f>
        <v>2.5000000000000001E-2</v>
      </c>
      <c r="K39">
        <f>PEC_Info!K39</f>
        <v>0</v>
      </c>
    </row>
    <row r="40" spans="1:11">
      <c r="A40" t="str">
        <f>PEC_Info!A40</f>
        <v>NATGAS</v>
      </c>
      <c r="B40" t="str">
        <f>PEC_Info!B40</f>
        <v>INDIA</v>
      </c>
      <c r="C40" t="str">
        <f xml:space="preserve"> IF(ISBLANK(PEC_Info!C40), "", PEC_Info!C40)</f>
        <v/>
      </c>
      <c r="D40">
        <f>PEC_Info!D40</f>
        <v>2022</v>
      </c>
      <c r="E40">
        <f>PEC_Info!E40</f>
        <v>0.36046081315680056</v>
      </c>
      <c r="F40" s="372">
        <f xml:space="preserve"> IF(AND(D40 &lt;&gt; 2020, OR(A40 = "NATGAS", A40 = "STEAM_COAL", A40 = "COKING_COAL")), PEC_Info_Scen_assumptions!$B$5, 1) * PEC_Info!F40</f>
        <v>9489.1623508852426</v>
      </c>
      <c r="G40">
        <f>PEC_Info!G40</f>
        <v>8.7499999999999994E-2</v>
      </c>
      <c r="H40">
        <f>PEC_Info!H40</f>
        <v>0</v>
      </c>
      <c r="I40" s="372">
        <f xml:space="preserve"> IF(AND(D40 &lt;&gt; 2020, OR(A40 = "NATGAS", A40 = "STEAM_COAL", A40 = "COKING_COAL")), PEC_Info_Scen_assumptions!$B$5, 1) * PEC_Info!I40</f>
        <v>18725.182758639523</v>
      </c>
      <c r="J40">
        <f>PEC_Info!J40</f>
        <v>2.5000000000000001E-2</v>
      </c>
      <c r="K40">
        <f>PEC_Info!K40</f>
        <v>0</v>
      </c>
    </row>
    <row r="41" spans="1:11">
      <c r="A41" t="str">
        <f>PEC_Info!A41</f>
        <v>NATGAS</v>
      </c>
      <c r="B41" t="str">
        <f>PEC_Info!B41</f>
        <v>INDIA</v>
      </c>
      <c r="C41" t="str">
        <f xml:space="preserve"> IF(ISBLANK(PEC_Info!C41), "", PEC_Info!C41)</f>
        <v/>
      </c>
      <c r="D41">
        <f>PEC_Info!D41</f>
        <v>2023</v>
      </c>
      <c r="E41">
        <f>PEC_Info!E41</f>
        <v>0.36046081315680056</v>
      </c>
      <c r="F41" s="372">
        <f xml:space="preserve"> IF(AND(D41 &lt;&gt; 2020, OR(A41 = "NATGAS", A41 = "STEAM_COAL", A41 = "COKING_COAL")), PEC_Info_Scen_assumptions!$B$5, 1) * PEC_Info!F41</f>
        <v>9963.6204684295044</v>
      </c>
      <c r="G41">
        <f>PEC_Info!G41</f>
        <v>8.7499999999999994E-2</v>
      </c>
      <c r="H41">
        <f>PEC_Info!H41</f>
        <v>0</v>
      </c>
      <c r="I41" s="372">
        <f xml:space="preserve"> IF(AND(D41 &lt;&gt; 2020, OR(A41 = "NATGAS", A41 = "STEAM_COAL", A41 = "COKING_COAL")), PEC_Info_Scen_assumptions!$B$5, 1) * PEC_Info!I41</f>
        <v>19225.342245482134</v>
      </c>
      <c r="J41">
        <f>PEC_Info!J41</f>
        <v>2.5000000000000001E-2</v>
      </c>
      <c r="K41">
        <f>PEC_Info!K41</f>
        <v>0</v>
      </c>
    </row>
    <row r="42" spans="1:11">
      <c r="A42" t="str">
        <f>PEC_Info!A42</f>
        <v>NATGAS</v>
      </c>
      <c r="B42" t="str">
        <f>PEC_Info!B42</f>
        <v>INDIA</v>
      </c>
      <c r="C42" t="str">
        <f xml:space="preserve"> IF(ISBLANK(PEC_Info!C42), "", PEC_Info!C42)</f>
        <v/>
      </c>
      <c r="D42">
        <f>PEC_Info!D42</f>
        <v>2024</v>
      </c>
      <c r="E42">
        <f>PEC_Info!E42</f>
        <v>0.36046081315680056</v>
      </c>
      <c r="F42" s="372">
        <f xml:space="preserve"> IF(AND(D42 &lt;&gt; 2020, OR(A42 = "NATGAS", A42 = "STEAM_COAL", A42 = "COKING_COAL")), PEC_Info_Scen_assumptions!$B$5, 1) * PEC_Info!F42</f>
        <v>10461.80149185098</v>
      </c>
      <c r="G42">
        <f>PEC_Info!G42</f>
        <v>8.7499999999999994E-2</v>
      </c>
      <c r="H42">
        <f>PEC_Info!H42</f>
        <v>0</v>
      </c>
      <c r="I42" s="372">
        <f xml:space="preserve"> IF(AND(D42 &lt;&gt; 2020, OR(A42 = "NATGAS", A42 = "STEAM_COAL", A42 = "COKING_COAL")), PEC_Info_Scen_assumptions!$B$5, 1) * PEC_Info!I42</f>
        <v>19738.018038694987</v>
      </c>
      <c r="J42">
        <f>PEC_Info!J42</f>
        <v>2.5000000000000001E-2</v>
      </c>
      <c r="K42">
        <f>PEC_Info!K42</f>
        <v>0</v>
      </c>
    </row>
    <row r="43" spans="1:11">
      <c r="A43" t="str">
        <f>PEC_Info!A43</f>
        <v>NATGAS</v>
      </c>
      <c r="B43" t="str">
        <f>PEC_Info!B43</f>
        <v>INDIA</v>
      </c>
      <c r="C43" t="str">
        <f xml:space="preserve"> IF(ISBLANK(PEC_Info!C43), "", PEC_Info!C43)</f>
        <v/>
      </c>
      <c r="D43">
        <f>PEC_Info!D43</f>
        <v>2025</v>
      </c>
      <c r="E43">
        <f>PEC_Info!E43</f>
        <v>0.36046081315680056</v>
      </c>
      <c r="F43" s="372">
        <f xml:space="preserve"> IF(AND(D43 &lt;&gt; 2020, OR(A43 = "NATGAS", A43 = "STEAM_COAL", A43 = "COKING_COAL")), PEC_Info_Scen_assumptions!$B$5, 1) * PEC_Info!F43</f>
        <v>10984.89156644353</v>
      </c>
      <c r="G43">
        <f>PEC_Info!G43</f>
        <v>8.7499999999999994E-2</v>
      </c>
      <c r="H43">
        <f>PEC_Info!H43</f>
        <v>0</v>
      </c>
      <c r="I43" s="372">
        <f xml:space="preserve"> IF(AND(D43 &lt;&gt; 2020, OR(A43 = "NATGAS", A43 = "STEAM_COAL", A43 = "COKING_COAL")), PEC_Info_Scen_assumptions!$B$5, 1) * PEC_Info!I43</f>
        <v>20263.510726738172</v>
      </c>
      <c r="J43">
        <f>PEC_Info!J43</f>
        <v>2.5000000000000001E-2</v>
      </c>
      <c r="K43">
        <f>PEC_Info!K43</f>
        <v>0</v>
      </c>
    </row>
    <row r="44" spans="1:11">
      <c r="A44" t="str">
        <f>PEC_Info!A44</f>
        <v>NATGAS</v>
      </c>
      <c r="B44" t="str">
        <f>PEC_Info!B44</f>
        <v>INDIA</v>
      </c>
      <c r="C44" t="str">
        <f xml:space="preserve"> IF(ISBLANK(PEC_Info!C44), "", PEC_Info!C44)</f>
        <v/>
      </c>
      <c r="D44">
        <f>PEC_Info!D44</f>
        <v>2026</v>
      </c>
      <c r="E44">
        <f>PEC_Info!E44</f>
        <v>0.36046081315680056</v>
      </c>
      <c r="F44" s="372">
        <f xml:space="preserve"> IF(AND(D44 &lt;&gt; 2020, OR(A44 = "NATGAS", A44 = "STEAM_COAL", A44 = "COKING_COAL")), PEC_Info_Scen_assumptions!$B$5, 1) * PEC_Info!F44</f>
        <v>11534.136144765705</v>
      </c>
      <c r="G44">
        <f>PEC_Info!G44</f>
        <v>8.7499999999999994E-2</v>
      </c>
      <c r="H44">
        <f>PEC_Info!H44</f>
        <v>0</v>
      </c>
      <c r="I44" s="372">
        <f xml:space="preserve"> IF(AND(D44 &lt;&gt; 2020, OR(A44 = "NATGAS", A44 = "STEAM_COAL", A44 = "COKING_COAL")), PEC_Info_Scen_assumptions!$B$5, 1) * PEC_Info!I44</f>
        <v>20802.127915087596</v>
      </c>
      <c r="J44">
        <f>PEC_Info!J44</f>
        <v>2.5000000000000001E-2</v>
      </c>
      <c r="K44">
        <f>PEC_Info!K44</f>
        <v>0</v>
      </c>
    </row>
    <row r="45" spans="1:11">
      <c r="A45" t="str">
        <f>PEC_Info!A45</f>
        <v>NATGAS</v>
      </c>
      <c r="B45" t="str">
        <f>PEC_Info!B45</f>
        <v>INDIA</v>
      </c>
      <c r="C45" t="str">
        <f xml:space="preserve"> IF(ISBLANK(PEC_Info!C45), "", PEC_Info!C45)</f>
        <v/>
      </c>
      <c r="D45">
        <f>PEC_Info!D45</f>
        <v>2027</v>
      </c>
      <c r="E45">
        <f>PEC_Info!E45</f>
        <v>0.36046081315680056</v>
      </c>
      <c r="F45" s="372">
        <f xml:space="preserve"> IF(AND(D45 &lt;&gt; 2020, OR(A45 = "NATGAS", A45 = "STEAM_COAL", A45 = "COKING_COAL")), PEC_Info_Scen_assumptions!$B$5, 1) * PEC_Info!F45</f>
        <v>12110.842952003992</v>
      </c>
      <c r="G45">
        <f>PEC_Info!G45</f>
        <v>8.7499999999999994E-2</v>
      </c>
      <c r="H45">
        <f>PEC_Info!H45</f>
        <v>0</v>
      </c>
      <c r="I45" s="372">
        <f xml:space="preserve"> IF(AND(D45 &lt;&gt; 2020, OR(A45 = "NATGAS", A45 = "STEAM_COAL", A45 = "COKING_COAL")), PEC_Info_Scen_assumptions!$B$5, 1) * PEC_Info!I45</f>
        <v>21457.53371192074</v>
      </c>
      <c r="J45">
        <f>PEC_Info!J45</f>
        <v>2.5000000000000001E-2</v>
      </c>
      <c r="K45">
        <f>PEC_Info!K45</f>
        <v>0</v>
      </c>
    </row>
    <row r="46" spans="1:11">
      <c r="A46" t="str">
        <f>PEC_Info!A46</f>
        <v>NATGAS</v>
      </c>
      <c r="B46" t="str">
        <f>PEC_Info!B46</f>
        <v>INDIA</v>
      </c>
      <c r="C46" t="str">
        <f xml:space="preserve"> IF(ISBLANK(PEC_Info!C46), "", PEC_Info!C46)</f>
        <v/>
      </c>
      <c r="D46">
        <f>PEC_Info!D46</f>
        <v>2028</v>
      </c>
      <c r="E46">
        <f>PEC_Info!E46</f>
        <v>0.36046081315680056</v>
      </c>
      <c r="F46" s="372">
        <f xml:space="preserve"> IF(AND(D46 &lt;&gt; 2020, OR(A46 = "NATGAS", A46 = "STEAM_COAL", A46 = "COKING_COAL")), PEC_Info_Scen_assumptions!$B$5, 1) * PEC_Info!F46</f>
        <v>12716.385099604193</v>
      </c>
      <c r="G46">
        <f>PEC_Info!G46</f>
        <v>8.7499999999999994E-2</v>
      </c>
      <c r="H46">
        <f>PEC_Info!H46</f>
        <v>0</v>
      </c>
      <c r="I46" s="372">
        <f xml:space="preserve"> IF(AND(D46 &lt;&gt; 2020, OR(A46 = "NATGAS", A46 = "STEAM_COAL", A46 = "COKING_COAL")), PEC_Info_Scen_assumptions!$B$5, 1) * PEC_Info!I46</f>
        <v>22133.589163456323</v>
      </c>
      <c r="J46">
        <f>PEC_Info!J46</f>
        <v>2.5000000000000001E-2</v>
      </c>
      <c r="K46">
        <f>PEC_Info!K46</f>
        <v>0</v>
      </c>
    </row>
    <row r="47" spans="1:11">
      <c r="A47" t="str">
        <f>PEC_Info!A47</f>
        <v>NATGAS</v>
      </c>
      <c r="B47" t="str">
        <f>PEC_Info!B47</f>
        <v>INDIA</v>
      </c>
      <c r="C47" t="str">
        <f xml:space="preserve"> IF(ISBLANK(PEC_Info!C47), "", PEC_Info!C47)</f>
        <v/>
      </c>
      <c r="D47">
        <f>PEC_Info!D47</f>
        <v>2029</v>
      </c>
      <c r="E47">
        <f>PEC_Info!E47</f>
        <v>0.36046081315680056</v>
      </c>
      <c r="F47" s="372">
        <f xml:space="preserve"> IF(AND(D47 &lt;&gt; 2020, OR(A47 = "NATGAS", A47 = "STEAM_COAL", A47 = "COKING_COAL")), PEC_Info_Scen_assumptions!$B$5, 1) * PEC_Info!F47</f>
        <v>13352.204354584404</v>
      </c>
      <c r="G47">
        <f>PEC_Info!G47</f>
        <v>8.7499999999999994E-2</v>
      </c>
      <c r="H47">
        <f>PEC_Info!H47</f>
        <v>0</v>
      </c>
      <c r="I47" s="372">
        <f xml:space="preserve"> IF(AND(D47 &lt;&gt; 2020, OR(A47 = "NATGAS", A47 = "STEAM_COAL", A47 = "COKING_COAL")), PEC_Info_Scen_assumptions!$B$5, 1) * PEC_Info!I47</f>
        <v>22830.944871567855</v>
      </c>
      <c r="J47">
        <f>PEC_Info!J47</f>
        <v>2.5000000000000001E-2</v>
      </c>
      <c r="K47">
        <f>PEC_Info!K47</f>
        <v>0</v>
      </c>
    </row>
    <row r="48" spans="1:11">
      <c r="A48" t="str">
        <f>PEC_Info!A48</f>
        <v>NATGAS</v>
      </c>
      <c r="B48" t="str">
        <f>PEC_Info!B48</f>
        <v>INDIA</v>
      </c>
      <c r="C48" t="str">
        <f xml:space="preserve"> IF(ISBLANK(PEC_Info!C48), "", PEC_Info!C48)</f>
        <v/>
      </c>
      <c r="D48">
        <f>PEC_Info!D48</f>
        <v>2030</v>
      </c>
      <c r="E48">
        <f>PEC_Info!E48</f>
        <v>0.36046081315680056</v>
      </c>
      <c r="F48" s="372">
        <f xml:space="preserve"> IF(AND(D48 &lt;&gt; 2020, OR(A48 = "NATGAS", A48 = "STEAM_COAL", A48 = "COKING_COAL")), PEC_Info_Scen_assumptions!$B$5, 1) * PEC_Info!F48</f>
        <v>14019.814572313626</v>
      </c>
      <c r="G48">
        <f>PEC_Info!G48</f>
        <v>8.7499999999999994E-2</v>
      </c>
      <c r="H48">
        <f>PEC_Info!H48</f>
        <v>0</v>
      </c>
      <c r="I48" s="372">
        <f xml:space="preserve"> IF(AND(D48 &lt;&gt; 2020, OR(A48 = "NATGAS", A48 = "STEAM_COAL", A48 = "COKING_COAL")), PEC_Info_Scen_assumptions!$B$5, 1) * PEC_Info!I48</f>
        <v>23550.271936427922</v>
      </c>
      <c r="J48">
        <f>PEC_Info!J48</f>
        <v>2.5000000000000001E-2</v>
      </c>
      <c r="K48">
        <f>PEC_Info!K48</f>
        <v>0</v>
      </c>
    </row>
    <row r="49" spans="1:11">
      <c r="A49" t="str">
        <f>PEC_Info!A49</f>
        <v>NATGAS</v>
      </c>
      <c r="B49" t="str">
        <f>PEC_Info!B49</f>
        <v>INDIA</v>
      </c>
      <c r="C49" t="str">
        <f xml:space="preserve"> IF(ISBLANK(PEC_Info!C49), "", PEC_Info!C49)</f>
        <v/>
      </c>
      <c r="D49">
        <f>PEC_Info!D49</f>
        <v>2031</v>
      </c>
      <c r="E49">
        <f>PEC_Info!E49</f>
        <v>0.36046081315680056</v>
      </c>
      <c r="F49" s="372">
        <f xml:space="preserve"> IF(AND(D49 &lt;&gt; 2020, OR(A49 = "NATGAS", A49 = "STEAM_COAL", A49 = "COKING_COAL")), PEC_Info_Scen_assumptions!$B$5, 1) * PEC_Info!F49</f>
        <v>14720.805300929307</v>
      </c>
      <c r="G49">
        <f>PEC_Info!G49</f>
        <v>8.7499999999999994E-2</v>
      </c>
      <c r="H49">
        <f>PEC_Info!H49</f>
        <v>0</v>
      </c>
      <c r="I49" s="372">
        <f xml:space="preserve"> IF(AND(D49 &lt;&gt; 2020, OR(A49 = "NATGAS", A49 = "STEAM_COAL", A49 = "COKING_COAL")), PEC_Info_Scen_assumptions!$B$5, 1) * PEC_Info!I49</f>
        <v>24292.262602341332</v>
      </c>
      <c r="J49">
        <f>PEC_Info!J49</f>
        <v>2.5000000000000001E-2</v>
      </c>
      <c r="K49">
        <f>PEC_Info!K49</f>
        <v>0</v>
      </c>
    </row>
    <row r="50" spans="1:11">
      <c r="A50" t="str">
        <f>PEC_Info!A50</f>
        <v>STEAM_COAL</v>
      </c>
      <c r="B50" t="str">
        <f>PEC_Info!B50</f>
        <v>INDIA</v>
      </c>
      <c r="C50" t="str">
        <f xml:space="preserve"> IF(ISBLANK(PEC_Info!C50), "", PEC_Info!C50)</f>
        <v>ER</v>
      </c>
      <c r="D50">
        <f>PEC_Info!D50</f>
        <v>2020</v>
      </c>
      <c r="E50">
        <f>PEC_Info!E50</f>
        <v>0</v>
      </c>
      <c r="F50" s="372">
        <f xml:space="preserve"> IF(AND(D50 &lt;&gt; 2020, OR(A50 = "NATGAS", A50 = "STEAM_COAL", A50 = "COKING_COAL")), PEC_Info_Scen_assumptions!$B$5, 1) * PEC_Info!F50</f>
        <v>1157.5416897280861</v>
      </c>
      <c r="G50">
        <f>PEC_Info!G50</f>
        <v>0.2208</v>
      </c>
      <c r="H50">
        <f>PEC_Info!H50</f>
        <v>400</v>
      </c>
      <c r="I50" s="372">
        <f xml:space="preserve"> IF(AND(D50 &lt;&gt; 2020, OR(A50 = "NATGAS", A50 = "STEAM_COAL", A50 = "COKING_COAL")), PEC_Info_Scen_assumptions!$B$5, 1) * PEC_Info!I50</f>
        <v>4493.1282858430641</v>
      </c>
      <c r="J50">
        <f>PEC_Info!J50</f>
        <v>0.15000000000000002</v>
      </c>
      <c r="K50">
        <f>PEC_Info!K50</f>
        <v>400</v>
      </c>
    </row>
    <row r="51" spans="1:11">
      <c r="A51" t="str">
        <f>PEC_Info!A51</f>
        <v>STEAM_COAL</v>
      </c>
      <c r="B51" t="str">
        <f>PEC_Info!B51</f>
        <v>INDIA</v>
      </c>
      <c r="C51" t="str">
        <f xml:space="preserve"> IF(ISBLANK(PEC_Info!C51), "", PEC_Info!C51)</f>
        <v>WR</v>
      </c>
      <c r="D51">
        <f>PEC_Info!D51</f>
        <v>2020</v>
      </c>
      <c r="E51">
        <f>PEC_Info!E51</f>
        <v>0</v>
      </c>
      <c r="F51" s="372">
        <f xml:space="preserve"> IF(AND(D51 &lt;&gt; 2020, OR(A51 = "NATGAS", A51 = "STEAM_COAL", A51 = "COKING_COAL")), PEC_Info_Scen_assumptions!$B$5, 1) * PEC_Info!F51</f>
        <v>1157.5416897280861</v>
      </c>
      <c r="G51">
        <f>PEC_Info!G51</f>
        <v>0.2208</v>
      </c>
      <c r="H51">
        <f>PEC_Info!H51</f>
        <v>400</v>
      </c>
      <c r="I51" s="372">
        <f xml:space="preserve"> IF(AND(D51 &lt;&gt; 2020, OR(A51 = "NATGAS", A51 = "STEAM_COAL", A51 = "COKING_COAL")), PEC_Info_Scen_assumptions!$B$5, 1) * PEC_Info!I51</f>
        <v>4493.1282858430641</v>
      </c>
      <c r="J51">
        <f>PEC_Info!J51</f>
        <v>0.15000000000000002</v>
      </c>
      <c r="K51">
        <f>PEC_Info!K51</f>
        <v>400</v>
      </c>
    </row>
    <row r="52" spans="1:11">
      <c r="A52" t="str">
        <f>PEC_Info!A52</f>
        <v>STEAM_COAL</v>
      </c>
      <c r="B52" t="str">
        <f>PEC_Info!B52</f>
        <v>INDIA</v>
      </c>
      <c r="C52" t="str">
        <f xml:space="preserve"> IF(ISBLANK(PEC_Info!C52), "", PEC_Info!C52)</f>
        <v>NR</v>
      </c>
      <c r="D52">
        <f>PEC_Info!D52</f>
        <v>2020</v>
      </c>
      <c r="E52">
        <f>PEC_Info!E52</f>
        <v>0</v>
      </c>
      <c r="F52" s="372">
        <f xml:space="preserve"> IF(AND(D52 &lt;&gt; 2020, OR(A52 = "NATGAS", A52 = "STEAM_COAL", A52 = "COKING_COAL")), PEC_Info_Scen_assumptions!$B$5, 1) * PEC_Info!F52</f>
        <v>1157.5416897280861</v>
      </c>
      <c r="G52">
        <f>PEC_Info!G52</f>
        <v>0.2208</v>
      </c>
      <c r="H52">
        <f>PEC_Info!H52</f>
        <v>400</v>
      </c>
      <c r="I52" s="372">
        <f xml:space="preserve"> IF(AND(D52 &lt;&gt; 2020, OR(A52 = "NATGAS", A52 = "STEAM_COAL", A52 = "COKING_COAL")), PEC_Info_Scen_assumptions!$B$5, 1) * PEC_Info!I52</f>
        <v>4493.1282858430641</v>
      </c>
      <c r="J52">
        <f>PEC_Info!J52</f>
        <v>0.15000000000000002</v>
      </c>
      <c r="K52">
        <f>PEC_Info!K52</f>
        <v>400</v>
      </c>
    </row>
    <row r="53" spans="1:11">
      <c r="A53" t="str">
        <f>PEC_Info!A53</f>
        <v>STEAM_COAL</v>
      </c>
      <c r="B53" t="str">
        <f>PEC_Info!B53</f>
        <v>INDIA</v>
      </c>
      <c r="C53" t="str">
        <f xml:space="preserve"> IF(ISBLANK(PEC_Info!C53), "", PEC_Info!C53)</f>
        <v>SR</v>
      </c>
      <c r="D53">
        <f>PEC_Info!D53</f>
        <v>2020</v>
      </c>
      <c r="E53">
        <f>PEC_Info!E53</f>
        <v>0</v>
      </c>
      <c r="F53" s="372">
        <f xml:space="preserve"> IF(AND(D53 &lt;&gt; 2020, OR(A53 = "NATGAS", A53 = "STEAM_COAL", A53 = "COKING_COAL")), PEC_Info_Scen_assumptions!$B$5, 1) * PEC_Info!F53</f>
        <v>1157.5416897280861</v>
      </c>
      <c r="G53">
        <f>PEC_Info!G53</f>
        <v>0.2208</v>
      </c>
      <c r="H53">
        <f>PEC_Info!H53</f>
        <v>400</v>
      </c>
      <c r="I53" s="372">
        <f xml:space="preserve"> IF(AND(D53 &lt;&gt; 2020, OR(A53 = "NATGAS", A53 = "STEAM_COAL", A53 = "COKING_COAL")), PEC_Info_Scen_assumptions!$B$5, 1) * PEC_Info!I53</f>
        <v>4493.1282858430641</v>
      </c>
      <c r="J53">
        <f>PEC_Info!J53</f>
        <v>0.15000000000000002</v>
      </c>
      <c r="K53">
        <f>PEC_Info!K53</f>
        <v>400</v>
      </c>
    </row>
    <row r="54" spans="1:11">
      <c r="A54" t="str">
        <f>PEC_Info!A54</f>
        <v>STEAM_COAL</v>
      </c>
      <c r="B54" t="str">
        <f>PEC_Info!B54</f>
        <v>INDIA</v>
      </c>
      <c r="C54" t="str">
        <f xml:space="preserve"> IF(ISBLANK(PEC_Info!C54), "", PEC_Info!C54)</f>
        <v>NER</v>
      </c>
      <c r="D54">
        <f>PEC_Info!D54</f>
        <v>2020</v>
      </c>
      <c r="E54">
        <f>PEC_Info!E54</f>
        <v>0</v>
      </c>
      <c r="F54" s="372">
        <f xml:space="preserve"> IF(AND(D54 &lt;&gt; 2020, OR(A54 = "NATGAS", A54 = "STEAM_COAL", A54 = "COKING_COAL")), PEC_Info_Scen_assumptions!$B$5, 1) * PEC_Info!F54</f>
        <v>1157.5416897280861</v>
      </c>
      <c r="G54">
        <f>PEC_Info!G54</f>
        <v>0.2208</v>
      </c>
      <c r="H54">
        <f>PEC_Info!H54</f>
        <v>400</v>
      </c>
      <c r="I54" s="372">
        <f xml:space="preserve"> IF(AND(D54 &lt;&gt; 2020, OR(A54 = "NATGAS", A54 = "STEAM_COAL", A54 = "COKING_COAL")), PEC_Info_Scen_assumptions!$B$5, 1) * PEC_Info!I54</f>
        <v>4493.1282858430641</v>
      </c>
      <c r="J54">
        <f>PEC_Info!J54</f>
        <v>0.15000000000000002</v>
      </c>
      <c r="K54">
        <f>PEC_Info!K54</f>
        <v>400</v>
      </c>
    </row>
    <row r="55" spans="1:11">
      <c r="A55" t="str">
        <f>PEC_Info!A55</f>
        <v>STEAM_COAL</v>
      </c>
      <c r="B55" t="str">
        <f>PEC_Info!B55</f>
        <v>INDIA</v>
      </c>
      <c r="C55" t="str">
        <f xml:space="preserve"> IF(ISBLANK(PEC_Info!C55), "", PEC_Info!C55)</f>
        <v>ER</v>
      </c>
      <c r="D55">
        <f>PEC_Info!D55</f>
        <v>2021</v>
      </c>
      <c r="E55">
        <f>PEC_Info!E55</f>
        <v>0</v>
      </c>
      <c r="F55" s="372">
        <f xml:space="preserve"> IF(AND(D55 &lt;&gt; 2020, OR(A55 = "NATGAS", A55 = "STEAM_COAL", A55 = "COKING_COAL")), PEC_Info_Scen_assumptions!$B$5, 1) * PEC_Info!F55</f>
        <v>1286.0288172879036</v>
      </c>
      <c r="G55">
        <f>PEC_Info!G55</f>
        <v>0.2208</v>
      </c>
      <c r="H55">
        <f>PEC_Info!H55</f>
        <v>400</v>
      </c>
      <c r="I55" s="372">
        <f xml:space="preserve"> IF(AND(D55 &lt;&gt; 2020, OR(A55 = "NATGAS", A55 = "STEAM_COAL", A55 = "COKING_COAL")), PEC_Info_Scen_assumptions!$B$5, 1) * PEC_Info!I55</f>
        <v>3721.4119839358882</v>
      </c>
      <c r="J55">
        <f>PEC_Info!J55</f>
        <v>0.15000000000000002</v>
      </c>
      <c r="K55">
        <f>PEC_Info!K55</f>
        <v>400</v>
      </c>
    </row>
    <row r="56" spans="1:11">
      <c r="A56" t="str">
        <f>PEC_Info!A56</f>
        <v>STEAM_COAL</v>
      </c>
      <c r="B56" t="str">
        <f>PEC_Info!B56</f>
        <v>INDIA</v>
      </c>
      <c r="C56" t="str">
        <f xml:space="preserve"> IF(ISBLANK(PEC_Info!C56), "", PEC_Info!C56)</f>
        <v>WR</v>
      </c>
      <c r="D56">
        <f>PEC_Info!D56</f>
        <v>2021</v>
      </c>
      <c r="E56">
        <f>PEC_Info!E56</f>
        <v>0</v>
      </c>
      <c r="F56" s="372">
        <f xml:space="preserve"> IF(AND(D56 &lt;&gt; 2020, OR(A56 = "NATGAS", A56 = "STEAM_COAL", A56 = "COKING_COAL")), PEC_Info_Scen_assumptions!$B$5, 1) * PEC_Info!F56</f>
        <v>1286.0288172879036</v>
      </c>
      <c r="G56">
        <f>PEC_Info!G56</f>
        <v>0.2208</v>
      </c>
      <c r="H56">
        <f>PEC_Info!H56</f>
        <v>400</v>
      </c>
      <c r="I56" s="372">
        <f xml:space="preserve"> IF(AND(D56 &lt;&gt; 2020, OR(A56 = "NATGAS", A56 = "STEAM_COAL", A56 = "COKING_COAL")), PEC_Info_Scen_assumptions!$B$5, 1) * PEC_Info!I56</f>
        <v>3721.4119839358882</v>
      </c>
      <c r="J56">
        <f>PEC_Info!J56</f>
        <v>0.15000000000000002</v>
      </c>
      <c r="K56">
        <f>PEC_Info!K56</f>
        <v>400</v>
      </c>
    </row>
    <row r="57" spans="1:11">
      <c r="A57" t="str">
        <f>PEC_Info!A57</f>
        <v>STEAM_COAL</v>
      </c>
      <c r="B57" t="str">
        <f>PEC_Info!B57</f>
        <v>INDIA</v>
      </c>
      <c r="C57" t="str">
        <f xml:space="preserve"> IF(ISBLANK(PEC_Info!C57), "", PEC_Info!C57)</f>
        <v>NR</v>
      </c>
      <c r="D57">
        <f>PEC_Info!D57</f>
        <v>2021</v>
      </c>
      <c r="E57">
        <f>PEC_Info!E57</f>
        <v>0</v>
      </c>
      <c r="F57" s="372">
        <f xml:space="preserve"> IF(AND(D57 &lt;&gt; 2020, OR(A57 = "NATGAS", A57 = "STEAM_COAL", A57 = "COKING_COAL")), PEC_Info_Scen_assumptions!$B$5, 1) * PEC_Info!F57</f>
        <v>1286.0288172879036</v>
      </c>
      <c r="G57">
        <f>PEC_Info!G57</f>
        <v>0.2208</v>
      </c>
      <c r="H57">
        <f>PEC_Info!H57</f>
        <v>400</v>
      </c>
      <c r="I57" s="372">
        <f xml:space="preserve"> IF(AND(D57 &lt;&gt; 2020, OR(A57 = "NATGAS", A57 = "STEAM_COAL", A57 = "COKING_COAL")), PEC_Info_Scen_assumptions!$B$5, 1) * PEC_Info!I57</f>
        <v>3721.4119839358882</v>
      </c>
      <c r="J57">
        <f>PEC_Info!J57</f>
        <v>0.15000000000000002</v>
      </c>
      <c r="K57">
        <f>PEC_Info!K57</f>
        <v>400</v>
      </c>
    </row>
    <row r="58" spans="1:11">
      <c r="A58" t="str">
        <f>PEC_Info!A58</f>
        <v>STEAM_COAL</v>
      </c>
      <c r="B58" t="str">
        <f>PEC_Info!B58</f>
        <v>INDIA</v>
      </c>
      <c r="C58" t="str">
        <f xml:space="preserve"> IF(ISBLANK(PEC_Info!C58), "", PEC_Info!C58)</f>
        <v>SR</v>
      </c>
      <c r="D58">
        <f>PEC_Info!D58</f>
        <v>2021</v>
      </c>
      <c r="E58">
        <f>PEC_Info!E58</f>
        <v>0</v>
      </c>
      <c r="F58" s="372">
        <f xml:space="preserve"> IF(AND(D58 &lt;&gt; 2020, OR(A58 = "NATGAS", A58 = "STEAM_COAL", A58 = "COKING_COAL")), PEC_Info_Scen_assumptions!$B$5, 1) * PEC_Info!F58</f>
        <v>1286.0288172879036</v>
      </c>
      <c r="G58">
        <f>PEC_Info!G58</f>
        <v>0.2208</v>
      </c>
      <c r="H58">
        <f>PEC_Info!H58</f>
        <v>400</v>
      </c>
      <c r="I58" s="372">
        <f xml:space="preserve"> IF(AND(D58 &lt;&gt; 2020, OR(A58 = "NATGAS", A58 = "STEAM_COAL", A58 = "COKING_COAL")), PEC_Info_Scen_assumptions!$B$5, 1) * PEC_Info!I58</f>
        <v>3721.4119839358882</v>
      </c>
      <c r="J58">
        <f>PEC_Info!J58</f>
        <v>0.15000000000000002</v>
      </c>
      <c r="K58">
        <f>PEC_Info!K58</f>
        <v>400</v>
      </c>
    </row>
    <row r="59" spans="1:11">
      <c r="A59" t="str">
        <f>PEC_Info!A59</f>
        <v>STEAM_COAL</v>
      </c>
      <c r="B59" t="str">
        <f>PEC_Info!B59</f>
        <v>INDIA</v>
      </c>
      <c r="C59" t="str">
        <f xml:space="preserve"> IF(ISBLANK(PEC_Info!C59), "", PEC_Info!C59)</f>
        <v>NER</v>
      </c>
      <c r="D59">
        <f>PEC_Info!D59</f>
        <v>2021</v>
      </c>
      <c r="E59">
        <f>PEC_Info!E59</f>
        <v>0</v>
      </c>
      <c r="F59" s="372">
        <f xml:space="preserve"> IF(AND(D59 &lt;&gt; 2020, OR(A59 = "NATGAS", A59 = "STEAM_COAL", A59 = "COKING_COAL")), PEC_Info_Scen_assumptions!$B$5, 1) * PEC_Info!F59</f>
        <v>1286.0288172879036</v>
      </c>
      <c r="G59">
        <f>PEC_Info!G59</f>
        <v>0.2208</v>
      </c>
      <c r="H59">
        <f>PEC_Info!H59</f>
        <v>400</v>
      </c>
      <c r="I59" s="372">
        <f xml:space="preserve"> IF(AND(D59 &lt;&gt; 2020, OR(A59 = "NATGAS", A59 = "STEAM_COAL", A59 = "COKING_COAL")), PEC_Info_Scen_assumptions!$B$5, 1) * PEC_Info!I59</f>
        <v>3721.4119839358882</v>
      </c>
      <c r="J59">
        <f>PEC_Info!J59</f>
        <v>0.15000000000000002</v>
      </c>
      <c r="K59">
        <f>PEC_Info!K59</f>
        <v>400</v>
      </c>
    </row>
    <row r="60" spans="1:11">
      <c r="A60" t="str">
        <f>PEC_Info!A60</f>
        <v>STEAM_COAL</v>
      </c>
      <c r="B60" t="str">
        <f>PEC_Info!B60</f>
        <v>INDIA</v>
      </c>
      <c r="C60" t="str">
        <f xml:space="preserve"> IF(ISBLANK(PEC_Info!C60), "", PEC_Info!C60)</f>
        <v>ER</v>
      </c>
      <c r="D60">
        <f>PEC_Info!D60</f>
        <v>2022</v>
      </c>
      <c r="E60">
        <f>PEC_Info!E60</f>
        <v>0</v>
      </c>
      <c r="F60" s="372">
        <f xml:space="preserve"> IF(AND(D60 &lt;&gt; 2020, OR(A60 = "NATGAS", A60 = "STEAM_COAL", A60 = "COKING_COAL")), PEC_Info_Scen_assumptions!$B$5, 1) * PEC_Info!F60</f>
        <v>1298.8891054607827</v>
      </c>
      <c r="G60">
        <f>PEC_Info!G60</f>
        <v>0.2208</v>
      </c>
      <c r="H60">
        <f>PEC_Info!H60</f>
        <v>400</v>
      </c>
      <c r="I60" s="372">
        <f xml:space="preserve"> IF(AND(D60 &lt;&gt; 2020, OR(A60 = "NATGAS", A60 = "STEAM_COAL", A60 = "COKING_COAL")), PEC_Info_Scen_assumptions!$B$5, 1) * PEC_Info!I60</f>
        <v>3776.1386307584748</v>
      </c>
      <c r="J60">
        <f>PEC_Info!J60</f>
        <v>0.15000000000000002</v>
      </c>
      <c r="K60">
        <f>PEC_Info!K60</f>
        <v>400</v>
      </c>
    </row>
    <row r="61" spans="1:11">
      <c r="A61" t="str">
        <f>PEC_Info!A61</f>
        <v>STEAM_COAL</v>
      </c>
      <c r="B61" t="str">
        <f>PEC_Info!B61</f>
        <v>INDIA</v>
      </c>
      <c r="C61" t="str">
        <f xml:space="preserve"> IF(ISBLANK(PEC_Info!C61), "", PEC_Info!C61)</f>
        <v>WR</v>
      </c>
      <c r="D61">
        <f>PEC_Info!D61</f>
        <v>2022</v>
      </c>
      <c r="E61">
        <f>PEC_Info!E61</f>
        <v>0</v>
      </c>
      <c r="F61" s="372">
        <f xml:space="preserve"> IF(AND(D61 &lt;&gt; 2020, OR(A61 = "NATGAS", A61 = "STEAM_COAL", A61 = "COKING_COAL")), PEC_Info_Scen_assumptions!$B$5, 1) * PEC_Info!F61</f>
        <v>1298.8891054607827</v>
      </c>
      <c r="G61">
        <f>PEC_Info!G61</f>
        <v>0.2208</v>
      </c>
      <c r="H61">
        <f>PEC_Info!H61</f>
        <v>400</v>
      </c>
      <c r="I61" s="372">
        <f xml:space="preserve"> IF(AND(D61 &lt;&gt; 2020, OR(A61 = "NATGAS", A61 = "STEAM_COAL", A61 = "COKING_COAL")), PEC_Info_Scen_assumptions!$B$5, 1) * PEC_Info!I61</f>
        <v>3776.1386307584748</v>
      </c>
      <c r="J61">
        <f>PEC_Info!J61</f>
        <v>0.15000000000000002</v>
      </c>
      <c r="K61">
        <f>PEC_Info!K61</f>
        <v>400</v>
      </c>
    </row>
    <row r="62" spans="1:11">
      <c r="A62" t="str">
        <f>PEC_Info!A62</f>
        <v>STEAM_COAL</v>
      </c>
      <c r="B62" t="str">
        <f>PEC_Info!B62</f>
        <v>INDIA</v>
      </c>
      <c r="C62" t="str">
        <f xml:space="preserve"> IF(ISBLANK(PEC_Info!C62), "", PEC_Info!C62)</f>
        <v>NR</v>
      </c>
      <c r="D62">
        <f>PEC_Info!D62</f>
        <v>2022</v>
      </c>
      <c r="E62">
        <f>PEC_Info!E62</f>
        <v>0</v>
      </c>
      <c r="F62" s="372">
        <f xml:space="preserve"> IF(AND(D62 &lt;&gt; 2020, OR(A62 = "NATGAS", A62 = "STEAM_COAL", A62 = "COKING_COAL")), PEC_Info_Scen_assumptions!$B$5, 1) * PEC_Info!F62</f>
        <v>1298.8891054607827</v>
      </c>
      <c r="G62">
        <f>PEC_Info!G62</f>
        <v>0.2208</v>
      </c>
      <c r="H62">
        <f>PEC_Info!H62</f>
        <v>400</v>
      </c>
      <c r="I62" s="372">
        <f xml:space="preserve"> IF(AND(D62 &lt;&gt; 2020, OR(A62 = "NATGAS", A62 = "STEAM_COAL", A62 = "COKING_COAL")), PEC_Info_Scen_assumptions!$B$5, 1) * PEC_Info!I62</f>
        <v>3776.1386307584748</v>
      </c>
      <c r="J62">
        <f>PEC_Info!J62</f>
        <v>0.15000000000000002</v>
      </c>
      <c r="K62">
        <f>PEC_Info!K62</f>
        <v>400</v>
      </c>
    </row>
    <row r="63" spans="1:11">
      <c r="A63" t="str">
        <f>PEC_Info!A63</f>
        <v>STEAM_COAL</v>
      </c>
      <c r="B63" t="str">
        <f>PEC_Info!B63</f>
        <v>INDIA</v>
      </c>
      <c r="C63" t="str">
        <f xml:space="preserve"> IF(ISBLANK(PEC_Info!C63), "", PEC_Info!C63)</f>
        <v>SR</v>
      </c>
      <c r="D63">
        <f>PEC_Info!D63</f>
        <v>2022</v>
      </c>
      <c r="E63">
        <f>PEC_Info!E63</f>
        <v>0</v>
      </c>
      <c r="F63" s="372">
        <f xml:space="preserve"> IF(AND(D63 &lt;&gt; 2020, OR(A63 = "NATGAS", A63 = "STEAM_COAL", A63 = "COKING_COAL")), PEC_Info_Scen_assumptions!$B$5, 1) * PEC_Info!F63</f>
        <v>1298.8891054607827</v>
      </c>
      <c r="G63">
        <f>PEC_Info!G63</f>
        <v>0.2208</v>
      </c>
      <c r="H63">
        <f>PEC_Info!H63</f>
        <v>400</v>
      </c>
      <c r="I63" s="372">
        <f xml:space="preserve"> IF(AND(D63 &lt;&gt; 2020, OR(A63 = "NATGAS", A63 = "STEAM_COAL", A63 = "COKING_COAL")), PEC_Info_Scen_assumptions!$B$5, 1) * PEC_Info!I63</f>
        <v>3776.1386307584748</v>
      </c>
      <c r="J63">
        <f>PEC_Info!J63</f>
        <v>0.15000000000000002</v>
      </c>
      <c r="K63">
        <f>PEC_Info!K63</f>
        <v>400</v>
      </c>
    </row>
    <row r="64" spans="1:11">
      <c r="A64" t="str">
        <f>PEC_Info!A64</f>
        <v>STEAM_COAL</v>
      </c>
      <c r="B64" t="str">
        <f>PEC_Info!B64</f>
        <v>INDIA</v>
      </c>
      <c r="C64" t="str">
        <f xml:space="preserve"> IF(ISBLANK(PEC_Info!C64), "", PEC_Info!C64)</f>
        <v>NER</v>
      </c>
      <c r="D64">
        <f>PEC_Info!D64</f>
        <v>2022</v>
      </c>
      <c r="E64">
        <f>PEC_Info!E64</f>
        <v>0</v>
      </c>
      <c r="F64" s="372">
        <f xml:space="preserve"> IF(AND(D64 &lt;&gt; 2020, OR(A64 = "NATGAS", A64 = "STEAM_COAL", A64 = "COKING_COAL")), PEC_Info_Scen_assumptions!$B$5, 1) * PEC_Info!F64</f>
        <v>1298.8891054607827</v>
      </c>
      <c r="G64">
        <f>PEC_Info!G64</f>
        <v>0.2208</v>
      </c>
      <c r="H64">
        <f>PEC_Info!H64</f>
        <v>400</v>
      </c>
      <c r="I64" s="372">
        <f xml:space="preserve"> IF(AND(D64 &lt;&gt; 2020, OR(A64 = "NATGAS", A64 = "STEAM_COAL", A64 = "COKING_COAL")), PEC_Info_Scen_assumptions!$B$5, 1) * PEC_Info!I64</f>
        <v>3776.1386307584748</v>
      </c>
      <c r="J64">
        <f>PEC_Info!J64</f>
        <v>0.15000000000000002</v>
      </c>
      <c r="K64">
        <f>PEC_Info!K64</f>
        <v>400</v>
      </c>
    </row>
    <row r="65" spans="1:11">
      <c r="A65" t="str">
        <f>PEC_Info!A65</f>
        <v>STEAM_COAL</v>
      </c>
      <c r="B65" t="str">
        <f>PEC_Info!B65</f>
        <v>INDIA</v>
      </c>
      <c r="C65" t="str">
        <f xml:space="preserve"> IF(ISBLANK(PEC_Info!C65), "", PEC_Info!C65)</f>
        <v>ER</v>
      </c>
      <c r="D65">
        <f>PEC_Info!D65</f>
        <v>2023</v>
      </c>
      <c r="E65">
        <f>PEC_Info!E65</f>
        <v>0</v>
      </c>
      <c r="F65" s="372">
        <f xml:space="preserve"> IF(AND(D65 &lt;&gt; 2020, OR(A65 = "NATGAS", A65 = "STEAM_COAL", A65 = "COKING_COAL")), PEC_Info_Scen_assumptions!$B$5, 1) * PEC_Info!F65</f>
        <v>1311.8779965153906</v>
      </c>
      <c r="G65">
        <f>PEC_Info!G65</f>
        <v>0.2208</v>
      </c>
      <c r="H65">
        <f>PEC_Info!H65</f>
        <v>400</v>
      </c>
      <c r="I65" s="372">
        <f xml:space="preserve"> IF(AND(D65 &lt;&gt; 2020, OR(A65 = "NATGAS", A65 = "STEAM_COAL", A65 = "COKING_COAL")), PEC_Info_Scen_assumptions!$B$5, 1) * PEC_Info!I65</f>
        <v>3804.7716123760529</v>
      </c>
      <c r="J65">
        <f>PEC_Info!J65</f>
        <v>0.15000000000000002</v>
      </c>
      <c r="K65">
        <f>PEC_Info!K65</f>
        <v>400</v>
      </c>
    </row>
    <row r="66" spans="1:11">
      <c r="A66" t="str">
        <f>PEC_Info!A66</f>
        <v>STEAM_COAL</v>
      </c>
      <c r="B66" t="str">
        <f>PEC_Info!B66</f>
        <v>INDIA</v>
      </c>
      <c r="C66" t="str">
        <f xml:space="preserve"> IF(ISBLANK(PEC_Info!C66), "", PEC_Info!C66)</f>
        <v>WR</v>
      </c>
      <c r="D66">
        <f>PEC_Info!D66</f>
        <v>2023</v>
      </c>
      <c r="E66">
        <f>PEC_Info!E66</f>
        <v>0</v>
      </c>
      <c r="F66" s="372">
        <f xml:space="preserve"> IF(AND(D66 &lt;&gt; 2020, OR(A66 = "NATGAS", A66 = "STEAM_COAL", A66 = "COKING_COAL")), PEC_Info_Scen_assumptions!$B$5, 1) * PEC_Info!F66</f>
        <v>1311.8779965153906</v>
      </c>
      <c r="G66">
        <f>PEC_Info!G66</f>
        <v>0.2208</v>
      </c>
      <c r="H66">
        <f>PEC_Info!H66</f>
        <v>400</v>
      </c>
      <c r="I66" s="372">
        <f xml:space="preserve"> IF(AND(D66 &lt;&gt; 2020, OR(A66 = "NATGAS", A66 = "STEAM_COAL", A66 = "COKING_COAL")), PEC_Info_Scen_assumptions!$B$5, 1) * PEC_Info!I66</f>
        <v>3804.7716123760529</v>
      </c>
      <c r="J66">
        <f>PEC_Info!J66</f>
        <v>0.15000000000000002</v>
      </c>
      <c r="K66">
        <f>PEC_Info!K66</f>
        <v>400</v>
      </c>
    </row>
    <row r="67" spans="1:11">
      <c r="A67" t="str">
        <f>PEC_Info!A67</f>
        <v>STEAM_COAL</v>
      </c>
      <c r="B67" t="str">
        <f>PEC_Info!B67</f>
        <v>INDIA</v>
      </c>
      <c r="C67" t="str">
        <f xml:space="preserve"> IF(ISBLANK(PEC_Info!C67), "", PEC_Info!C67)</f>
        <v>NR</v>
      </c>
      <c r="D67">
        <f>PEC_Info!D67</f>
        <v>2023</v>
      </c>
      <c r="E67">
        <f>PEC_Info!E67</f>
        <v>0</v>
      </c>
      <c r="F67" s="372">
        <f xml:space="preserve"> IF(AND(D67 &lt;&gt; 2020, OR(A67 = "NATGAS", A67 = "STEAM_COAL", A67 = "COKING_COAL")), PEC_Info_Scen_assumptions!$B$5, 1) * PEC_Info!F67</f>
        <v>1311.8779965153906</v>
      </c>
      <c r="G67">
        <f>PEC_Info!G67</f>
        <v>0.2208</v>
      </c>
      <c r="H67">
        <f>PEC_Info!H67</f>
        <v>400</v>
      </c>
      <c r="I67" s="372">
        <f xml:space="preserve"> IF(AND(D67 &lt;&gt; 2020, OR(A67 = "NATGAS", A67 = "STEAM_COAL", A67 = "COKING_COAL")), PEC_Info_Scen_assumptions!$B$5, 1) * PEC_Info!I67</f>
        <v>3804.7716123760529</v>
      </c>
      <c r="J67">
        <f>PEC_Info!J67</f>
        <v>0.15000000000000002</v>
      </c>
      <c r="K67">
        <f>PEC_Info!K67</f>
        <v>400</v>
      </c>
    </row>
    <row r="68" spans="1:11">
      <c r="A68" t="str">
        <f>PEC_Info!A68</f>
        <v>STEAM_COAL</v>
      </c>
      <c r="B68" t="str">
        <f>PEC_Info!B68</f>
        <v>INDIA</v>
      </c>
      <c r="C68" t="str">
        <f xml:space="preserve"> IF(ISBLANK(PEC_Info!C68), "", PEC_Info!C68)</f>
        <v>SR</v>
      </c>
      <c r="D68">
        <f>PEC_Info!D68</f>
        <v>2023</v>
      </c>
      <c r="E68">
        <f>PEC_Info!E68</f>
        <v>0</v>
      </c>
      <c r="F68" s="372">
        <f xml:space="preserve"> IF(AND(D68 &lt;&gt; 2020, OR(A68 = "NATGAS", A68 = "STEAM_COAL", A68 = "COKING_COAL")), PEC_Info_Scen_assumptions!$B$5, 1) * PEC_Info!F68</f>
        <v>1311.8779965153906</v>
      </c>
      <c r="G68">
        <f>PEC_Info!G68</f>
        <v>0.2208</v>
      </c>
      <c r="H68">
        <f>PEC_Info!H68</f>
        <v>400</v>
      </c>
      <c r="I68" s="372">
        <f xml:space="preserve"> IF(AND(D68 &lt;&gt; 2020, OR(A68 = "NATGAS", A68 = "STEAM_COAL", A68 = "COKING_COAL")), PEC_Info_Scen_assumptions!$B$5, 1) * PEC_Info!I68</f>
        <v>3804.7716123760529</v>
      </c>
      <c r="J68">
        <f>PEC_Info!J68</f>
        <v>0.15000000000000002</v>
      </c>
      <c r="K68">
        <f>PEC_Info!K68</f>
        <v>400</v>
      </c>
    </row>
    <row r="69" spans="1:11">
      <c r="A69" t="str">
        <f>PEC_Info!A69</f>
        <v>STEAM_COAL</v>
      </c>
      <c r="B69" t="str">
        <f>PEC_Info!B69</f>
        <v>INDIA</v>
      </c>
      <c r="C69" t="str">
        <f xml:space="preserve"> IF(ISBLANK(PEC_Info!C69), "", PEC_Info!C69)</f>
        <v>NER</v>
      </c>
      <c r="D69">
        <f>PEC_Info!D69</f>
        <v>2023</v>
      </c>
      <c r="E69">
        <f>PEC_Info!E69</f>
        <v>0</v>
      </c>
      <c r="F69" s="372">
        <f xml:space="preserve"> IF(AND(D69 &lt;&gt; 2020, OR(A69 = "NATGAS", A69 = "STEAM_COAL", A69 = "COKING_COAL")), PEC_Info_Scen_assumptions!$B$5, 1) * PEC_Info!F69</f>
        <v>1311.8779965153906</v>
      </c>
      <c r="G69">
        <f>PEC_Info!G69</f>
        <v>0.2208</v>
      </c>
      <c r="H69">
        <f>PEC_Info!H69</f>
        <v>400</v>
      </c>
      <c r="I69" s="372">
        <f xml:space="preserve"> IF(AND(D69 &lt;&gt; 2020, OR(A69 = "NATGAS", A69 = "STEAM_COAL", A69 = "COKING_COAL")), PEC_Info_Scen_assumptions!$B$5, 1) * PEC_Info!I69</f>
        <v>3804.7716123760529</v>
      </c>
      <c r="J69">
        <f>PEC_Info!J69</f>
        <v>0.15000000000000002</v>
      </c>
      <c r="K69">
        <f>PEC_Info!K69</f>
        <v>400</v>
      </c>
    </row>
    <row r="70" spans="1:11">
      <c r="A70" t="str">
        <f>PEC_Info!A70</f>
        <v>STEAM_COAL</v>
      </c>
      <c r="B70" t="str">
        <f>PEC_Info!B70</f>
        <v>INDIA</v>
      </c>
      <c r="C70" t="str">
        <f xml:space="preserve"> IF(ISBLANK(PEC_Info!C70), "", PEC_Info!C70)</f>
        <v>ER</v>
      </c>
      <c r="D70">
        <f>PEC_Info!D70</f>
        <v>2024</v>
      </c>
      <c r="E70">
        <f>PEC_Info!E70</f>
        <v>0</v>
      </c>
      <c r="F70" s="372">
        <f xml:space="preserve"> IF(AND(D70 &lt;&gt; 2020, OR(A70 = "NATGAS", A70 = "STEAM_COAL", A70 = "COKING_COAL")), PEC_Info_Scen_assumptions!$B$5, 1) * PEC_Info!F70</f>
        <v>1324.9967764805449</v>
      </c>
      <c r="G70">
        <f>PEC_Info!G70</f>
        <v>0.2208</v>
      </c>
      <c r="H70">
        <f>PEC_Info!H70</f>
        <v>400</v>
      </c>
      <c r="I70" s="372">
        <f xml:space="preserve"> IF(AND(D70 &lt;&gt; 2020, OR(A70 = "NATGAS", A70 = "STEAM_COAL", A70 = "COKING_COAL")), PEC_Info_Scen_assumptions!$B$5, 1) * PEC_Info!I70</f>
        <v>3826.2069454035236</v>
      </c>
      <c r="J70">
        <f>PEC_Info!J70</f>
        <v>0.15000000000000002</v>
      </c>
      <c r="K70">
        <f>PEC_Info!K70</f>
        <v>400</v>
      </c>
    </row>
    <row r="71" spans="1:11">
      <c r="A71" t="str">
        <f>PEC_Info!A71</f>
        <v>STEAM_COAL</v>
      </c>
      <c r="B71" t="str">
        <f>PEC_Info!B71</f>
        <v>INDIA</v>
      </c>
      <c r="C71" t="str">
        <f xml:space="preserve"> IF(ISBLANK(PEC_Info!C71), "", PEC_Info!C71)</f>
        <v>WR</v>
      </c>
      <c r="D71">
        <f>PEC_Info!D71</f>
        <v>2024</v>
      </c>
      <c r="E71">
        <f>PEC_Info!E71</f>
        <v>0</v>
      </c>
      <c r="F71" s="372">
        <f xml:space="preserve"> IF(AND(D71 &lt;&gt; 2020, OR(A71 = "NATGAS", A71 = "STEAM_COAL", A71 = "COKING_COAL")), PEC_Info_Scen_assumptions!$B$5, 1) * PEC_Info!F71</f>
        <v>1324.9967764805449</v>
      </c>
      <c r="G71">
        <f>PEC_Info!G71</f>
        <v>0.2208</v>
      </c>
      <c r="H71">
        <f>PEC_Info!H71</f>
        <v>400</v>
      </c>
      <c r="I71" s="372">
        <f xml:space="preserve"> IF(AND(D71 &lt;&gt; 2020, OR(A71 = "NATGAS", A71 = "STEAM_COAL", A71 = "COKING_COAL")), PEC_Info_Scen_assumptions!$B$5, 1) * PEC_Info!I71</f>
        <v>3826.2069454035236</v>
      </c>
      <c r="J71">
        <f>PEC_Info!J71</f>
        <v>0.15000000000000002</v>
      </c>
      <c r="K71">
        <f>PEC_Info!K71</f>
        <v>400</v>
      </c>
    </row>
    <row r="72" spans="1:11">
      <c r="A72" t="str">
        <f>PEC_Info!A72</f>
        <v>STEAM_COAL</v>
      </c>
      <c r="B72" t="str">
        <f>PEC_Info!B72</f>
        <v>INDIA</v>
      </c>
      <c r="C72" t="str">
        <f xml:space="preserve"> IF(ISBLANK(PEC_Info!C72), "", PEC_Info!C72)</f>
        <v>NR</v>
      </c>
      <c r="D72">
        <f>PEC_Info!D72</f>
        <v>2024</v>
      </c>
      <c r="E72">
        <f>PEC_Info!E72</f>
        <v>0</v>
      </c>
      <c r="F72" s="372">
        <f xml:space="preserve"> IF(AND(D72 &lt;&gt; 2020, OR(A72 = "NATGAS", A72 = "STEAM_COAL", A72 = "COKING_COAL")), PEC_Info_Scen_assumptions!$B$5, 1) * PEC_Info!F72</f>
        <v>1324.9967764805449</v>
      </c>
      <c r="G72">
        <f>PEC_Info!G72</f>
        <v>0.2208</v>
      </c>
      <c r="H72">
        <f>PEC_Info!H72</f>
        <v>400</v>
      </c>
      <c r="I72" s="372">
        <f xml:space="preserve"> IF(AND(D72 &lt;&gt; 2020, OR(A72 = "NATGAS", A72 = "STEAM_COAL", A72 = "COKING_COAL")), PEC_Info_Scen_assumptions!$B$5, 1) * PEC_Info!I72</f>
        <v>3826.2069454035236</v>
      </c>
      <c r="J72">
        <f>PEC_Info!J72</f>
        <v>0.15000000000000002</v>
      </c>
      <c r="K72">
        <f>PEC_Info!K72</f>
        <v>400</v>
      </c>
    </row>
    <row r="73" spans="1:11">
      <c r="A73" t="str">
        <f>PEC_Info!A73</f>
        <v>STEAM_COAL</v>
      </c>
      <c r="B73" t="str">
        <f>PEC_Info!B73</f>
        <v>INDIA</v>
      </c>
      <c r="C73" t="str">
        <f xml:space="preserve"> IF(ISBLANK(PEC_Info!C73), "", PEC_Info!C73)</f>
        <v>SR</v>
      </c>
      <c r="D73">
        <f>PEC_Info!D73</f>
        <v>2024</v>
      </c>
      <c r="E73">
        <f>PEC_Info!E73</f>
        <v>0</v>
      </c>
      <c r="F73" s="372">
        <f xml:space="preserve"> IF(AND(D73 &lt;&gt; 2020, OR(A73 = "NATGAS", A73 = "STEAM_COAL", A73 = "COKING_COAL")), PEC_Info_Scen_assumptions!$B$5, 1) * PEC_Info!F73</f>
        <v>1324.9967764805449</v>
      </c>
      <c r="G73">
        <f>PEC_Info!G73</f>
        <v>0.2208</v>
      </c>
      <c r="H73">
        <f>PEC_Info!H73</f>
        <v>400</v>
      </c>
      <c r="I73" s="372">
        <f xml:space="preserve"> IF(AND(D73 &lt;&gt; 2020, OR(A73 = "NATGAS", A73 = "STEAM_COAL", A73 = "COKING_COAL")), PEC_Info_Scen_assumptions!$B$5, 1) * PEC_Info!I73</f>
        <v>3826.2069454035236</v>
      </c>
      <c r="J73">
        <f>PEC_Info!J73</f>
        <v>0.15000000000000002</v>
      </c>
      <c r="K73">
        <f>PEC_Info!K73</f>
        <v>400</v>
      </c>
    </row>
    <row r="74" spans="1:11">
      <c r="A74" t="str">
        <f>PEC_Info!A74</f>
        <v>STEAM_COAL</v>
      </c>
      <c r="B74" t="str">
        <f>PEC_Info!B74</f>
        <v>INDIA</v>
      </c>
      <c r="C74" t="str">
        <f xml:space="preserve"> IF(ISBLANK(PEC_Info!C74), "", PEC_Info!C74)</f>
        <v>NER</v>
      </c>
      <c r="D74">
        <f>PEC_Info!D74</f>
        <v>2024</v>
      </c>
      <c r="E74">
        <f>PEC_Info!E74</f>
        <v>0</v>
      </c>
      <c r="F74" s="372">
        <f xml:space="preserve"> IF(AND(D74 &lt;&gt; 2020, OR(A74 = "NATGAS", A74 = "STEAM_COAL", A74 = "COKING_COAL")), PEC_Info_Scen_assumptions!$B$5, 1) * PEC_Info!F74</f>
        <v>1324.9967764805449</v>
      </c>
      <c r="G74">
        <f>PEC_Info!G74</f>
        <v>0.2208</v>
      </c>
      <c r="H74">
        <f>PEC_Info!H74</f>
        <v>400</v>
      </c>
      <c r="I74" s="372">
        <f xml:space="preserve"> IF(AND(D74 &lt;&gt; 2020, OR(A74 = "NATGAS", A74 = "STEAM_COAL", A74 = "COKING_COAL")), PEC_Info_Scen_assumptions!$B$5, 1) * PEC_Info!I74</f>
        <v>3826.2069454035236</v>
      </c>
      <c r="J74">
        <f>PEC_Info!J74</f>
        <v>0.15000000000000002</v>
      </c>
      <c r="K74">
        <f>PEC_Info!K74</f>
        <v>400</v>
      </c>
    </row>
    <row r="75" spans="1:11">
      <c r="A75" t="str">
        <f>PEC_Info!A75</f>
        <v>STEAM_COAL</v>
      </c>
      <c r="B75" t="str">
        <f>PEC_Info!B75</f>
        <v>INDIA</v>
      </c>
      <c r="C75" t="str">
        <f xml:space="preserve"> IF(ISBLANK(PEC_Info!C75), "", PEC_Info!C75)</f>
        <v>ER</v>
      </c>
      <c r="D75">
        <f>PEC_Info!D75</f>
        <v>2025</v>
      </c>
      <c r="E75">
        <f>PEC_Info!E75</f>
        <v>0</v>
      </c>
      <c r="F75" s="372">
        <f xml:space="preserve"> IF(AND(D75 &lt;&gt; 2020, OR(A75 = "NATGAS", A75 = "STEAM_COAL", A75 = "COKING_COAL")), PEC_Info_Scen_assumptions!$B$5, 1) * PEC_Info!F75</f>
        <v>1338.2467442453501</v>
      </c>
      <c r="G75">
        <f>PEC_Info!G75</f>
        <v>0.2208</v>
      </c>
      <c r="H75">
        <f>PEC_Info!H75</f>
        <v>400</v>
      </c>
      <c r="I75" s="372">
        <f xml:space="preserve"> IF(AND(D75 &lt;&gt; 2020, OR(A75 = "NATGAS", A75 = "STEAM_COAL", A75 = "COKING_COAL")), PEC_Info_Scen_assumptions!$B$5, 1) * PEC_Info!I75</f>
        <v>3853.9469457576993</v>
      </c>
      <c r="J75">
        <f>PEC_Info!J75</f>
        <v>0.15000000000000002</v>
      </c>
      <c r="K75">
        <f>PEC_Info!K75</f>
        <v>400</v>
      </c>
    </row>
    <row r="76" spans="1:11">
      <c r="A76" t="str">
        <f>PEC_Info!A76</f>
        <v>STEAM_COAL</v>
      </c>
      <c r="B76" t="str">
        <f>PEC_Info!B76</f>
        <v>INDIA</v>
      </c>
      <c r="C76" t="str">
        <f xml:space="preserve"> IF(ISBLANK(PEC_Info!C76), "", PEC_Info!C76)</f>
        <v>WR</v>
      </c>
      <c r="D76">
        <f>PEC_Info!D76</f>
        <v>2025</v>
      </c>
      <c r="E76">
        <f>PEC_Info!E76</f>
        <v>0</v>
      </c>
      <c r="F76" s="372">
        <f xml:space="preserve"> IF(AND(D76 &lt;&gt; 2020, OR(A76 = "NATGAS", A76 = "STEAM_COAL", A76 = "COKING_COAL")), PEC_Info_Scen_assumptions!$B$5, 1) * PEC_Info!F76</f>
        <v>1338.2467442453501</v>
      </c>
      <c r="G76">
        <f>PEC_Info!G76</f>
        <v>0.2208</v>
      </c>
      <c r="H76">
        <f>PEC_Info!H76</f>
        <v>400</v>
      </c>
      <c r="I76" s="372">
        <f xml:space="preserve"> IF(AND(D76 &lt;&gt; 2020, OR(A76 = "NATGAS", A76 = "STEAM_COAL", A76 = "COKING_COAL")), PEC_Info_Scen_assumptions!$B$5, 1) * PEC_Info!I76</f>
        <v>3853.9469457576993</v>
      </c>
      <c r="J76">
        <f>PEC_Info!J76</f>
        <v>0.15000000000000002</v>
      </c>
      <c r="K76">
        <f>PEC_Info!K76</f>
        <v>400</v>
      </c>
    </row>
    <row r="77" spans="1:11">
      <c r="A77" t="str">
        <f>PEC_Info!A77</f>
        <v>STEAM_COAL</v>
      </c>
      <c r="B77" t="str">
        <f>PEC_Info!B77</f>
        <v>INDIA</v>
      </c>
      <c r="C77" t="str">
        <f xml:space="preserve"> IF(ISBLANK(PEC_Info!C77), "", PEC_Info!C77)</f>
        <v>NR</v>
      </c>
      <c r="D77">
        <f>PEC_Info!D77</f>
        <v>2025</v>
      </c>
      <c r="E77">
        <f>PEC_Info!E77</f>
        <v>0</v>
      </c>
      <c r="F77" s="372">
        <f xml:space="preserve"> IF(AND(D77 &lt;&gt; 2020, OR(A77 = "NATGAS", A77 = "STEAM_COAL", A77 = "COKING_COAL")), PEC_Info_Scen_assumptions!$B$5, 1) * PEC_Info!F77</f>
        <v>1338.2467442453501</v>
      </c>
      <c r="G77">
        <f>PEC_Info!G77</f>
        <v>0.2208</v>
      </c>
      <c r="H77">
        <f>PEC_Info!H77</f>
        <v>400</v>
      </c>
      <c r="I77" s="372">
        <f xml:space="preserve"> IF(AND(D77 &lt;&gt; 2020, OR(A77 = "NATGAS", A77 = "STEAM_COAL", A77 = "COKING_COAL")), PEC_Info_Scen_assumptions!$B$5, 1) * PEC_Info!I77</f>
        <v>3853.9469457576993</v>
      </c>
      <c r="J77">
        <f>PEC_Info!J77</f>
        <v>0.15000000000000002</v>
      </c>
      <c r="K77">
        <f>PEC_Info!K77</f>
        <v>400</v>
      </c>
    </row>
    <row r="78" spans="1:11">
      <c r="A78" t="str">
        <f>PEC_Info!A78</f>
        <v>STEAM_COAL</v>
      </c>
      <c r="B78" t="str">
        <f>PEC_Info!B78</f>
        <v>INDIA</v>
      </c>
      <c r="C78" t="str">
        <f xml:space="preserve"> IF(ISBLANK(PEC_Info!C78), "", PEC_Info!C78)</f>
        <v>SR</v>
      </c>
      <c r="D78">
        <f>PEC_Info!D78</f>
        <v>2025</v>
      </c>
      <c r="E78">
        <f>PEC_Info!E78</f>
        <v>0</v>
      </c>
      <c r="F78" s="372">
        <f xml:space="preserve"> IF(AND(D78 &lt;&gt; 2020, OR(A78 = "NATGAS", A78 = "STEAM_COAL", A78 = "COKING_COAL")), PEC_Info_Scen_assumptions!$B$5, 1) * PEC_Info!F78</f>
        <v>1338.2467442453501</v>
      </c>
      <c r="G78">
        <f>PEC_Info!G78</f>
        <v>0.2208</v>
      </c>
      <c r="H78">
        <f>PEC_Info!H78</f>
        <v>400</v>
      </c>
      <c r="I78" s="372">
        <f xml:space="preserve"> IF(AND(D78 &lt;&gt; 2020, OR(A78 = "NATGAS", A78 = "STEAM_COAL", A78 = "COKING_COAL")), PEC_Info_Scen_assumptions!$B$5, 1) * PEC_Info!I78</f>
        <v>3853.9469457576993</v>
      </c>
      <c r="J78">
        <f>PEC_Info!J78</f>
        <v>0.15000000000000002</v>
      </c>
      <c r="K78">
        <f>PEC_Info!K78</f>
        <v>400</v>
      </c>
    </row>
    <row r="79" spans="1:11">
      <c r="A79" t="str">
        <f>PEC_Info!A79</f>
        <v>STEAM_COAL</v>
      </c>
      <c r="B79" t="str">
        <f>PEC_Info!B79</f>
        <v>INDIA</v>
      </c>
      <c r="C79" t="str">
        <f xml:space="preserve"> IF(ISBLANK(PEC_Info!C79), "", PEC_Info!C79)</f>
        <v>NER</v>
      </c>
      <c r="D79">
        <f>PEC_Info!D79</f>
        <v>2025</v>
      </c>
      <c r="E79">
        <f>PEC_Info!E79</f>
        <v>0</v>
      </c>
      <c r="F79" s="372">
        <f xml:space="preserve"> IF(AND(D79 &lt;&gt; 2020, OR(A79 = "NATGAS", A79 = "STEAM_COAL", A79 = "COKING_COAL")), PEC_Info_Scen_assumptions!$B$5, 1) * PEC_Info!F79</f>
        <v>1338.2467442453501</v>
      </c>
      <c r="G79">
        <f>PEC_Info!G79</f>
        <v>0.2208</v>
      </c>
      <c r="H79">
        <f>PEC_Info!H79</f>
        <v>400</v>
      </c>
      <c r="I79" s="372">
        <f xml:space="preserve"> IF(AND(D79 &lt;&gt; 2020, OR(A79 = "NATGAS", A79 = "STEAM_COAL", A79 = "COKING_COAL")), PEC_Info_Scen_assumptions!$B$5, 1) * PEC_Info!I79</f>
        <v>3853.9469457576993</v>
      </c>
      <c r="J79">
        <f>PEC_Info!J79</f>
        <v>0.15000000000000002</v>
      </c>
      <c r="K79">
        <f>PEC_Info!K79</f>
        <v>400</v>
      </c>
    </row>
    <row r="80" spans="1:11">
      <c r="A80" t="str">
        <f>PEC_Info!A80</f>
        <v>STEAM_COAL</v>
      </c>
      <c r="B80" t="str">
        <f>PEC_Info!B80</f>
        <v>INDIA</v>
      </c>
      <c r="C80" t="str">
        <f xml:space="preserve"> IF(ISBLANK(PEC_Info!C80), "", PEC_Info!C80)</f>
        <v>ER</v>
      </c>
      <c r="D80">
        <f>PEC_Info!D80</f>
        <v>2026</v>
      </c>
      <c r="E80">
        <f>PEC_Info!E80</f>
        <v>0</v>
      </c>
      <c r="F80" s="372">
        <f xml:space="preserve"> IF(AND(D80 &lt;&gt; 2020, OR(A80 = "NATGAS", A80 = "STEAM_COAL", A80 = "COKING_COAL")), PEC_Info_Scen_assumptions!$B$5, 1) * PEC_Info!F80</f>
        <v>1351.6292116878039</v>
      </c>
      <c r="G80">
        <f>PEC_Info!G80</f>
        <v>0.2208</v>
      </c>
      <c r="H80">
        <f>PEC_Info!H80</f>
        <v>400</v>
      </c>
      <c r="I80" s="372">
        <f xml:space="preserve"> IF(AND(D80 &lt;&gt; 2020, OR(A80 = "NATGAS", A80 = "STEAM_COAL", A80 = "COKING_COAL")), PEC_Info_Scen_assumptions!$B$5, 1) * PEC_Info!I80</f>
        <v>3874.1575174443128</v>
      </c>
      <c r="J80">
        <f>PEC_Info!J80</f>
        <v>0.15000000000000002</v>
      </c>
      <c r="K80">
        <f>PEC_Info!K80</f>
        <v>400</v>
      </c>
    </row>
    <row r="81" spans="1:11">
      <c r="A81" t="str">
        <f>PEC_Info!A81</f>
        <v>STEAM_COAL</v>
      </c>
      <c r="B81" t="str">
        <f>PEC_Info!B81</f>
        <v>INDIA</v>
      </c>
      <c r="C81" t="str">
        <f xml:space="preserve"> IF(ISBLANK(PEC_Info!C81), "", PEC_Info!C81)</f>
        <v>WR</v>
      </c>
      <c r="D81">
        <f>PEC_Info!D81</f>
        <v>2026</v>
      </c>
      <c r="E81">
        <f>PEC_Info!E81</f>
        <v>0</v>
      </c>
      <c r="F81" s="372">
        <f xml:space="preserve"> IF(AND(D81 &lt;&gt; 2020, OR(A81 = "NATGAS", A81 = "STEAM_COAL", A81 = "COKING_COAL")), PEC_Info_Scen_assumptions!$B$5, 1) * PEC_Info!F81</f>
        <v>1351.6292116878039</v>
      </c>
      <c r="G81">
        <f>PEC_Info!G81</f>
        <v>0.2208</v>
      </c>
      <c r="H81">
        <f>PEC_Info!H81</f>
        <v>400</v>
      </c>
      <c r="I81" s="372">
        <f xml:space="preserve"> IF(AND(D81 &lt;&gt; 2020, OR(A81 = "NATGAS", A81 = "STEAM_COAL", A81 = "COKING_COAL")), PEC_Info_Scen_assumptions!$B$5, 1) * PEC_Info!I81</f>
        <v>3874.1575174443128</v>
      </c>
      <c r="J81">
        <f>PEC_Info!J81</f>
        <v>0.15000000000000002</v>
      </c>
      <c r="K81">
        <f>PEC_Info!K81</f>
        <v>400</v>
      </c>
    </row>
    <row r="82" spans="1:11">
      <c r="A82" t="str">
        <f>PEC_Info!A82</f>
        <v>STEAM_COAL</v>
      </c>
      <c r="B82" t="str">
        <f>PEC_Info!B82</f>
        <v>INDIA</v>
      </c>
      <c r="C82" t="str">
        <f xml:space="preserve"> IF(ISBLANK(PEC_Info!C82), "", PEC_Info!C82)</f>
        <v>NR</v>
      </c>
      <c r="D82">
        <f>PEC_Info!D82</f>
        <v>2026</v>
      </c>
      <c r="E82">
        <f>PEC_Info!E82</f>
        <v>0</v>
      </c>
      <c r="F82" s="372">
        <f xml:space="preserve"> IF(AND(D82 &lt;&gt; 2020, OR(A82 = "NATGAS", A82 = "STEAM_COAL", A82 = "COKING_COAL")), PEC_Info_Scen_assumptions!$B$5, 1) * PEC_Info!F82</f>
        <v>1351.6292116878039</v>
      </c>
      <c r="G82">
        <f>PEC_Info!G82</f>
        <v>0.2208</v>
      </c>
      <c r="H82">
        <f>PEC_Info!H82</f>
        <v>400</v>
      </c>
      <c r="I82" s="372">
        <f xml:space="preserve"> IF(AND(D82 &lt;&gt; 2020, OR(A82 = "NATGAS", A82 = "STEAM_COAL", A82 = "COKING_COAL")), PEC_Info_Scen_assumptions!$B$5, 1) * PEC_Info!I82</f>
        <v>3874.1575174443128</v>
      </c>
      <c r="J82">
        <f>PEC_Info!J82</f>
        <v>0.15000000000000002</v>
      </c>
      <c r="K82">
        <f>PEC_Info!K82</f>
        <v>400</v>
      </c>
    </row>
    <row r="83" spans="1:11">
      <c r="A83" t="str">
        <f>PEC_Info!A83</f>
        <v>STEAM_COAL</v>
      </c>
      <c r="B83" t="str">
        <f>PEC_Info!B83</f>
        <v>INDIA</v>
      </c>
      <c r="C83" t="str">
        <f xml:space="preserve"> IF(ISBLANK(PEC_Info!C83), "", PEC_Info!C83)</f>
        <v>SR</v>
      </c>
      <c r="D83">
        <f>PEC_Info!D83</f>
        <v>2026</v>
      </c>
      <c r="E83">
        <f>PEC_Info!E83</f>
        <v>0</v>
      </c>
      <c r="F83" s="372">
        <f xml:space="preserve"> IF(AND(D83 &lt;&gt; 2020, OR(A83 = "NATGAS", A83 = "STEAM_COAL", A83 = "COKING_COAL")), PEC_Info_Scen_assumptions!$B$5, 1) * PEC_Info!F83</f>
        <v>1351.6292116878039</v>
      </c>
      <c r="G83">
        <f>PEC_Info!G83</f>
        <v>0.2208</v>
      </c>
      <c r="H83">
        <f>PEC_Info!H83</f>
        <v>400</v>
      </c>
      <c r="I83" s="372">
        <f xml:space="preserve"> IF(AND(D83 &lt;&gt; 2020, OR(A83 = "NATGAS", A83 = "STEAM_COAL", A83 = "COKING_COAL")), PEC_Info_Scen_assumptions!$B$5, 1) * PEC_Info!I83</f>
        <v>3874.1575174443128</v>
      </c>
      <c r="J83">
        <f>PEC_Info!J83</f>
        <v>0.15000000000000002</v>
      </c>
      <c r="K83">
        <f>PEC_Info!K83</f>
        <v>400</v>
      </c>
    </row>
    <row r="84" spans="1:11">
      <c r="A84" t="str">
        <f>PEC_Info!A84</f>
        <v>STEAM_COAL</v>
      </c>
      <c r="B84" t="str">
        <f>PEC_Info!B84</f>
        <v>INDIA</v>
      </c>
      <c r="C84" t="str">
        <f xml:space="preserve"> IF(ISBLANK(PEC_Info!C84), "", PEC_Info!C84)</f>
        <v>NER</v>
      </c>
      <c r="D84">
        <f>PEC_Info!D84</f>
        <v>2026</v>
      </c>
      <c r="E84">
        <f>PEC_Info!E84</f>
        <v>0</v>
      </c>
      <c r="F84" s="372">
        <f xml:space="preserve"> IF(AND(D84 &lt;&gt; 2020, OR(A84 = "NATGAS", A84 = "STEAM_COAL", A84 = "COKING_COAL")), PEC_Info_Scen_assumptions!$B$5, 1) * PEC_Info!F84</f>
        <v>1351.6292116878039</v>
      </c>
      <c r="G84">
        <f>PEC_Info!G84</f>
        <v>0.2208</v>
      </c>
      <c r="H84">
        <f>PEC_Info!H84</f>
        <v>400</v>
      </c>
      <c r="I84" s="372">
        <f xml:space="preserve"> IF(AND(D84 &lt;&gt; 2020, OR(A84 = "NATGAS", A84 = "STEAM_COAL", A84 = "COKING_COAL")), PEC_Info_Scen_assumptions!$B$5, 1) * PEC_Info!I84</f>
        <v>3874.1575174443128</v>
      </c>
      <c r="J84">
        <f>PEC_Info!J84</f>
        <v>0.15000000000000002</v>
      </c>
      <c r="K84">
        <f>PEC_Info!K84</f>
        <v>400</v>
      </c>
    </row>
    <row r="85" spans="1:11">
      <c r="A85" t="str">
        <f>PEC_Info!A85</f>
        <v>STEAM_COAL</v>
      </c>
      <c r="B85" t="str">
        <f>PEC_Info!B85</f>
        <v>INDIA</v>
      </c>
      <c r="C85" t="str">
        <f xml:space="preserve"> IF(ISBLANK(PEC_Info!C85), "", PEC_Info!C85)</f>
        <v>ER</v>
      </c>
      <c r="D85">
        <f>PEC_Info!D85</f>
        <v>2027</v>
      </c>
      <c r="E85">
        <f>PEC_Info!E85</f>
        <v>0</v>
      </c>
      <c r="F85" s="372">
        <f xml:space="preserve"> IF(AND(D85 &lt;&gt; 2020, OR(A85 = "NATGAS", A85 = "STEAM_COAL", A85 = "COKING_COAL")), PEC_Info_Scen_assumptions!$B$5, 1) * PEC_Info!F85</f>
        <v>1365.1455038046818</v>
      </c>
      <c r="G85">
        <f>PEC_Info!G85</f>
        <v>0.2208</v>
      </c>
      <c r="H85">
        <f>PEC_Info!H85</f>
        <v>400</v>
      </c>
      <c r="I85" s="372">
        <f xml:space="preserve"> IF(AND(D85 &lt;&gt; 2020, OR(A85 = "NATGAS", A85 = "STEAM_COAL", A85 = "COKING_COAL")), PEC_Info_Scen_assumptions!$B$5, 1) * PEC_Info!I85</f>
        <v>3893.3930489719273</v>
      </c>
      <c r="J85">
        <f>PEC_Info!J85</f>
        <v>0.15000000000000002</v>
      </c>
      <c r="K85">
        <f>PEC_Info!K85</f>
        <v>400</v>
      </c>
    </row>
    <row r="86" spans="1:11">
      <c r="A86" t="str">
        <f>PEC_Info!A86</f>
        <v>STEAM_COAL</v>
      </c>
      <c r="B86" t="str">
        <f>PEC_Info!B86</f>
        <v>INDIA</v>
      </c>
      <c r="C86" t="str">
        <f xml:space="preserve"> IF(ISBLANK(PEC_Info!C86), "", PEC_Info!C86)</f>
        <v>WR</v>
      </c>
      <c r="D86">
        <f>PEC_Info!D86</f>
        <v>2027</v>
      </c>
      <c r="E86">
        <f>PEC_Info!E86</f>
        <v>0</v>
      </c>
      <c r="F86" s="372">
        <f xml:space="preserve"> IF(AND(D86 &lt;&gt; 2020, OR(A86 = "NATGAS", A86 = "STEAM_COAL", A86 = "COKING_COAL")), PEC_Info_Scen_assumptions!$B$5, 1) * PEC_Info!F86</f>
        <v>1365.1455038046818</v>
      </c>
      <c r="G86">
        <f>PEC_Info!G86</f>
        <v>0.2208</v>
      </c>
      <c r="H86">
        <f>PEC_Info!H86</f>
        <v>400</v>
      </c>
      <c r="I86" s="372">
        <f xml:space="preserve"> IF(AND(D86 &lt;&gt; 2020, OR(A86 = "NATGAS", A86 = "STEAM_COAL", A86 = "COKING_COAL")), PEC_Info_Scen_assumptions!$B$5, 1) * PEC_Info!I86</f>
        <v>3893.3930489719273</v>
      </c>
      <c r="J86">
        <f>PEC_Info!J86</f>
        <v>0.15000000000000002</v>
      </c>
      <c r="K86">
        <f>PEC_Info!K86</f>
        <v>400</v>
      </c>
    </row>
    <row r="87" spans="1:11">
      <c r="A87" t="str">
        <f>PEC_Info!A87</f>
        <v>STEAM_COAL</v>
      </c>
      <c r="B87" t="str">
        <f>PEC_Info!B87</f>
        <v>INDIA</v>
      </c>
      <c r="C87" t="str">
        <f xml:space="preserve"> IF(ISBLANK(PEC_Info!C87), "", PEC_Info!C87)</f>
        <v>NR</v>
      </c>
      <c r="D87">
        <f>PEC_Info!D87</f>
        <v>2027</v>
      </c>
      <c r="E87">
        <f>PEC_Info!E87</f>
        <v>0</v>
      </c>
      <c r="F87" s="372">
        <f xml:space="preserve"> IF(AND(D87 &lt;&gt; 2020, OR(A87 = "NATGAS", A87 = "STEAM_COAL", A87 = "COKING_COAL")), PEC_Info_Scen_assumptions!$B$5, 1) * PEC_Info!F87</f>
        <v>1365.1455038046818</v>
      </c>
      <c r="G87">
        <f>PEC_Info!G87</f>
        <v>0.2208</v>
      </c>
      <c r="H87">
        <f>PEC_Info!H87</f>
        <v>400</v>
      </c>
      <c r="I87" s="372">
        <f xml:space="preserve"> IF(AND(D87 &lt;&gt; 2020, OR(A87 = "NATGAS", A87 = "STEAM_COAL", A87 = "COKING_COAL")), PEC_Info_Scen_assumptions!$B$5, 1) * PEC_Info!I87</f>
        <v>3893.3930489719273</v>
      </c>
      <c r="J87">
        <f>PEC_Info!J87</f>
        <v>0.15000000000000002</v>
      </c>
      <c r="K87">
        <f>PEC_Info!K87</f>
        <v>400</v>
      </c>
    </row>
    <row r="88" spans="1:11">
      <c r="A88" t="str">
        <f>PEC_Info!A88</f>
        <v>STEAM_COAL</v>
      </c>
      <c r="B88" t="str">
        <f>PEC_Info!B88</f>
        <v>INDIA</v>
      </c>
      <c r="C88" t="str">
        <f xml:space="preserve"> IF(ISBLANK(PEC_Info!C88), "", PEC_Info!C88)</f>
        <v>SR</v>
      </c>
      <c r="D88">
        <f>PEC_Info!D88</f>
        <v>2027</v>
      </c>
      <c r="E88">
        <f>PEC_Info!E88</f>
        <v>0</v>
      </c>
      <c r="F88" s="372">
        <f xml:space="preserve"> IF(AND(D88 &lt;&gt; 2020, OR(A88 = "NATGAS", A88 = "STEAM_COAL", A88 = "COKING_COAL")), PEC_Info_Scen_assumptions!$B$5, 1) * PEC_Info!F88</f>
        <v>1365.1455038046818</v>
      </c>
      <c r="G88">
        <f>PEC_Info!G88</f>
        <v>0.2208</v>
      </c>
      <c r="H88">
        <f>PEC_Info!H88</f>
        <v>400</v>
      </c>
      <c r="I88" s="372">
        <f xml:space="preserve"> IF(AND(D88 &lt;&gt; 2020, OR(A88 = "NATGAS", A88 = "STEAM_COAL", A88 = "COKING_COAL")), PEC_Info_Scen_assumptions!$B$5, 1) * PEC_Info!I88</f>
        <v>3893.3930489719273</v>
      </c>
      <c r="J88">
        <f>PEC_Info!J88</f>
        <v>0.15000000000000002</v>
      </c>
      <c r="K88">
        <f>PEC_Info!K88</f>
        <v>400</v>
      </c>
    </row>
    <row r="89" spans="1:11">
      <c r="A89" t="str">
        <f>PEC_Info!A89</f>
        <v>STEAM_COAL</v>
      </c>
      <c r="B89" t="str">
        <f>PEC_Info!B89</f>
        <v>INDIA</v>
      </c>
      <c r="C89" t="str">
        <f xml:space="preserve"> IF(ISBLANK(PEC_Info!C89), "", PEC_Info!C89)</f>
        <v>NER</v>
      </c>
      <c r="D89">
        <f>PEC_Info!D89</f>
        <v>2027</v>
      </c>
      <c r="E89">
        <f>PEC_Info!E89</f>
        <v>0</v>
      </c>
      <c r="F89" s="372">
        <f xml:space="preserve"> IF(AND(D89 &lt;&gt; 2020, OR(A89 = "NATGAS", A89 = "STEAM_COAL", A89 = "COKING_COAL")), PEC_Info_Scen_assumptions!$B$5, 1) * PEC_Info!F89</f>
        <v>1365.1455038046818</v>
      </c>
      <c r="G89">
        <f>PEC_Info!G89</f>
        <v>0.2208</v>
      </c>
      <c r="H89">
        <f>PEC_Info!H89</f>
        <v>400</v>
      </c>
      <c r="I89" s="372">
        <f xml:space="preserve"> IF(AND(D89 &lt;&gt; 2020, OR(A89 = "NATGAS", A89 = "STEAM_COAL", A89 = "COKING_COAL")), PEC_Info_Scen_assumptions!$B$5, 1) * PEC_Info!I89</f>
        <v>3893.3930489719273</v>
      </c>
      <c r="J89">
        <f>PEC_Info!J89</f>
        <v>0.15000000000000002</v>
      </c>
      <c r="K89">
        <f>PEC_Info!K89</f>
        <v>400</v>
      </c>
    </row>
    <row r="90" spans="1:11">
      <c r="A90" t="str">
        <f>PEC_Info!A90</f>
        <v>STEAM_COAL</v>
      </c>
      <c r="B90" t="str">
        <f>PEC_Info!B90</f>
        <v>INDIA</v>
      </c>
      <c r="C90" t="str">
        <f xml:space="preserve"> IF(ISBLANK(PEC_Info!C90), "", PEC_Info!C90)</f>
        <v>ER</v>
      </c>
      <c r="D90">
        <f>PEC_Info!D90</f>
        <v>2028</v>
      </c>
      <c r="E90">
        <f>PEC_Info!E90</f>
        <v>0</v>
      </c>
      <c r="F90" s="372">
        <f xml:space="preserve"> IF(AND(D90 &lt;&gt; 2020, OR(A90 = "NATGAS", A90 = "STEAM_COAL", A90 = "COKING_COAL")), PEC_Info_Scen_assumptions!$B$5, 1) * PEC_Info!F90</f>
        <v>1378.7969588427288</v>
      </c>
      <c r="G90">
        <f>PEC_Info!G90</f>
        <v>0.2208</v>
      </c>
      <c r="H90">
        <f>PEC_Info!H90</f>
        <v>400</v>
      </c>
      <c r="I90" s="372">
        <f xml:space="preserve"> IF(AND(D90 &lt;&gt; 2020, OR(A90 = "NATGAS", A90 = "STEAM_COAL", A90 = "COKING_COAL")), PEC_Info_Scen_assumptions!$B$5, 1) * PEC_Info!I90</f>
        <v>3912.7240865989929</v>
      </c>
      <c r="J90">
        <f>PEC_Info!J90</f>
        <v>0.15000000000000002</v>
      </c>
      <c r="K90">
        <f>PEC_Info!K90</f>
        <v>400</v>
      </c>
    </row>
    <row r="91" spans="1:11">
      <c r="A91" t="str">
        <f>PEC_Info!A91</f>
        <v>STEAM_COAL</v>
      </c>
      <c r="B91" t="str">
        <f>PEC_Info!B91</f>
        <v>INDIA</v>
      </c>
      <c r="C91" t="str">
        <f xml:space="preserve"> IF(ISBLANK(PEC_Info!C91), "", PEC_Info!C91)</f>
        <v>WR</v>
      </c>
      <c r="D91">
        <f>PEC_Info!D91</f>
        <v>2028</v>
      </c>
      <c r="E91">
        <f>PEC_Info!E91</f>
        <v>0</v>
      </c>
      <c r="F91" s="372">
        <f xml:space="preserve"> IF(AND(D91 &lt;&gt; 2020, OR(A91 = "NATGAS", A91 = "STEAM_COAL", A91 = "COKING_COAL")), PEC_Info_Scen_assumptions!$B$5, 1) * PEC_Info!F91</f>
        <v>1378.7969588427288</v>
      </c>
      <c r="G91">
        <f>PEC_Info!G91</f>
        <v>0.2208</v>
      </c>
      <c r="H91">
        <f>PEC_Info!H91</f>
        <v>400</v>
      </c>
      <c r="I91" s="372">
        <f xml:space="preserve"> IF(AND(D91 &lt;&gt; 2020, OR(A91 = "NATGAS", A91 = "STEAM_COAL", A91 = "COKING_COAL")), PEC_Info_Scen_assumptions!$B$5, 1) * PEC_Info!I91</f>
        <v>3912.7240865989929</v>
      </c>
      <c r="J91">
        <f>PEC_Info!J91</f>
        <v>0.15000000000000002</v>
      </c>
      <c r="K91">
        <f>PEC_Info!K91</f>
        <v>400</v>
      </c>
    </row>
    <row r="92" spans="1:11">
      <c r="A92" t="str">
        <f>PEC_Info!A92</f>
        <v>STEAM_COAL</v>
      </c>
      <c r="B92" t="str">
        <f>PEC_Info!B92</f>
        <v>INDIA</v>
      </c>
      <c r="C92" t="str">
        <f xml:space="preserve"> IF(ISBLANK(PEC_Info!C92), "", PEC_Info!C92)</f>
        <v>NR</v>
      </c>
      <c r="D92">
        <f>PEC_Info!D92</f>
        <v>2028</v>
      </c>
      <c r="E92">
        <f>PEC_Info!E92</f>
        <v>0</v>
      </c>
      <c r="F92" s="372">
        <f xml:space="preserve"> IF(AND(D92 &lt;&gt; 2020, OR(A92 = "NATGAS", A92 = "STEAM_COAL", A92 = "COKING_COAL")), PEC_Info_Scen_assumptions!$B$5, 1) * PEC_Info!F92</f>
        <v>1378.7969588427288</v>
      </c>
      <c r="G92">
        <f>PEC_Info!G92</f>
        <v>0.2208</v>
      </c>
      <c r="H92">
        <f>PEC_Info!H92</f>
        <v>400</v>
      </c>
      <c r="I92" s="372">
        <f xml:space="preserve"> IF(AND(D92 &lt;&gt; 2020, OR(A92 = "NATGAS", A92 = "STEAM_COAL", A92 = "COKING_COAL")), PEC_Info_Scen_assumptions!$B$5, 1) * PEC_Info!I92</f>
        <v>3912.7240865989929</v>
      </c>
      <c r="J92">
        <f>PEC_Info!J92</f>
        <v>0.15000000000000002</v>
      </c>
      <c r="K92">
        <f>PEC_Info!K92</f>
        <v>400</v>
      </c>
    </row>
    <row r="93" spans="1:11">
      <c r="A93" t="str">
        <f>PEC_Info!A93</f>
        <v>STEAM_COAL</v>
      </c>
      <c r="B93" t="str">
        <f>PEC_Info!B93</f>
        <v>INDIA</v>
      </c>
      <c r="C93" t="str">
        <f xml:space="preserve"> IF(ISBLANK(PEC_Info!C93), "", PEC_Info!C93)</f>
        <v>SR</v>
      </c>
      <c r="D93">
        <f>PEC_Info!D93</f>
        <v>2028</v>
      </c>
      <c r="E93">
        <f>PEC_Info!E93</f>
        <v>0</v>
      </c>
      <c r="F93" s="372">
        <f xml:space="preserve"> IF(AND(D93 &lt;&gt; 2020, OR(A93 = "NATGAS", A93 = "STEAM_COAL", A93 = "COKING_COAL")), PEC_Info_Scen_assumptions!$B$5, 1) * PEC_Info!F93</f>
        <v>1378.7969588427288</v>
      </c>
      <c r="G93">
        <f>PEC_Info!G93</f>
        <v>0.2208</v>
      </c>
      <c r="H93">
        <f>PEC_Info!H93</f>
        <v>400</v>
      </c>
      <c r="I93" s="372">
        <f xml:space="preserve"> IF(AND(D93 &lt;&gt; 2020, OR(A93 = "NATGAS", A93 = "STEAM_COAL", A93 = "COKING_COAL")), PEC_Info_Scen_assumptions!$B$5, 1) * PEC_Info!I93</f>
        <v>3912.7240865989929</v>
      </c>
      <c r="J93">
        <f>PEC_Info!J93</f>
        <v>0.15000000000000002</v>
      </c>
      <c r="K93">
        <f>PEC_Info!K93</f>
        <v>400</v>
      </c>
    </row>
    <row r="94" spans="1:11">
      <c r="A94" t="str">
        <f>PEC_Info!A94</f>
        <v>STEAM_COAL</v>
      </c>
      <c r="B94" t="str">
        <f>PEC_Info!B94</f>
        <v>INDIA</v>
      </c>
      <c r="C94" t="str">
        <f xml:space="preserve"> IF(ISBLANK(PEC_Info!C94), "", PEC_Info!C94)</f>
        <v>NER</v>
      </c>
      <c r="D94">
        <f>PEC_Info!D94</f>
        <v>2028</v>
      </c>
      <c r="E94">
        <f>PEC_Info!E94</f>
        <v>0</v>
      </c>
      <c r="F94" s="372">
        <f xml:space="preserve"> IF(AND(D94 &lt;&gt; 2020, OR(A94 = "NATGAS", A94 = "STEAM_COAL", A94 = "COKING_COAL")), PEC_Info_Scen_assumptions!$B$5, 1) * PEC_Info!F94</f>
        <v>1378.7969588427288</v>
      </c>
      <c r="G94">
        <f>PEC_Info!G94</f>
        <v>0.2208</v>
      </c>
      <c r="H94">
        <f>PEC_Info!H94</f>
        <v>400</v>
      </c>
      <c r="I94" s="372">
        <f xml:space="preserve"> IF(AND(D94 &lt;&gt; 2020, OR(A94 = "NATGAS", A94 = "STEAM_COAL", A94 = "COKING_COAL")), PEC_Info_Scen_assumptions!$B$5, 1) * PEC_Info!I94</f>
        <v>3912.7240865989929</v>
      </c>
      <c r="J94">
        <f>PEC_Info!J94</f>
        <v>0.15000000000000002</v>
      </c>
      <c r="K94">
        <f>PEC_Info!K94</f>
        <v>400</v>
      </c>
    </row>
    <row r="95" spans="1:11">
      <c r="A95" t="str">
        <f>PEC_Info!A95</f>
        <v>STEAM_COAL</v>
      </c>
      <c r="B95" t="str">
        <f>PEC_Info!B95</f>
        <v>INDIA</v>
      </c>
      <c r="C95" t="str">
        <f xml:space="preserve"> IF(ISBLANK(PEC_Info!C95), "", PEC_Info!C95)</f>
        <v>ER</v>
      </c>
      <c r="D95">
        <f>PEC_Info!D95</f>
        <v>2029</v>
      </c>
      <c r="E95">
        <f>PEC_Info!E95</f>
        <v>0</v>
      </c>
      <c r="F95" s="372">
        <f xml:space="preserve"> IF(AND(D95 &lt;&gt; 2020, OR(A95 = "NATGAS", A95 = "STEAM_COAL", A95 = "COKING_COAL")), PEC_Info_Scen_assumptions!$B$5, 1) * PEC_Info!F95</f>
        <v>1392.5849284311562</v>
      </c>
      <c r="G95">
        <f>PEC_Info!G95</f>
        <v>0.2208</v>
      </c>
      <c r="H95">
        <f>PEC_Info!H95</f>
        <v>400</v>
      </c>
      <c r="I95" s="372">
        <f xml:space="preserve"> IF(AND(D95 &lt;&gt; 2020, OR(A95 = "NATGAS", A95 = "STEAM_COAL", A95 = "COKING_COAL")), PEC_Info_Scen_assumptions!$B$5, 1) * PEC_Info!I95</f>
        <v>3932.1511045216612</v>
      </c>
      <c r="J95">
        <f>PEC_Info!J95</f>
        <v>0.15000000000000002</v>
      </c>
      <c r="K95">
        <f>PEC_Info!K95</f>
        <v>400</v>
      </c>
    </row>
    <row r="96" spans="1:11">
      <c r="A96" t="str">
        <f>PEC_Info!A96</f>
        <v>STEAM_COAL</v>
      </c>
      <c r="B96" t="str">
        <f>PEC_Info!B96</f>
        <v>INDIA</v>
      </c>
      <c r="C96" t="str">
        <f xml:space="preserve"> IF(ISBLANK(PEC_Info!C96), "", PEC_Info!C96)</f>
        <v>WR</v>
      </c>
      <c r="D96">
        <f>PEC_Info!D96</f>
        <v>2029</v>
      </c>
      <c r="E96">
        <f>PEC_Info!E96</f>
        <v>0</v>
      </c>
      <c r="F96" s="372">
        <f xml:space="preserve"> IF(AND(D96 &lt;&gt; 2020, OR(A96 = "NATGAS", A96 = "STEAM_COAL", A96 = "COKING_COAL")), PEC_Info_Scen_assumptions!$B$5, 1) * PEC_Info!F96</f>
        <v>1392.5849284311562</v>
      </c>
      <c r="G96">
        <f>PEC_Info!G96</f>
        <v>0.2208</v>
      </c>
      <c r="H96">
        <f>PEC_Info!H96</f>
        <v>400</v>
      </c>
      <c r="I96" s="372">
        <f xml:space="preserve"> IF(AND(D96 &lt;&gt; 2020, OR(A96 = "NATGAS", A96 = "STEAM_COAL", A96 = "COKING_COAL")), PEC_Info_Scen_assumptions!$B$5, 1) * PEC_Info!I96</f>
        <v>3932.1511045216612</v>
      </c>
      <c r="J96">
        <f>PEC_Info!J96</f>
        <v>0.15000000000000002</v>
      </c>
      <c r="K96">
        <f>PEC_Info!K96</f>
        <v>400</v>
      </c>
    </row>
    <row r="97" spans="1:11">
      <c r="A97" t="str">
        <f>PEC_Info!A97</f>
        <v>STEAM_COAL</v>
      </c>
      <c r="B97" t="str">
        <f>PEC_Info!B97</f>
        <v>INDIA</v>
      </c>
      <c r="C97" t="str">
        <f xml:space="preserve"> IF(ISBLANK(PEC_Info!C97), "", PEC_Info!C97)</f>
        <v>NR</v>
      </c>
      <c r="D97">
        <f>PEC_Info!D97</f>
        <v>2029</v>
      </c>
      <c r="E97">
        <f>PEC_Info!E97</f>
        <v>0</v>
      </c>
      <c r="F97" s="372">
        <f xml:space="preserve"> IF(AND(D97 &lt;&gt; 2020, OR(A97 = "NATGAS", A97 = "STEAM_COAL", A97 = "COKING_COAL")), PEC_Info_Scen_assumptions!$B$5, 1) * PEC_Info!F97</f>
        <v>1392.5849284311562</v>
      </c>
      <c r="G97">
        <f>PEC_Info!G97</f>
        <v>0.2208</v>
      </c>
      <c r="H97">
        <f>PEC_Info!H97</f>
        <v>400</v>
      </c>
      <c r="I97" s="372">
        <f xml:space="preserve"> IF(AND(D97 &lt;&gt; 2020, OR(A97 = "NATGAS", A97 = "STEAM_COAL", A97 = "COKING_COAL")), PEC_Info_Scen_assumptions!$B$5, 1) * PEC_Info!I97</f>
        <v>3932.1511045216612</v>
      </c>
      <c r="J97">
        <f>PEC_Info!J97</f>
        <v>0.15000000000000002</v>
      </c>
      <c r="K97">
        <f>PEC_Info!K97</f>
        <v>400</v>
      </c>
    </row>
    <row r="98" spans="1:11">
      <c r="A98" t="str">
        <f>PEC_Info!A98</f>
        <v>STEAM_COAL</v>
      </c>
      <c r="B98" t="str">
        <f>PEC_Info!B98</f>
        <v>INDIA</v>
      </c>
      <c r="C98" t="str">
        <f xml:space="preserve"> IF(ISBLANK(PEC_Info!C98), "", PEC_Info!C98)</f>
        <v>SR</v>
      </c>
      <c r="D98">
        <f>PEC_Info!D98</f>
        <v>2029</v>
      </c>
      <c r="E98">
        <f>PEC_Info!E98</f>
        <v>0</v>
      </c>
      <c r="F98" s="372">
        <f xml:space="preserve"> IF(AND(D98 &lt;&gt; 2020, OR(A98 = "NATGAS", A98 = "STEAM_COAL", A98 = "COKING_COAL")), PEC_Info_Scen_assumptions!$B$5, 1) * PEC_Info!F98</f>
        <v>1392.5849284311562</v>
      </c>
      <c r="G98">
        <f>PEC_Info!G98</f>
        <v>0.2208</v>
      </c>
      <c r="H98">
        <f>PEC_Info!H98</f>
        <v>400</v>
      </c>
      <c r="I98" s="372">
        <f xml:space="preserve"> IF(AND(D98 &lt;&gt; 2020, OR(A98 = "NATGAS", A98 = "STEAM_COAL", A98 = "COKING_COAL")), PEC_Info_Scen_assumptions!$B$5, 1) * PEC_Info!I98</f>
        <v>3932.1511045216612</v>
      </c>
      <c r="J98">
        <f>PEC_Info!J98</f>
        <v>0.15000000000000002</v>
      </c>
      <c r="K98">
        <f>PEC_Info!K98</f>
        <v>400</v>
      </c>
    </row>
    <row r="99" spans="1:11">
      <c r="A99" t="str">
        <f>PEC_Info!A99</f>
        <v>STEAM_COAL</v>
      </c>
      <c r="B99" t="str">
        <f>PEC_Info!B99</f>
        <v>INDIA</v>
      </c>
      <c r="C99" t="str">
        <f xml:space="preserve"> IF(ISBLANK(PEC_Info!C99), "", PEC_Info!C99)</f>
        <v>NER</v>
      </c>
      <c r="D99">
        <f>PEC_Info!D99</f>
        <v>2029</v>
      </c>
      <c r="E99">
        <f>PEC_Info!E99</f>
        <v>0</v>
      </c>
      <c r="F99" s="372">
        <f xml:space="preserve"> IF(AND(D99 &lt;&gt; 2020, OR(A99 = "NATGAS", A99 = "STEAM_COAL", A99 = "COKING_COAL")), PEC_Info_Scen_assumptions!$B$5, 1) * PEC_Info!F99</f>
        <v>1392.5849284311562</v>
      </c>
      <c r="G99">
        <f>PEC_Info!G99</f>
        <v>0.2208</v>
      </c>
      <c r="H99">
        <f>PEC_Info!H99</f>
        <v>400</v>
      </c>
      <c r="I99" s="372">
        <f xml:space="preserve"> IF(AND(D99 &lt;&gt; 2020, OR(A99 = "NATGAS", A99 = "STEAM_COAL", A99 = "COKING_COAL")), PEC_Info_Scen_assumptions!$B$5, 1) * PEC_Info!I99</f>
        <v>3932.1511045216612</v>
      </c>
      <c r="J99">
        <f>PEC_Info!J99</f>
        <v>0.15000000000000002</v>
      </c>
      <c r="K99">
        <f>PEC_Info!K99</f>
        <v>400</v>
      </c>
    </row>
    <row r="100" spans="1:11">
      <c r="A100" t="str">
        <f>PEC_Info!A100</f>
        <v>STEAM_COAL</v>
      </c>
      <c r="B100" t="str">
        <f>PEC_Info!B100</f>
        <v>INDIA</v>
      </c>
      <c r="C100" t="str">
        <f xml:space="preserve"> IF(ISBLANK(PEC_Info!C100), "", PEC_Info!C100)</f>
        <v>ER</v>
      </c>
      <c r="D100">
        <f>PEC_Info!D100</f>
        <v>2030</v>
      </c>
      <c r="E100">
        <f>PEC_Info!E100</f>
        <v>0</v>
      </c>
      <c r="F100" s="372">
        <f xml:space="preserve"> IF(AND(D100 &lt;&gt; 2020, OR(A100 = "NATGAS", A100 = "STEAM_COAL", A100 = "COKING_COAL")), PEC_Info_Scen_assumptions!$B$5, 1) * PEC_Info!F100</f>
        <v>1406.5107777154678</v>
      </c>
      <c r="G100">
        <f>PEC_Info!G100</f>
        <v>0.2208</v>
      </c>
      <c r="H100">
        <f>PEC_Info!H100</f>
        <v>400</v>
      </c>
      <c r="I100" s="372">
        <f xml:space="preserve"> IF(AND(D100 &lt;&gt; 2020, OR(A100 = "NATGAS", A100 = "STEAM_COAL", A100 = "COKING_COAL")), PEC_Info_Scen_assumptions!$B$5, 1) * PEC_Info!I100</f>
        <v>3951.6745792905103</v>
      </c>
      <c r="J100">
        <f>PEC_Info!J100</f>
        <v>0.15000000000000002</v>
      </c>
      <c r="K100">
        <f>PEC_Info!K100</f>
        <v>400</v>
      </c>
    </row>
    <row r="101" spans="1:11">
      <c r="A101" t="str">
        <f>PEC_Info!A101</f>
        <v>STEAM_COAL</v>
      </c>
      <c r="B101" t="str">
        <f>PEC_Info!B101</f>
        <v>INDIA</v>
      </c>
      <c r="C101" t="str">
        <f xml:space="preserve"> IF(ISBLANK(PEC_Info!C101), "", PEC_Info!C101)</f>
        <v>WR</v>
      </c>
      <c r="D101">
        <f>PEC_Info!D101</f>
        <v>2030</v>
      </c>
      <c r="E101">
        <f>PEC_Info!E101</f>
        <v>0</v>
      </c>
      <c r="F101" s="372">
        <f xml:space="preserve"> IF(AND(D101 &lt;&gt; 2020, OR(A101 = "NATGAS", A101 = "STEAM_COAL", A101 = "COKING_COAL")), PEC_Info_Scen_assumptions!$B$5, 1) * PEC_Info!F101</f>
        <v>1406.5107777154678</v>
      </c>
      <c r="G101">
        <f>PEC_Info!G101</f>
        <v>0.2208</v>
      </c>
      <c r="H101">
        <f>PEC_Info!H101</f>
        <v>400</v>
      </c>
      <c r="I101" s="372">
        <f xml:space="preserve"> IF(AND(D101 &lt;&gt; 2020, OR(A101 = "NATGAS", A101 = "STEAM_COAL", A101 = "COKING_COAL")), PEC_Info_Scen_assumptions!$B$5, 1) * PEC_Info!I101</f>
        <v>3951.6745792905103</v>
      </c>
      <c r="J101">
        <f>PEC_Info!J101</f>
        <v>0.15000000000000002</v>
      </c>
      <c r="K101">
        <f>PEC_Info!K101</f>
        <v>400</v>
      </c>
    </row>
    <row r="102" spans="1:11">
      <c r="A102" t="str">
        <f>PEC_Info!A102</f>
        <v>STEAM_COAL</v>
      </c>
      <c r="B102" t="str">
        <f>PEC_Info!B102</f>
        <v>INDIA</v>
      </c>
      <c r="C102" t="str">
        <f xml:space="preserve"> IF(ISBLANK(PEC_Info!C102), "", PEC_Info!C102)</f>
        <v>NR</v>
      </c>
      <c r="D102">
        <f>PEC_Info!D102</f>
        <v>2030</v>
      </c>
      <c r="E102">
        <f>PEC_Info!E102</f>
        <v>0</v>
      </c>
      <c r="F102" s="372">
        <f xml:space="preserve"> IF(AND(D102 &lt;&gt; 2020, OR(A102 = "NATGAS", A102 = "STEAM_COAL", A102 = "COKING_COAL")), PEC_Info_Scen_assumptions!$B$5, 1) * PEC_Info!F102</f>
        <v>1406.5107777154678</v>
      </c>
      <c r="G102">
        <f>PEC_Info!G102</f>
        <v>0.2208</v>
      </c>
      <c r="H102">
        <f>PEC_Info!H102</f>
        <v>400</v>
      </c>
      <c r="I102" s="372">
        <f xml:space="preserve"> IF(AND(D102 &lt;&gt; 2020, OR(A102 = "NATGAS", A102 = "STEAM_COAL", A102 = "COKING_COAL")), PEC_Info_Scen_assumptions!$B$5, 1) * PEC_Info!I102</f>
        <v>3951.6745792905103</v>
      </c>
      <c r="J102">
        <f>PEC_Info!J102</f>
        <v>0.15000000000000002</v>
      </c>
      <c r="K102">
        <f>PEC_Info!K102</f>
        <v>400</v>
      </c>
    </row>
    <row r="103" spans="1:11">
      <c r="A103" t="str">
        <f>PEC_Info!A103</f>
        <v>STEAM_COAL</v>
      </c>
      <c r="B103" t="str">
        <f>PEC_Info!B103</f>
        <v>INDIA</v>
      </c>
      <c r="C103" t="str">
        <f xml:space="preserve"> IF(ISBLANK(PEC_Info!C103), "", PEC_Info!C103)</f>
        <v>SR</v>
      </c>
      <c r="D103">
        <f>PEC_Info!D103</f>
        <v>2030</v>
      </c>
      <c r="E103">
        <f>PEC_Info!E103</f>
        <v>0</v>
      </c>
      <c r="F103" s="372">
        <f xml:space="preserve"> IF(AND(D103 &lt;&gt; 2020, OR(A103 = "NATGAS", A103 = "STEAM_COAL", A103 = "COKING_COAL")), PEC_Info_Scen_assumptions!$B$5, 1) * PEC_Info!F103</f>
        <v>1406.5107777154678</v>
      </c>
      <c r="G103">
        <f>PEC_Info!G103</f>
        <v>0.2208</v>
      </c>
      <c r="H103">
        <f>PEC_Info!H103</f>
        <v>400</v>
      </c>
      <c r="I103" s="372">
        <f xml:space="preserve"> IF(AND(D103 &lt;&gt; 2020, OR(A103 = "NATGAS", A103 = "STEAM_COAL", A103 = "COKING_COAL")), PEC_Info_Scen_assumptions!$B$5, 1) * PEC_Info!I103</f>
        <v>3951.6745792905103</v>
      </c>
      <c r="J103">
        <f>PEC_Info!J103</f>
        <v>0.15000000000000002</v>
      </c>
      <c r="K103">
        <f>PEC_Info!K103</f>
        <v>400</v>
      </c>
    </row>
    <row r="104" spans="1:11">
      <c r="A104" t="str">
        <f>PEC_Info!A104</f>
        <v>STEAM_COAL</v>
      </c>
      <c r="B104" t="str">
        <f>PEC_Info!B104</f>
        <v>INDIA</v>
      </c>
      <c r="C104" t="str">
        <f xml:space="preserve"> IF(ISBLANK(PEC_Info!C104), "", PEC_Info!C104)</f>
        <v>NER</v>
      </c>
      <c r="D104">
        <f>PEC_Info!D104</f>
        <v>2030</v>
      </c>
      <c r="E104">
        <f>PEC_Info!E104</f>
        <v>0</v>
      </c>
      <c r="F104" s="372">
        <f xml:space="preserve"> IF(AND(D104 &lt;&gt; 2020, OR(A104 = "NATGAS", A104 = "STEAM_COAL", A104 = "COKING_COAL")), PEC_Info_Scen_assumptions!$B$5, 1) * PEC_Info!F104</f>
        <v>1406.5107777154678</v>
      </c>
      <c r="G104">
        <f>PEC_Info!G104</f>
        <v>0.2208</v>
      </c>
      <c r="H104">
        <f>PEC_Info!H104</f>
        <v>400</v>
      </c>
      <c r="I104" s="372">
        <f xml:space="preserve"> IF(AND(D104 &lt;&gt; 2020, OR(A104 = "NATGAS", A104 = "STEAM_COAL", A104 = "COKING_COAL")), PEC_Info_Scen_assumptions!$B$5, 1) * PEC_Info!I104</f>
        <v>3951.6745792905103</v>
      </c>
      <c r="J104">
        <f>PEC_Info!J104</f>
        <v>0.15000000000000002</v>
      </c>
      <c r="K104">
        <f>PEC_Info!K104</f>
        <v>400</v>
      </c>
    </row>
    <row r="105" spans="1:11">
      <c r="A105" t="str">
        <f>PEC_Info!A105</f>
        <v>STEAM_COAL</v>
      </c>
      <c r="B105" t="str">
        <f>PEC_Info!B105</f>
        <v>INDIA</v>
      </c>
      <c r="C105" t="str">
        <f xml:space="preserve"> IF(ISBLANK(PEC_Info!C105), "", PEC_Info!C105)</f>
        <v>ER</v>
      </c>
      <c r="D105">
        <f>PEC_Info!D105</f>
        <v>2031</v>
      </c>
      <c r="E105">
        <f>PEC_Info!E105</f>
        <v>0</v>
      </c>
      <c r="F105" s="372">
        <f xml:space="preserve"> IF(AND(D105 &lt;&gt; 2020, OR(A105 = "NATGAS", A105 = "STEAM_COAL", A105 = "COKING_COAL")), PEC_Info_Scen_assumptions!$B$5, 1) * PEC_Info!F105</f>
        <v>1420.5758854926225</v>
      </c>
      <c r="G105">
        <f>PEC_Info!G105</f>
        <v>0.2208</v>
      </c>
      <c r="H105">
        <f>PEC_Info!H105</f>
        <v>400</v>
      </c>
      <c r="I105" s="372">
        <f xml:space="preserve"> IF(AND(D105 &lt;&gt; 2020, OR(A105 = "NATGAS", A105 = "STEAM_COAL", A105 = "COKING_COAL")), PEC_Info_Scen_assumptions!$B$5, 1) * PEC_Info!I105</f>
        <v>3971.2949898222328</v>
      </c>
      <c r="J105">
        <f>PEC_Info!J105</f>
        <v>0.15000000000000002</v>
      </c>
      <c r="K105">
        <f>PEC_Info!K105</f>
        <v>400</v>
      </c>
    </row>
    <row r="106" spans="1:11">
      <c r="A106" t="str">
        <f>PEC_Info!A106</f>
        <v>STEAM_COAL</v>
      </c>
      <c r="B106" t="str">
        <f>PEC_Info!B106</f>
        <v>INDIA</v>
      </c>
      <c r="C106" t="str">
        <f xml:space="preserve"> IF(ISBLANK(PEC_Info!C106), "", PEC_Info!C106)</f>
        <v>WR</v>
      </c>
      <c r="D106">
        <f>PEC_Info!D106</f>
        <v>2031</v>
      </c>
      <c r="E106">
        <f>PEC_Info!E106</f>
        <v>0</v>
      </c>
      <c r="F106" s="372">
        <f xml:space="preserve"> IF(AND(D106 &lt;&gt; 2020, OR(A106 = "NATGAS", A106 = "STEAM_COAL", A106 = "COKING_COAL")), PEC_Info_Scen_assumptions!$B$5, 1) * PEC_Info!F106</f>
        <v>1420.5758854926225</v>
      </c>
      <c r="G106">
        <f>PEC_Info!G106</f>
        <v>0.2208</v>
      </c>
      <c r="H106">
        <f>PEC_Info!H106</f>
        <v>400</v>
      </c>
      <c r="I106" s="372">
        <f xml:space="preserve"> IF(AND(D106 &lt;&gt; 2020, OR(A106 = "NATGAS", A106 = "STEAM_COAL", A106 = "COKING_COAL")), PEC_Info_Scen_assumptions!$B$5, 1) * PEC_Info!I106</f>
        <v>3971.2949898222328</v>
      </c>
      <c r="J106">
        <f>PEC_Info!J106</f>
        <v>0.15000000000000002</v>
      </c>
      <c r="K106">
        <f>PEC_Info!K106</f>
        <v>400</v>
      </c>
    </row>
    <row r="107" spans="1:11">
      <c r="A107" t="str">
        <f>PEC_Info!A107</f>
        <v>STEAM_COAL</v>
      </c>
      <c r="B107" t="str">
        <f>PEC_Info!B107</f>
        <v>INDIA</v>
      </c>
      <c r="C107" t="str">
        <f xml:space="preserve"> IF(ISBLANK(PEC_Info!C107), "", PEC_Info!C107)</f>
        <v>NR</v>
      </c>
      <c r="D107">
        <f>PEC_Info!D107</f>
        <v>2031</v>
      </c>
      <c r="E107">
        <f>PEC_Info!E107</f>
        <v>0</v>
      </c>
      <c r="F107" s="372">
        <f xml:space="preserve"> IF(AND(D107 &lt;&gt; 2020, OR(A107 = "NATGAS", A107 = "STEAM_COAL", A107 = "COKING_COAL")), PEC_Info_Scen_assumptions!$B$5, 1) * PEC_Info!F107</f>
        <v>1420.5758854926225</v>
      </c>
      <c r="G107">
        <f>PEC_Info!G107</f>
        <v>0.2208</v>
      </c>
      <c r="H107">
        <f>PEC_Info!H107</f>
        <v>400</v>
      </c>
      <c r="I107" s="372">
        <f xml:space="preserve"> IF(AND(D107 &lt;&gt; 2020, OR(A107 = "NATGAS", A107 = "STEAM_COAL", A107 = "COKING_COAL")), PEC_Info_Scen_assumptions!$B$5, 1) * PEC_Info!I107</f>
        <v>3971.2949898222328</v>
      </c>
      <c r="J107">
        <f>PEC_Info!J107</f>
        <v>0.15000000000000002</v>
      </c>
      <c r="K107">
        <f>PEC_Info!K107</f>
        <v>400</v>
      </c>
    </row>
    <row r="108" spans="1:11">
      <c r="A108" t="str">
        <f>PEC_Info!A108</f>
        <v>STEAM_COAL</v>
      </c>
      <c r="B108" t="str">
        <f>PEC_Info!B108</f>
        <v>INDIA</v>
      </c>
      <c r="C108" t="str">
        <f xml:space="preserve"> IF(ISBLANK(PEC_Info!C108), "", PEC_Info!C108)</f>
        <v>SR</v>
      </c>
      <c r="D108">
        <f>PEC_Info!D108</f>
        <v>2031</v>
      </c>
      <c r="E108">
        <f>PEC_Info!E108</f>
        <v>0</v>
      </c>
      <c r="F108" s="372">
        <f xml:space="preserve"> IF(AND(D108 &lt;&gt; 2020, OR(A108 = "NATGAS", A108 = "STEAM_COAL", A108 = "COKING_COAL")), PEC_Info_Scen_assumptions!$B$5, 1) * PEC_Info!F108</f>
        <v>1420.5758854926225</v>
      </c>
      <c r="G108">
        <f>PEC_Info!G108</f>
        <v>0.2208</v>
      </c>
      <c r="H108">
        <f>PEC_Info!H108</f>
        <v>400</v>
      </c>
      <c r="I108" s="372">
        <f xml:space="preserve"> IF(AND(D108 &lt;&gt; 2020, OR(A108 = "NATGAS", A108 = "STEAM_COAL", A108 = "COKING_COAL")), PEC_Info_Scen_assumptions!$B$5, 1) * PEC_Info!I108</f>
        <v>3971.2949898222328</v>
      </c>
      <c r="J108">
        <f>PEC_Info!J108</f>
        <v>0.15000000000000002</v>
      </c>
      <c r="K108">
        <f>PEC_Info!K108</f>
        <v>400</v>
      </c>
    </row>
    <row r="109" spans="1:11">
      <c r="A109" t="str">
        <f>PEC_Info!A109</f>
        <v>STEAM_COAL</v>
      </c>
      <c r="B109" t="str">
        <f>PEC_Info!B109</f>
        <v>INDIA</v>
      </c>
      <c r="C109" t="str">
        <f xml:space="preserve"> IF(ISBLANK(PEC_Info!C109), "", PEC_Info!C109)</f>
        <v>NER</v>
      </c>
      <c r="D109">
        <f>PEC_Info!D109</f>
        <v>2031</v>
      </c>
      <c r="E109">
        <f>PEC_Info!E109</f>
        <v>0</v>
      </c>
      <c r="F109" s="372">
        <f xml:space="preserve"> IF(AND(D109 &lt;&gt; 2020, OR(A109 = "NATGAS", A109 = "STEAM_COAL", A109 = "COKING_COAL")), PEC_Info_Scen_assumptions!$B$5, 1) * PEC_Info!F109</f>
        <v>1420.5758854926225</v>
      </c>
      <c r="G109">
        <f>PEC_Info!G109</f>
        <v>0.2208</v>
      </c>
      <c r="H109">
        <f>PEC_Info!H109</f>
        <v>400</v>
      </c>
      <c r="I109" s="372">
        <f xml:space="preserve"> IF(AND(D109 &lt;&gt; 2020, OR(A109 = "NATGAS", A109 = "STEAM_COAL", A109 = "COKING_COAL")), PEC_Info_Scen_assumptions!$B$5, 1) * PEC_Info!I109</f>
        <v>3971.2949898222328</v>
      </c>
      <c r="J109">
        <f>PEC_Info!J109</f>
        <v>0.15000000000000002</v>
      </c>
      <c r="K109">
        <f>PEC_Info!K109</f>
        <v>400</v>
      </c>
    </row>
    <row r="110" spans="1:11">
      <c r="A110" t="str">
        <f>PEC_Info!A110</f>
        <v>COKING_COAL</v>
      </c>
      <c r="B110" t="str">
        <f>PEC_Info!B110</f>
        <v>INDIA</v>
      </c>
      <c r="C110" t="str">
        <f xml:space="preserve"> IF(ISBLANK(PEC_Info!C110), "", PEC_Info!C110)</f>
        <v>ER</v>
      </c>
      <c r="D110">
        <f>PEC_Info!D110</f>
        <v>2020</v>
      </c>
      <c r="E110">
        <f>PEC_Info!E110</f>
        <v>0</v>
      </c>
      <c r="F110" s="372">
        <f xml:space="preserve"> IF(AND(D110 &lt;&gt; 2020, OR(A110 = "NATGAS", A110 = "STEAM_COAL", A110 = "COKING_COAL")), PEC_Info_Scen_assumptions!$B$5, 1) * PEC_Info!F110</f>
        <v>0</v>
      </c>
      <c r="G110">
        <f>PEC_Info!G110</f>
        <v>0</v>
      </c>
      <c r="H110">
        <f>PEC_Info!H110</f>
        <v>0</v>
      </c>
      <c r="I110" s="372">
        <f xml:space="preserve"> IF(AND(D110 &lt;&gt; 2020, OR(A110 = "NATGAS", A110 = "STEAM_COAL", A110 = "COKING_COAL")), PEC_Info_Scen_assumptions!$B$5, 1) * PEC_Info!I110</f>
        <v>11421.596419149811</v>
      </c>
      <c r="J110">
        <f>PEC_Info!J110</f>
        <v>0.15000000000000002</v>
      </c>
      <c r="K110">
        <f>PEC_Info!K110</f>
        <v>400</v>
      </c>
    </row>
    <row r="111" spans="1:11">
      <c r="A111" t="str">
        <f>PEC_Info!A111</f>
        <v>COKING_COAL</v>
      </c>
      <c r="B111" t="str">
        <f>PEC_Info!B111</f>
        <v>INDIA</v>
      </c>
      <c r="C111" t="str">
        <f xml:space="preserve"> IF(ISBLANK(PEC_Info!C111), "", PEC_Info!C111)</f>
        <v>WR</v>
      </c>
      <c r="D111">
        <f>PEC_Info!D111</f>
        <v>2020</v>
      </c>
      <c r="E111">
        <f>PEC_Info!E111</f>
        <v>0</v>
      </c>
      <c r="F111" s="372">
        <f xml:space="preserve"> IF(AND(D111 &lt;&gt; 2020, OR(A111 = "NATGAS", A111 = "STEAM_COAL", A111 = "COKING_COAL")), PEC_Info_Scen_assumptions!$B$5, 1) * PEC_Info!F111</f>
        <v>0</v>
      </c>
      <c r="G111">
        <f>PEC_Info!G111</f>
        <v>0</v>
      </c>
      <c r="H111">
        <f>PEC_Info!H111</f>
        <v>0</v>
      </c>
      <c r="I111" s="372">
        <f xml:space="preserve"> IF(AND(D111 &lt;&gt; 2020, OR(A111 = "NATGAS", A111 = "STEAM_COAL", A111 = "COKING_COAL")), PEC_Info_Scen_assumptions!$B$5, 1) * PEC_Info!I111</f>
        <v>11421.596419149811</v>
      </c>
      <c r="J111">
        <f>PEC_Info!J111</f>
        <v>0.15000000000000002</v>
      </c>
      <c r="K111">
        <f>PEC_Info!K111</f>
        <v>400</v>
      </c>
    </row>
    <row r="112" spans="1:11">
      <c r="A112" t="str">
        <f>PEC_Info!A112</f>
        <v>COKING_COAL</v>
      </c>
      <c r="B112" t="str">
        <f>PEC_Info!B112</f>
        <v>INDIA</v>
      </c>
      <c r="C112" t="str">
        <f xml:space="preserve"> IF(ISBLANK(PEC_Info!C112), "", PEC_Info!C112)</f>
        <v>NR</v>
      </c>
      <c r="D112">
        <f>PEC_Info!D112</f>
        <v>2020</v>
      </c>
      <c r="E112">
        <f>PEC_Info!E112</f>
        <v>0</v>
      </c>
      <c r="F112" s="372">
        <f xml:space="preserve"> IF(AND(D112 &lt;&gt; 2020, OR(A112 = "NATGAS", A112 = "STEAM_COAL", A112 = "COKING_COAL")), PEC_Info_Scen_assumptions!$B$5, 1) * PEC_Info!F112</f>
        <v>0</v>
      </c>
      <c r="G112">
        <f>PEC_Info!G112</f>
        <v>0</v>
      </c>
      <c r="H112">
        <f>PEC_Info!H112</f>
        <v>0</v>
      </c>
      <c r="I112" s="372">
        <f xml:space="preserve"> IF(AND(D112 &lt;&gt; 2020, OR(A112 = "NATGAS", A112 = "STEAM_COAL", A112 = "COKING_COAL")), PEC_Info_Scen_assumptions!$B$5, 1) * PEC_Info!I112</f>
        <v>11421.596419149811</v>
      </c>
      <c r="J112">
        <f>PEC_Info!J112</f>
        <v>0.15000000000000002</v>
      </c>
      <c r="K112">
        <f>PEC_Info!K112</f>
        <v>400</v>
      </c>
    </row>
    <row r="113" spans="1:11">
      <c r="A113" t="str">
        <f>PEC_Info!A113</f>
        <v>COKING_COAL</v>
      </c>
      <c r="B113" t="str">
        <f>PEC_Info!B113</f>
        <v>INDIA</v>
      </c>
      <c r="C113" t="str">
        <f xml:space="preserve"> IF(ISBLANK(PEC_Info!C113), "", PEC_Info!C113)</f>
        <v>SR</v>
      </c>
      <c r="D113">
        <f>PEC_Info!D113</f>
        <v>2020</v>
      </c>
      <c r="E113">
        <f>PEC_Info!E113</f>
        <v>0</v>
      </c>
      <c r="F113" s="372">
        <f xml:space="preserve"> IF(AND(D113 &lt;&gt; 2020, OR(A113 = "NATGAS", A113 = "STEAM_COAL", A113 = "COKING_COAL")), PEC_Info_Scen_assumptions!$B$5, 1) * PEC_Info!F113</f>
        <v>0</v>
      </c>
      <c r="G113">
        <f>PEC_Info!G113</f>
        <v>0</v>
      </c>
      <c r="H113">
        <f>PEC_Info!H113</f>
        <v>0</v>
      </c>
      <c r="I113" s="372">
        <f xml:space="preserve"> IF(AND(D113 &lt;&gt; 2020, OR(A113 = "NATGAS", A113 = "STEAM_COAL", A113 = "COKING_COAL")), PEC_Info_Scen_assumptions!$B$5, 1) * PEC_Info!I113</f>
        <v>11421.596419149811</v>
      </c>
      <c r="J113">
        <f>PEC_Info!J113</f>
        <v>0.15000000000000002</v>
      </c>
      <c r="K113">
        <f>PEC_Info!K113</f>
        <v>400</v>
      </c>
    </row>
    <row r="114" spans="1:11">
      <c r="A114" t="str">
        <f>PEC_Info!A114</f>
        <v>COKING_COAL</v>
      </c>
      <c r="B114" t="str">
        <f>PEC_Info!B114</f>
        <v>INDIA</v>
      </c>
      <c r="C114" t="str">
        <f xml:space="preserve"> IF(ISBLANK(PEC_Info!C114), "", PEC_Info!C114)</f>
        <v>NER</v>
      </c>
      <c r="D114">
        <f>PEC_Info!D114</f>
        <v>2020</v>
      </c>
      <c r="E114">
        <f>PEC_Info!E114</f>
        <v>0</v>
      </c>
      <c r="F114" s="372">
        <f xml:space="preserve"> IF(AND(D114 &lt;&gt; 2020, OR(A114 = "NATGAS", A114 = "STEAM_COAL", A114 = "COKING_COAL")), PEC_Info_Scen_assumptions!$B$5, 1) * PEC_Info!F114</f>
        <v>0</v>
      </c>
      <c r="G114">
        <f>PEC_Info!G114</f>
        <v>0</v>
      </c>
      <c r="H114">
        <f>PEC_Info!H114</f>
        <v>0</v>
      </c>
      <c r="I114" s="372">
        <f xml:space="preserve"> IF(AND(D114 &lt;&gt; 2020, OR(A114 = "NATGAS", A114 = "STEAM_COAL", A114 = "COKING_COAL")), PEC_Info_Scen_assumptions!$B$5, 1) * PEC_Info!I114</f>
        <v>11421.596419149811</v>
      </c>
      <c r="J114">
        <f>PEC_Info!J114</f>
        <v>0.15000000000000002</v>
      </c>
      <c r="K114">
        <f>PEC_Info!K114</f>
        <v>400</v>
      </c>
    </row>
    <row r="115" spans="1:11">
      <c r="A115" t="str">
        <f>PEC_Info!A115</f>
        <v>COKING_COAL</v>
      </c>
      <c r="B115" t="str">
        <f>PEC_Info!B115</f>
        <v>INDIA</v>
      </c>
      <c r="C115" t="str">
        <f xml:space="preserve"> IF(ISBLANK(PEC_Info!C115), "", PEC_Info!C115)</f>
        <v>ER</v>
      </c>
      <c r="D115">
        <f>PEC_Info!D115</f>
        <v>2021</v>
      </c>
      <c r="E115">
        <f>PEC_Info!E115</f>
        <v>0</v>
      </c>
      <c r="F115" s="372">
        <f xml:space="preserve"> IF(AND(D115 &lt;&gt; 2020, OR(A115 = "NATGAS", A115 = "STEAM_COAL", A115 = "COKING_COAL")), PEC_Info_Scen_assumptions!$B$5, 1) * PEC_Info!F115</f>
        <v>0</v>
      </c>
      <c r="G115">
        <f>PEC_Info!G115</f>
        <v>0</v>
      </c>
      <c r="H115">
        <f>PEC_Info!H115</f>
        <v>0</v>
      </c>
      <c r="I115" s="372">
        <f xml:space="preserve"> IF(AND(D115 &lt;&gt; 2020, OR(A115 = "NATGAS", A115 = "STEAM_COAL", A115 = "COKING_COAL")), PEC_Info_Scen_assumptions!$B$5, 1) * PEC_Info!I115</f>
        <v>9459.8825330285563</v>
      </c>
      <c r="J115">
        <f>PEC_Info!J115</f>
        <v>0.15000000000000002</v>
      </c>
      <c r="K115">
        <f>PEC_Info!K115</f>
        <v>400</v>
      </c>
    </row>
    <row r="116" spans="1:11">
      <c r="A116" t="str">
        <f>PEC_Info!A116</f>
        <v>COKING_COAL</v>
      </c>
      <c r="B116" t="str">
        <f>PEC_Info!B116</f>
        <v>INDIA</v>
      </c>
      <c r="C116" t="str">
        <f xml:space="preserve"> IF(ISBLANK(PEC_Info!C116), "", PEC_Info!C116)</f>
        <v>WR</v>
      </c>
      <c r="D116">
        <f>PEC_Info!D116</f>
        <v>2021</v>
      </c>
      <c r="E116">
        <f>PEC_Info!E116</f>
        <v>0</v>
      </c>
      <c r="F116" s="372">
        <f xml:space="preserve"> IF(AND(D116 &lt;&gt; 2020, OR(A116 = "NATGAS", A116 = "STEAM_COAL", A116 = "COKING_COAL")), PEC_Info_Scen_assumptions!$B$5, 1) * PEC_Info!F116</f>
        <v>0</v>
      </c>
      <c r="G116">
        <f>PEC_Info!G116</f>
        <v>0</v>
      </c>
      <c r="H116">
        <f>PEC_Info!H116</f>
        <v>0</v>
      </c>
      <c r="I116" s="372">
        <f xml:space="preserve"> IF(AND(D116 &lt;&gt; 2020, OR(A116 = "NATGAS", A116 = "STEAM_COAL", A116 = "COKING_COAL")), PEC_Info_Scen_assumptions!$B$5, 1) * PEC_Info!I116</f>
        <v>9459.8825330285563</v>
      </c>
      <c r="J116">
        <f>PEC_Info!J116</f>
        <v>0.15000000000000002</v>
      </c>
      <c r="K116">
        <f>PEC_Info!K116</f>
        <v>400</v>
      </c>
    </row>
    <row r="117" spans="1:11">
      <c r="A117" t="str">
        <f>PEC_Info!A117</f>
        <v>COKING_COAL</v>
      </c>
      <c r="B117" t="str">
        <f>PEC_Info!B117</f>
        <v>INDIA</v>
      </c>
      <c r="C117" t="str">
        <f xml:space="preserve"> IF(ISBLANK(PEC_Info!C117), "", PEC_Info!C117)</f>
        <v>NR</v>
      </c>
      <c r="D117">
        <f>PEC_Info!D117</f>
        <v>2021</v>
      </c>
      <c r="E117">
        <f>PEC_Info!E117</f>
        <v>0</v>
      </c>
      <c r="F117" s="372">
        <f xml:space="preserve"> IF(AND(D117 &lt;&gt; 2020, OR(A117 = "NATGAS", A117 = "STEAM_COAL", A117 = "COKING_COAL")), PEC_Info_Scen_assumptions!$B$5, 1) * PEC_Info!F117</f>
        <v>0</v>
      </c>
      <c r="G117">
        <f>PEC_Info!G117</f>
        <v>0</v>
      </c>
      <c r="H117">
        <f>PEC_Info!H117</f>
        <v>0</v>
      </c>
      <c r="I117" s="372">
        <f xml:space="preserve"> IF(AND(D117 &lt;&gt; 2020, OR(A117 = "NATGAS", A117 = "STEAM_COAL", A117 = "COKING_COAL")), PEC_Info_Scen_assumptions!$B$5, 1) * PEC_Info!I117</f>
        <v>9459.8825330285563</v>
      </c>
      <c r="J117">
        <f>PEC_Info!J117</f>
        <v>0.15000000000000002</v>
      </c>
      <c r="K117">
        <f>PEC_Info!K117</f>
        <v>400</v>
      </c>
    </row>
    <row r="118" spans="1:11">
      <c r="A118" t="str">
        <f>PEC_Info!A118</f>
        <v>COKING_COAL</v>
      </c>
      <c r="B118" t="str">
        <f>PEC_Info!B118</f>
        <v>INDIA</v>
      </c>
      <c r="C118" t="str">
        <f xml:space="preserve"> IF(ISBLANK(PEC_Info!C118), "", PEC_Info!C118)</f>
        <v>SR</v>
      </c>
      <c r="D118">
        <f>PEC_Info!D118</f>
        <v>2021</v>
      </c>
      <c r="E118">
        <f>PEC_Info!E118</f>
        <v>0</v>
      </c>
      <c r="F118" s="372">
        <f xml:space="preserve"> IF(AND(D118 &lt;&gt; 2020, OR(A118 = "NATGAS", A118 = "STEAM_COAL", A118 = "COKING_COAL")), PEC_Info_Scen_assumptions!$B$5, 1) * PEC_Info!F118</f>
        <v>0</v>
      </c>
      <c r="G118">
        <f>PEC_Info!G118</f>
        <v>0</v>
      </c>
      <c r="H118">
        <f>PEC_Info!H118</f>
        <v>0</v>
      </c>
      <c r="I118" s="372">
        <f xml:space="preserve"> IF(AND(D118 &lt;&gt; 2020, OR(A118 = "NATGAS", A118 = "STEAM_COAL", A118 = "COKING_COAL")), PEC_Info_Scen_assumptions!$B$5, 1) * PEC_Info!I118</f>
        <v>9459.8825330285563</v>
      </c>
      <c r="J118">
        <f>PEC_Info!J118</f>
        <v>0.15000000000000002</v>
      </c>
      <c r="K118">
        <f>PEC_Info!K118</f>
        <v>400</v>
      </c>
    </row>
    <row r="119" spans="1:11">
      <c r="A119" t="str">
        <f>PEC_Info!A119</f>
        <v>COKING_COAL</v>
      </c>
      <c r="B119" t="str">
        <f>PEC_Info!B119</f>
        <v>INDIA</v>
      </c>
      <c r="C119" t="str">
        <f xml:space="preserve"> IF(ISBLANK(PEC_Info!C119), "", PEC_Info!C119)</f>
        <v>NER</v>
      </c>
      <c r="D119">
        <f>PEC_Info!D119</f>
        <v>2021</v>
      </c>
      <c r="E119">
        <f>PEC_Info!E119</f>
        <v>0</v>
      </c>
      <c r="F119" s="372">
        <f xml:space="preserve"> IF(AND(D119 &lt;&gt; 2020, OR(A119 = "NATGAS", A119 = "STEAM_COAL", A119 = "COKING_COAL")), PEC_Info_Scen_assumptions!$B$5, 1) * PEC_Info!F119</f>
        <v>0</v>
      </c>
      <c r="G119">
        <f>PEC_Info!G119</f>
        <v>0</v>
      </c>
      <c r="H119">
        <f>PEC_Info!H119</f>
        <v>0</v>
      </c>
      <c r="I119" s="372">
        <f xml:space="preserve"> IF(AND(D119 &lt;&gt; 2020, OR(A119 = "NATGAS", A119 = "STEAM_COAL", A119 = "COKING_COAL")), PEC_Info_Scen_assumptions!$B$5, 1) * PEC_Info!I119</f>
        <v>9459.8825330285563</v>
      </c>
      <c r="J119">
        <f>PEC_Info!J119</f>
        <v>0.15000000000000002</v>
      </c>
      <c r="K119">
        <f>PEC_Info!K119</f>
        <v>400</v>
      </c>
    </row>
    <row r="120" spans="1:11">
      <c r="A120" t="str">
        <f>PEC_Info!A120</f>
        <v>COKING_COAL</v>
      </c>
      <c r="B120" t="str">
        <f>PEC_Info!B120</f>
        <v>INDIA</v>
      </c>
      <c r="C120" t="str">
        <f xml:space="preserve"> IF(ISBLANK(PEC_Info!C120), "", PEC_Info!C120)</f>
        <v>ER</v>
      </c>
      <c r="D120">
        <f>PEC_Info!D120</f>
        <v>2022</v>
      </c>
      <c r="E120">
        <f>PEC_Info!E120</f>
        <v>0</v>
      </c>
      <c r="F120" s="372">
        <f xml:space="preserve"> IF(AND(D120 &lt;&gt; 2020, OR(A120 = "NATGAS", A120 = "STEAM_COAL", A120 = "COKING_COAL")), PEC_Info_Scen_assumptions!$B$5, 1) * PEC_Info!F120</f>
        <v>0</v>
      </c>
      <c r="G120">
        <f>PEC_Info!G120</f>
        <v>0</v>
      </c>
      <c r="H120">
        <f>PEC_Info!H120</f>
        <v>0</v>
      </c>
      <c r="I120" s="372">
        <f xml:space="preserve"> IF(AND(D120 &lt;&gt; 2020, OR(A120 = "NATGAS", A120 = "STEAM_COAL", A120 = "COKING_COAL")), PEC_Info_Scen_assumptions!$B$5, 1) * PEC_Info!I120</f>
        <v>9598.9984526319149</v>
      </c>
      <c r="J120">
        <f>PEC_Info!J120</f>
        <v>0.15000000000000002</v>
      </c>
      <c r="K120">
        <f>PEC_Info!K120</f>
        <v>400</v>
      </c>
    </row>
    <row r="121" spans="1:11">
      <c r="A121" t="str">
        <f>PEC_Info!A121</f>
        <v>COKING_COAL</v>
      </c>
      <c r="B121" t="str">
        <f>PEC_Info!B121</f>
        <v>INDIA</v>
      </c>
      <c r="C121" t="str">
        <f xml:space="preserve"> IF(ISBLANK(PEC_Info!C121), "", PEC_Info!C121)</f>
        <v>WR</v>
      </c>
      <c r="D121">
        <f>PEC_Info!D121</f>
        <v>2022</v>
      </c>
      <c r="E121">
        <f>PEC_Info!E121</f>
        <v>0</v>
      </c>
      <c r="F121" s="372">
        <f xml:space="preserve"> IF(AND(D121 &lt;&gt; 2020, OR(A121 = "NATGAS", A121 = "STEAM_COAL", A121 = "COKING_COAL")), PEC_Info_Scen_assumptions!$B$5, 1) * PEC_Info!F121</f>
        <v>0</v>
      </c>
      <c r="G121">
        <f>PEC_Info!G121</f>
        <v>0</v>
      </c>
      <c r="H121">
        <f>PEC_Info!H121</f>
        <v>0</v>
      </c>
      <c r="I121" s="372">
        <f xml:space="preserve"> IF(AND(D121 &lt;&gt; 2020, OR(A121 = "NATGAS", A121 = "STEAM_COAL", A121 = "COKING_COAL")), PEC_Info_Scen_assumptions!$B$5, 1) * PEC_Info!I121</f>
        <v>9598.9984526319149</v>
      </c>
      <c r="J121">
        <f>PEC_Info!J121</f>
        <v>0.15000000000000002</v>
      </c>
      <c r="K121">
        <f>PEC_Info!K121</f>
        <v>400</v>
      </c>
    </row>
    <row r="122" spans="1:11">
      <c r="A122" t="str">
        <f>PEC_Info!A122</f>
        <v>COKING_COAL</v>
      </c>
      <c r="B122" t="str">
        <f>PEC_Info!B122</f>
        <v>INDIA</v>
      </c>
      <c r="C122" t="str">
        <f xml:space="preserve"> IF(ISBLANK(PEC_Info!C122), "", PEC_Info!C122)</f>
        <v>NR</v>
      </c>
      <c r="D122">
        <f>PEC_Info!D122</f>
        <v>2022</v>
      </c>
      <c r="E122">
        <f>PEC_Info!E122</f>
        <v>0</v>
      </c>
      <c r="F122" s="372">
        <f xml:space="preserve"> IF(AND(D122 &lt;&gt; 2020, OR(A122 = "NATGAS", A122 = "STEAM_COAL", A122 = "COKING_COAL")), PEC_Info_Scen_assumptions!$B$5, 1) * PEC_Info!F122</f>
        <v>0</v>
      </c>
      <c r="G122">
        <f>PEC_Info!G122</f>
        <v>0</v>
      </c>
      <c r="H122">
        <f>PEC_Info!H122</f>
        <v>0</v>
      </c>
      <c r="I122" s="372">
        <f xml:space="preserve"> IF(AND(D122 &lt;&gt; 2020, OR(A122 = "NATGAS", A122 = "STEAM_COAL", A122 = "COKING_COAL")), PEC_Info_Scen_assumptions!$B$5, 1) * PEC_Info!I122</f>
        <v>9598.9984526319149</v>
      </c>
      <c r="J122">
        <f>PEC_Info!J122</f>
        <v>0.15000000000000002</v>
      </c>
      <c r="K122">
        <f>PEC_Info!K122</f>
        <v>400</v>
      </c>
    </row>
    <row r="123" spans="1:11">
      <c r="A123" t="str">
        <f>PEC_Info!A123</f>
        <v>COKING_COAL</v>
      </c>
      <c r="B123" t="str">
        <f>PEC_Info!B123</f>
        <v>INDIA</v>
      </c>
      <c r="C123" t="str">
        <f xml:space="preserve"> IF(ISBLANK(PEC_Info!C123), "", PEC_Info!C123)</f>
        <v>SR</v>
      </c>
      <c r="D123">
        <f>PEC_Info!D123</f>
        <v>2022</v>
      </c>
      <c r="E123">
        <f>PEC_Info!E123</f>
        <v>0</v>
      </c>
      <c r="F123" s="372">
        <f xml:space="preserve"> IF(AND(D123 &lt;&gt; 2020, OR(A123 = "NATGAS", A123 = "STEAM_COAL", A123 = "COKING_COAL")), PEC_Info_Scen_assumptions!$B$5, 1) * PEC_Info!F123</f>
        <v>0</v>
      </c>
      <c r="G123">
        <f>PEC_Info!G123</f>
        <v>0</v>
      </c>
      <c r="H123">
        <f>PEC_Info!H123</f>
        <v>0</v>
      </c>
      <c r="I123" s="372">
        <f xml:space="preserve"> IF(AND(D123 &lt;&gt; 2020, OR(A123 = "NATGAS", A123 = "STEAM_COAL", A123 = "COKING_COAL")), PEC_Info_Scen_assumptions!$B$5, 1) * PEC_Info!I123</f>
        <v>9598.9984526319149</v>
      </c>
      <c r="J123">
        <f>PEC_Info!J123</f>
        <v>0.15000000000000002</v>
      </c>
      <c r="K123">
        <f>PEC_Info!K123</f>
        <v>400</v>
      </c>
    </row>
    <row r="124" spans="1:11">
      <c r="A124" t="str">
        <f>PEC_Info!A124</f>
        <v>COKING_COAL</v>
      </c>
      <c r="B124" t="str">
        <f>PEC_Info!B124</f>
        <v>INDIA</v>
      </c>
      <c r="C124" t="str">
        <f xml:space="preserve"> IF(ISBLANK(PEC_Info!C124), "", PEC_Info!C124)</f>
        <v>NER</v>
      </c>
      <c r="D124">
        <f>PEC_Info!D124</f>
        <v>2022</v>
      </c>
      <c r="E124">
        <f>PEC_Info!E124</f>
        <v>0</v>
      </c>
      <c r="F124" s="372">
        <f xml:space="preserve"> IF(AND(D124 &lt;&gt; 2020, OR(A124 = "NATGAS", A124 = "STEAM_COAL", A124 = "COKING_COAL")), PEC_Info_Scen_assumptions!$B$5, 1) * PEC_Info!F124</f>
        <v>0</v>
      </c>
      <c r="G124">
        <f>PEC_Info!G124</f>
        <v>0</v>
      </c>
      <c r="H124">
        <f>PEC_Info!H124</f>
        <v>0</v>
      </c>
      <c r="I124" s="372">
        <f xml:space="preserve"> IF(AND(D124 &lt;&gt; 2020, OR(A124 = "NATGAS", A124 = "STEAM_COAL", A124 = "COKING_COAL")), PEC_Info_Scen_assumptions!$B$5, 1) * PEC_Info!I124</f>
        <v>9598.9984526319149</v>
      </c>
      <c r="J124">
        <f>PEC_Info!J124</f>
        <v>0.15000000000000002</v>
      </c>
      <c r="K124">
        <f>PEC_Info!K124</f>
        <v>400</v>
      </c>
    </row>
    <row r="125" spans="1:11">
      <c r="A125" t="str">
        <f>PEC_Info!A125</f>
        <v>COKING_COAL</v>
      </c>
      <c r="B125" t="str">
        <f>PEC_Info!B125</f>
        <v>INDIA</v>
      </c>
      <c r="C125" t="str">
        <f xml:space="preserve"> IF(ISBLANK(PEC_Info!C125), "", PEC_Info!C125)</f>
        <v>ER</v>
      </c>
      <c r="D125">
        <f>PEC_Info!D125</f>
        <v>2023</v>
      </c>
      <c r="E125">
        <f>PEC_Info!E125</f>
        <v>0</v>
      </c>
      <c r="F125" s="372">
        <f xml:space="preserve"> IF(AND(D125 &lt;&gt; 2020, OR(A125 = "NATGAS", A125 = "STEAM_COAL", A125 = "COKING_COAL")), PEC_Info_Scen_assumptions!$B$5, 1) * PEC_Info!F125</f>
        <v>0</v>
      </c>
      <c r="G125">
        <f>PEC_Info!G125</f>
        <v>0</v>
      </c>
      <c r="H125">
        <f>PEC_Info!H125</f>
        <v>0</v>
      </c>
      <c r="I125" s="372">
        <f xml:space="preserve"> IF(AND(D125 &lt;&gt; 2020, OR(A125 = "NATGAS", A125 = "STEAM_COAL", A125 = "COKING_COAL")), PEC_Info_Scen_assumptions!$B$5, 1) * PEC_Info!I125</f>
        <v>9671.7839017683964</v>
      </c>
      <c r="J125">
        <f>PEC_Info!J125</f>
        <v>0.15000000000000002</v>
      </c>
      <c r="K125">
        <f>PEC_Info!K125</f>
        <v>400</v>
      </c>
    </row>
    <row r="126" spans="1:11">
      <c r="A126" t="str">
        <f>PEC_Info!A126</f>
        <v>COKING_COAL</v>
      </c>
      <c r="B126" t="str">
        <f>PEC_Info!B126</f>
        <v>INDIA</v>
      </c>
      <c r="C126" t="str">
        <f xml:space="preserve"> IF(ISBLANK(PEC_Info!C126), "", PEC_Info!C126)</f>
        <v>WR</v>
      </c>
      <c r="D126">
        <f>PEC_Info!D126</f>
        <v>2023</v>
      </c>
      <c r="E126">
        <f>PEC_Info!E126</f>
        <v>0</v>
      </c>
      <c r="F126" s="372">
        <f xml:space="preserve"> IF(AND(D126 &lt;&gt; 2020, OR(A126 = "NATGAS", A126 = "STEAM_COAL", A126 = "COKING_COAL")), PEC_Info_Scen_assumptions!$B$5, 1) * PEC_Info!F126</f>
        <v>0</v>
      </c>
      <c r="G126">
        <f>PEC_Info!G126</f>
        <v>0</v>
      </c>
      <c r="H126">
        <f>PEC_Info!H126</f>
        <v>0</v>
      </c>
      <c r="I126" s="372">
        <f xml:space="preserve"> IF(AND(D126 &lt;&gt; 2020, OR(A126 = "NATGAS", A126 = "STEAM_COAL", A126 = "COKING_COAL")), PEC_Info_Scen_assumptions!$B$5, 1) * PEC_Info!I126</f>
        <v>9671.7839017683964</v>
      </c>
      <c r="J126">
        <f>PEC_Info!J126</f>
        <v>0.15000000000000002</v>
      </c>
      <c r="K126">
        <f>PEC_Info!K126</f>
        <v>400</v>
      </c>
    </row>
    <row r="127" spans="1:11">
      <c r="A127" t="str">
        <f>PEC_Info!A127</f>
        <v>COKING_COAL</v>
      </c>
      <c r="B127" t="str">
        <f>PEC_Info!B127</f>
        <v>INDIA</v>
      </c>
      <c r="C127" t="str">
        <f xml:space="preserve"> IF(ISBLANK(PEC_Info!C127), "", PEC_Info!C127)</f>
        <v>NR</v>
      </c>
      <c r="D127">
        <f>PEC_Info!D127</f>
        <v>2023</v>
      </c>
      <c r="E127">
        <f>PEC_Info!E127</f>
        <v>0</v>
      </c>
      <c r="F127" s="372">
        <f xml:space="preserve"> IF(AND(D127 &lt;&gt; 2020, OR(A127 = "NATGAS", A127 = "STEAM_COAL", A127 = "COKING_COAL")), PEC_Info_Scen_assumptions!$B$5, 1) * PEC_Info!F127</f>
        <v>0</v>
      </c>
      <c r="G127">
        <f>PEC_Info!G127</f>
        <v>0</v>
      </c>
      <c r="H127">
        <f>PEC_Info!H127</f>
        <v>0</v>
      </c>
      <c r="I127" s="372">
        <f xml:space="preserve"> IF(AND(D127 &lt;&gt; 2020, OR(A127 = "NATGAS", A127 = "STEAM_COAL", A127 = "COKING_COAL")), PEC_Info_Scen_assumptions!$B$5, 1) * PEC_Info!I127</f>
        <v>9671.7839017683964</v>
      </c>
      <c r="J127">
        <f>PEC_Info!J127</f>
        <v>0.15000000000000002</v>
      </c>
      <c r="K127">
        <f>PEC_Info!K127</f>
        <v>400</v>
      </c>
    </row>
    <row r="128" spans="1:11">
      <c r="A128" t="str">
        <f>PEC_Info!A128</f>
        <v>COKING_COAL</v>
      </c>
      <c r="B128" t="str">
        <f>PEC_Info!B128</f>
        <v>INDIA</v>
      </c>
      <c r="C128" t="str">
        <f xml:space="preserve"> IF(ISBLANK(PEC_Info!C128), "", PEC_Info!C128)</f>
        <v>SR</v>
      </c>
      <c r="D128">
        <f>PEC_Info!D128</f>
        <v>2023</v>
      </c>
      <c r="E128">
        <f>PEC_Info!E128</f>
        <v>0</v>
      </c>
      <c r="F128" s="372">
        <f xml:space="preserve"> IF(AND(D128 &lt;&gt; 2020, OR(A128 = "NATGAS", A128 = "STEAM_COAL", A128 = "COKING_COAL")), PEC_Info_Scen_assumptions!$B$5, 1) * PEC_Info!F128</f>
        <v>0</v>
      </c>
      <c r="G128">
        <f>PEC_Info!G128</f>
        <v>0</v>
      </c>
      <c r="H128">
        <f>PEC_Info!H128</f>
        <v>0</v>
      </c>
      <c r="I128" s="372">
        <f xml:space="preserve"> IF(AND(D128 &lt;&gt; 2020, OR(A128 = "NATGAS", A128 = "STEAM_COAL", A128 = "COKING_COAL")), PEC_Info_Scen_assumptions!$B$5, 1) * PEC_Info!I128</f>
        <v>9671.7839017683964</v>
      </c>
      <c r="J128">
        <f>PEC_Info!J128</f>
        <v>0.15000000000000002</v>
      </c>
      <c r="K128">
        <f>PEC_Info!K128</f>
        <v>400</v>
      </c>
    </row>
    <row r="129" spans="1:11">
      <c r="A129" t="str">
        <f>PEC_Info!A129</f>
        <v>COKING_COAL</v>
      </c>
      <c r="B129" t="str">
        <f>PEC_Info!B129</f>
        <v>INDIA</v>
      </c>
      <c r="C129" t="str">
        <f xml:space="preserve"> IF(ISBLANK(PEC_Info!C129), "", PEC_Info!C129)</f>
        <v>NER</v>
      </c>
      <c r="D129">
        <f>PEC_Info!D129</f>
        <v>2023</v>
      </c>
      <c r="E129">
        <f>PEC_Info!E129</f>
        <v>0</v>
      </c>
      <c r="F129" s="372">
        <f xml:space="preserve"> IF(AND(D129 &lt;&gt; 2020, OR(A129 = "NATGAS", A129 = "STEAM_COAL", A129 = "COKING_COAL")), PEC_Info_Scen_assumptions!$B$5, 1) * PEC_Info!F129</f>
        <v>0</v>
      </c>
      <c r="G129">
        <f>PEC_Info!G129</f>
        <v>0</v>
      </c>
      <c r="H129">
        <f>PEC_Info!H129</f>
        <v>0</v>
      </c>
      <c r="I129" s="372">
        <f xml:space="preserve"> IF(AND(D129 &lt;&gt; 2020, OR(A129 = "NATGAS", A129 = "STEAM_COAL", A129 = "COKING_COAL")), PEC_Info_Scen_assumptions!$B$5, 1) * PEC_Info!I129</f>
        <v>9671.7839017683964</v>
      </c>
      <c r="J129">
        <f>PEC_Info!J129</f>
        <v>0.15000000000000002</v>
      </c>
      <c r="K129">
        <f>PEC_Info!K129</f>
        <v>400</v>
      </c>
    </row>
    <row r="130" spans="1:11">
      <c r="A130" t="str">
        <f>PEC_Info!A130</f>
        <v>COKING_COAL</v>
      </c>
      <c r="B130" t="str">
        <f>PEC_Info!B130</f>
        <v>INDIA</v>
      </c>
      <c r="C130" t="str">
        <f xml:space="preserve"> IF(ISBLANK(PEC_Info!C130), "", PEC_Info!C130)</f>
        <v>ER</v>
      </c>
      <c r="D130">
        <f>PEC_Info!D130</f>
        <v>2024</v>
      </c>
      <c r="E130">
        <f>PEC_Info!E130</f>
        <v>0</v>
      </c>
      <c r="F130" s="372">
        <f xml:space="preserve"> IF(AND(D130 &lt;&gt; 2020, OR(A130 = "NATGAS", A130 = "STEAM_COAL", A130 = "COKING_COAL")), PEC_Info_Scen_assumptions!$B$5, 1) * PEC_Info!F130</f>
        <v>0</v>
      </c>
      <c r="G130">
        <f>PEC_Info!G130</f>
        <v>0</v>
      </c>
      <c r="H130">
        <f>PEC_Info!H130</f>
        <v>0</v>
      </c>
      <c r="I130" s="372">
        <f xml:space="preserve"> IF(AND(D130 &lt;&gt; 2020, OR(A130 = "NATGAS", A130 = "STEAM_COAL", A130 = "COKING_COAL")), PEC_Info_Scen_assumptions!$B$5, 1) * PEC_Info!I130</f>
        <v>9726.2728251586395</v>
      </c>
      <c r="J130">
        <f>PEC_Info!J130</f>
        <v>0.15000000000000002</v>
      </c>
      <c r="K130">
        <f>PEC_Info!K130</f>
        <v>400</v>
      </c>
    </row>
    <row r="131" spans="1:11">
      <c r="A131" t="str">
        <f>PEC_Info!A131</f>
        <v>COKING_COAL</v>
      </c>
      <c r="B131" t="str">
        <f>PEC_Info!B131</f>
        <v>INDIA</v>
      </c>
      <c r="C131" t="str">
        <f xml:space="preserve"> IF(ISBLANK(PEC_Info!C131), "", PEC_Info!C131)</f>
        <v>WR</v>
      </c>
      <c r="D131">
        <f>PEC_Info!D131</f>
        <v>2024</v>
      </c>
      <c r="E131">
        <f>PEC_Info!E131</f>
        <v>0</v>
      </c>
      <c r="F131" s="372">
        <f xml:space="preserve"> IF(AND(D131 &lt;&gt; 2020, OR(A131 = "NATGAS", A131 = "STEAM_COAL", A131 = "COKING_COAL")), PEC_Info_Scen_assumptions!$B$5, 1) * PEC_Info!F131</f>
        <v>0</v>
      </c>
      <c r="G131">
        <f>PEC_Info!G131</f>
        <v>0</v>
      </c>
      <c r="H131">
        <f>PEC_Info!H131</f>
        <v>0</v>
      </c>
      <c r="I131" s="372">
        <f xml:space="preserve"> IF(AND(D131 &lt;&gt; 2020, OR(A131 = "NATGAS", A131 = "STEAM_COAL", A131 = "COKING_COAL")), PEC_Info_Scen_assumptions!$B$5, 1) * PEC_Info!I131</f>
        <v>9726.2728251586395</v>
      </c>
      <c r="J131">
        <f>PEC_Info!J131</f>
        <v>0.15000000000000002</v>
      </c>
      <c r="K131">
        <f>PEC_Info!K131</f>
        <v>400</v>
      </c>
    </row>
    <row r="132" spans="1:11">
      <c r="A132" t="str">
        <f>PEC_Info!A132</f>
        <v>COKING_COAL</v>
      </c>
      <c r="B132" t="str">
        <f>PEC_Info!B132</f>
        <v>INDIA</v>
      </c>
      <c r="C132" t="str">
        <f xml:space="preserve"> IF(ISBLANK(PEC_Info!C132), "", PEC_Info!C132)</f>
        <v>NR</v>
      </c>
      <c r="D132">
        <f>PEC_Info!D132</f>
        <v>2024</v>
      </c>
      <c r="E132">
        <f>PEC_Info!E132</f>
        <v>0</v>
      </c>
      <c r="F132" s="372">
        <f xml:space="preserve"> IF(AND(D132 &lt;&gt; 2020, OR(A132 = "NATGAS", A132 = "STEAM_COAL", A132 = "COKING_COAL")), PEC_Info_Scen_assumptions!$B$5, 1) * PEC_Info!F132</f>
        <v>0</v>
      </c>
      <c r="G132">
        <f>PEC_Info!G132</f>
        <v>0</v>
      </c>
      <c r="H132">
        <f>PEC_Info!H132</f>
        <v>0</v>
      </c>
      <c r="I132" s="372">
        <f xml:space="preserve"> IF(AND(D132 &lt;&gt; 2020, OR(A132 = "NATGAS", A132 = "STEAM_COAL", A132 = "COKING_COAL")), PEC_Info_Scen_assumptions!$B$5, 1) * PEC_Info!I132</f>
        <v>9726.2728251586395</v>
      </c>
      <c r="J132">
        <f>PEC_Info!J132</f>
        <v>0.15000000000000002</v>
      </c>
      <c r="K132">
        <f>PEC_Info!K132</f>
        <v>400</v>
      </c>
    </row>
    <row r="133" spans="1:11">
      <c r="A133" t="str">
        <f>PEC_Info!A133</f>
        <v>COKING_COAL</v>
      </c>
      <c r="B133" t="str">
        <f>PEC_Info!B133</f>
        <v>INDIA</v>
      </c>
      <c r="C133" t="str">
        <f xml:space="preserve"> IF(ISBLANK(PEC_Info!C133), "", PEC_Info!C133)</f>
        <v>SR</v>
      </c>
      <c r="D133">
        <f>PEC_Info!D133</f>
        <v>2024</v>
      </c>
      <c r="E133">
        <f>PEC_Info!E133</f>
        <v>0</v>
      </c>
      <c r="F133" s="372">
        <f xml:space="preserve"> IF(AND(D133 &lt;&gt; 2020, OR(A133 = "NATGAS", A133 = "STEAM_COAL", A133 = "COKING_COAL")), PEC_Info_Scen_assumptions!$B$5, 1) * PEC_Info!F133</f>
        <v>0</v>
      </c>
      <c r="G133">
        <f>PEC_Info!G133</f>
        <v>0</v>
      </c>
      <c r="H133">
        <f>PEC_Info!H133</f>
        <v>0</v>
      </c>
      <c r="I133" s="372">
        <f xml:space="preserve"> IF(AND(D133 &lt;&gt; 2020, OR(A133 = "NATGAS", A133 = "STEAM_COAL", A133 = "COKING_COAL")), PEC_Info_Scen_assumptions!$B$5, 1) * PEC_Info!I133</f>
        <v>9726.2728251586395</v>
      </c>
      <c r="J133">
        <f>PEC_Info!J133</f>
        <v>0.15000000000000002</v>
      </c>
      <c r="K133">
        <f>PEC_Info!K133</f>
        <v>400</v>
      </c>
    </row>
    <row r="134" spans="1:11">
      <c r="A134" t="str">
        <f>PEC_Info!A134</f>
        <v>COKING_COAL</v>
      </c>
      <c r="B134" t="str">
        <f>PEC_Info!B134</f>
        <v>INDIA</v>
      </c>
      <c r="C134" t="str">
        <f xml:space="preserve"> IF(ISBLANK(PEC_Info!C134), "", PEC_Info!C134)</f>
        <v>NER</v>
      </c>
      <c r="D134">
        <f>PEC_Info!D134</f>
        <v>2024</v>
      </c>
      <c r="E134">
        <f>PEC_Info!E134</f>
        <v>0</v>
      </c>
      <c r="F134" s="372">
        <f xml:space="preserve"> IF(AND(D134 &lt;&gt; 2020, OR(A134 = "NATGAS", A134 = "STEAM_COAL", A134 = "COKING_COAL")), PEC_Info_Scen_assumptions!$B$5, 1) * PEC_Info!F134</f>
        <v>0</v>
      </c>
      <c r="G134">
        <f>PEC_Info!G134</f>
        <v>0</v>
      </c>
      <c r="H134">
        <f>PEC_Info!H134</f>
        <v>0</v>
      </c>
      <c r="I134" s="372">
        <f xml:space="preserve"> IF(AND(D134 &lt;&gt; 2020, OR(A134 = "NATGAS", A134 = "STEAM_COAL", A134 = "COKING_COAL")), PEC_Info_Scen_assumptions!$B$5, 1) * PEC_Info!I134</f>
        <v>9726.2728251586395</v>
      </c>
      <c r="J134">
        <f>PEC_Info!J134</f>
        <v>0.15000000000000002</v>
      </c>
      <c r="K134">
        <f>PEC_Info!K134</f>
        <v>400</v>
      </c>
    </row>
    <row r="135" spans="1:11">
      <c r="A135" t="str">
        <f>PEC_Info!A135</f>
        <v>COKING_COAL</v>
      </c>
      <c r="B135" t="str">
        <f>PEC_Info!B135</f>
        <v>INDIA</v>
      </c>
      <c r="C135" t="str">
        <f xml:space="preserve"> IF(ISBLANK(PEC_Info!C135), "", PEC_Info!C135)</f>
        <v>ER</v>
      </c>
      <c r="D135">
        <f>PEC_Info!D135</f>
        <v>2025</v>
      </c>
      <c r="E135">
        <f>PEC_Info!E135</f>
        <v>0</v>
      </c>
      <c r="F135" s="372">
        <f xml:space="preserve"> IF(AND(D135 &lt;&gt; 2020, OR(A135 = "NATGAS", A135 = "STEAM_COAL", A135 = "COKING_COAL")), PEC_Info_Scen_assumptions!$B$5, 1) * PEC_Info!F135</f>
        <v>0</v>
      </c>
      <c r="G135">
        <f>PEC_Info!G135</f>
        <v>0</v>
      </c>
      <c r="H135">
        <f>PEC_Info!H135</f>
        <v>0</v>
      </c>
      <c r="I135" s="372">
        <f xml:space="preserve"> IF(AND(D135 &lt;&gt; 2020, OR(A135 = "NATGAS", A135 = "STEAM_COAL", A135 = "COKING_COAL")), PEC_Info_Scen_assumptions!$B$5, 1) * PEC_Info!I135</f>
        <v>9796.7883031410402</v>
      </c>
      <c r="J135">
        <f>PEC_Info!J135</f>
        <v>0.15000000000000002</v>
      </c>
      <c r="K135">
        <f>PEC_Info!K135</f>
        <v>400</v>
      </c>
    </row>
    <row r="136" spans="1:11">
      <c r="A136" t="str">
        <f>PEC_Info!A136</f>
        <v>COKING_COAL</v>
      </c>
      <c r="B136" t="str">
        <f>PEC_Info!B136</f>
        <v>INDIA</v>
      </c>
      <c r="C136" t="str">
        <f xml:space="preserve"> IF(ISBLANK(PEC_Info!C136), "", PEC_Info!C136)</f>
        <v>WR</v>
      </c>
      <c r="D136">
        <f>PEC_Info!D136</f>
        <v>2025</v>
      </c>
      <c r="E136">
        <f>PEC_Info!E136</f>
        <v>0</v>
      </c>
      <c r="F136" s="372">
        <f xml:space="preserve"> IF(AND(D136 &lt;&gt; 2020, OR(A136 = "NATGAS", A136 = "STEAM_COAL", A136 = "COKING_COAL")), PEC_Info_Scen_assumptions!$B$5, 1) * PEC_Info!F136</f>
        <v>0</v>
      </c>
      <c r="G136">
        <f>PEC_Info!G136</f>
        <v>0</v>
      </c>
      <c r="H136">
        <f>PEC_Info!H136</f>
        <v>0</v>
      </c>
      <c r="I136" s="372">
        <f xml:space="preserve"> IF(AND(D136 &lt;&gt; 2020, OR(A136 = "NATGAS", A136 = "STEAM_COAL", A136 = "COKING_COAL")), PEC_Info_Scen_assumptions!$B$5, 1) * PEC_Info!I136</f>
        <v>9796.7883031410402</v>
      </c>
      <c r="J136">
        <f>PEC_Info!J136</f>
        <v>0.15000000000000002</v>
      </c>
      <c r="K136">
        <f>PEC_Info!K136</f>
        <v>400</v>
      </c>
    </row>
    <row r="137" spans="1:11">
      <c r="A137" t="str">
        <f>PEC_Info!A137</f>
        <v>COKING_COAL</v>
      </c>
      <c r="B137" t="str">
        <f>PEC_Info!B137</f>
        <v>INDIA</v>
      </c>
      <c r="C137" t="str">
        <f xml:space="preserve"> IF(ISBLANK(PEC_Info!C137), "", PEC_Info!C137)</f>
        <v>NR</v>
      </c>
      <c r="D137">
        <f>PEC_Info!D137</f>
        <v>2025</v>
      </c>
      <c r="E137">
        <f>PEC_Info!E137</f>
        <v>0</v>
      </c>
      <c r="F137" s="372">
        <f xml:space="preserve"> IF(AND(D137 &lt;&gt; 2020, OR(A137 = "NATGAS", A137 = "STEAM_COAL", A137 = "COKING_COAL")), PEC_Info_Scen_assumptions!$B$5, 1) * PEC_Info!F137</f>
        <v>0</v>
      </c>
      <c r="G137">
        <f>PEC_Info!G137</f>
        <v>0</v>
      </c>
      <c r="H137">
        <f>PEC_Info!H137</f>
        <v>0</v>
      </c>
      <c r="I137" s="372">
        <f xml:space="preserve"> IF(AND(D137 &lt;&gt; 2020, OR(A137 = "NATGAS", A137 = "STEAM_COAL", A137 = "COKING_COAL")), PEC_Info_Scen_assumptions!$B$5, 1) * PEC_Info!I137</f>
        <v>9796.7883031410402</v>
      </c>
      <c r="J137">
        <f>PEC_Info!J137</f>
        <v>0.15000000000000002</v>
      </c>
      <c r="K137">
        <f>PEC_Info!K137</f>
        <v>400</v>
      </c>
    </row>
    <row r="138" spans="1:11">
      <c r="A138" t="str">
        <f>PEC_Info!A138</f>
        <v>COKING_COAL</v>
      </c>
      <c r="B138" t="str">
        <f>PEC_Info!B138</f>
        <v>INDIA</v>
      </c>
      <c r="C138" t="str">
        <f xml:space="preserve"> IF(ISBLANK(PEC_Info!C138), "", PEC_Info!C138)</f>
        <v>SR</v>
      </c>
      <c r="D138">
        <f>PEC_Info!D138</f>
        <v>2025</v>
      </c>
      <c r="E138">
        <f>PEC_Info!E138</f>
        <v>0</v>
      </c>
      <c r="F138" s="372">
        <f xml:space="preserve"> IF(AND(D138 &lt;&gt; 2020, OR(A138 = "NATGAS", A138 = "STEAM_COAL", A138 = "COKING_COAL")), PEC_Info_Scen_assumptions!$B$5, 1) * PEC_Info!F138</f>
        <v>0</v>
      </c>
      <c r="G138">
        <f>PEC_Info!G138</f>
        <v>0</v>
      </c>
      <c r="H138">
        <f>PEC_Info!H138</f>
        <v>0</v>
      </c>
      <c r="I138" s="372">
        <f xml:space="preserve"> IF(AND(D138 &lt;&gt; 2020, OR(A138 = "NATGAS", A138 = "STEAM_COAL", A138 = "COKING_COAL")), PEC_Info_Scen_assumptions!$B$5, 1) * PEC_Info!I138</f>
        <v>9796.7883031410402</v>
      </c>
      <c r="J138">
        <f>PEC_Info!J138</f>
        <v>0.15000000000000002</v>
      </c>
      <c r="K138">
        <f>PEC_Info!K138</f>
        <v>400</v>
      </c>
    </row>
    <row r="139" spans="1:11">
      <c r="A139" t="str">
        <f>PEC_Info!A139</f>
        <v>COKING_COAL</v>
      </c>
      <c r="B139" t="str">
        <f>PEC_Info!B139</f>
        <v>INDIA</v>
      </c>
      <c r="C139" t="str">
        <f xml:space="preserve"> IF(ISBLANK(PEC_Info!C139), "", PEC_Info!C139)</f>
        <v>NER</v>
      </c>
      <c r="D139">
        <f>PEC_Info!D139</f>
        <v>2025</v>
      </c>
      <c r="E139">
        <f>PEC_Info!E139</f>
        <v>0</v>
      </c>
      <c r="F139" s="372">
        <f xml:space="preserve"> IF(AND(D139 &lt;&gt; 2020, OR(A139 = "NATGAS", A139 = "STEAM_COAL", A139 = "COKING_COAL")), PEC_Info_Scen_assumptions!$B$5, 1) * PEC_Info!F139</f>
        <v>0</v>
      </c>
      <c r="G139">
        <f>PEC_Info!G139</f>
        <v>0</v>
      </c>
      <c r="H139">
        <f>PEC_Info!H139</f>
        <v>0</v>
      </c>
      <c r="I139" s="372">
        <f xml:space="preserve"> IF(AND(D139 &lt;&gt; 2020, OR(A139 = "NATGAS", A139 = "STEAM_COAL", A139 = "COKING_COAL")), PEC_Info_Scen_assumptions!$B$5, 1) * PEC_Info!I139</f>
        <v>9796.7883031410402</v>
      </c>
      <c r="J139">
        <f>PEC_Info!J139</f>
        <v>0.15000000000000002</v>
      </c>
      <c r="K139">
        <f>PEC_Info!K139</f>
        <v>400</v>
      </c>
    </row>
    <row r="140" spans="1:11">
      <c r="A140" t="str">
        <f>PEC_Info!A140</f>
        <v>COKING_COAL</v>
      </c>
      <c r="B140" t="str">
        <f>PEC_Info!B140</f>
        <v>INDIA</v>
      </c>
      <c r="C140" t="str">
        <f xml:space="preserve"> IF(ISBLANK(PEC_Info!C140), "", PEC_Info!C140)</f>
        <v>ER</v>
      </c>
      <c r="D140">
        <f>PEC_Info!D140</f>
        <v>2026</v>
      </c>
      <c r="E140">
        <f>PEC_Info!E140</f>
        <v>0</v>
      </c>
      <c r="F140" s="372">
        <f xml:space="preserve"> IF(AND(D140 &lt;&gt; 2020, OR(A140 = "NATGAS", A140 = "STEAM_COAL", A140 = "COKING_COAL")), PEC_Info_Scen_assumptions!$B$5, 1) * PEC_Info!F140</f>
        <v>0</v>
      </c>
      <c r="G140">
        <f>PEC_Info!G140</f>
        <v>0</v>
      </c>
      <c r="H140">
        <f>PEC_Info!H140</f>
        <v>0</v>
      </c>
      <c r="I140" s="372">
        <f xml:space="preserve"> IF(AND(D140 &lt;&gt; 2020, OR(A140 = "NATGAS", A140 = "STEAM_COAL", A140 = "COKING_COAL")), PEC_Info_Scen_assumptions!$B$5, 1) * PEC_Info!I140</f>
        <v>9848.1638656710747</v>
      </c>
      <c r="J140">
        <f>PEC_Info!J140</f>
        <v>0.15000000000000002</v>
      </c>
      <c r="K140">
        <f>PEC_Info!K140</f>
        <v>400</v>
      </c>
    </row>
    <row r="141" spans="1:11">
      <c r="A141" t="str">
        <f>PEC_Info!A141</f>
        <v>COKING_COAL</v>
      </c>
      <c r="B141" t="str">
        <f>PEC_Info!B141</f>
        <v>INDIA</v>
      </c>
      <c r="C141" t="str">
        <f xml:space="preserve"> IF(ISBLANK(PEC_Info!C141), "", PEC_Info!C141)</f>
        <v>WR</v>
      </c>
      <c r="D141">
        <f>PEC_Info!D141</f>
        <v>2026</v>
      </c>
      <c r="E141">
        <f>PEC_Info!E141</f>
        <v>0</v>
      </c>
      <c r="F141" s="372">
        <f xml:space="preserve"> IF(AND(D141 &lt;&gt; 2020, OR(A141 = "NATGAS", A141 = "STEAM_COAL", A141 = "COKING_COAL")), PEC_Info_Scen_assumptions!$B$5, 1) * PEC_Info!F141</f>
        <v>0</v>
      </c>
      <c r="G141">
        <f>PEC_Info!G141</f>
        <v>0</v>
      </c>
      <c r="H141">
        <f>PEC_Info!H141</f>
        <v>0</v>
      </c>
      <c r="I141" s="372">
        <f xml:space="preserve"> IF(AND(D141 &lt;&gt; 2020, OR(A141 = "NATGAS", A141 = "STEAM_COAL", A141 = "COKING_COAL")), PEC_Info_Scen_assumptions!$B$5, 1) * PEC_Info!I141</f>
        <v>9848.1638656710747</v>
      </c>
      <c r="J141">
        <f>PEC_Info!J141</f>
        <v>0.15000000000000002</v>
      </c>
      <c r="K141">
        <f>PEC_Info!K141</f>
        <v>400</v>
      </c>
    </row>
    <row r="142" spans="1:11">
      <c r="A142" t="str">
        <f>PEC_Info!A142</f>
        <v>COKING_COAL</v>
      </c>
      <c r="B142" t="str">
        <f>PEC_Info!B142</f>
        <v>INDIA</v>
      </c>
      <c r="C142" t="str">
        <f xml:space="preserve"> IF(ISBLANK(PEC_Info!C142), "", PEC_Info!C142)</f>
        <v>NR</v>
      </c>
      <c r="D142">
        <f>PEC_Info!D142</f>
        <v>2026</v>
      </c>
      <c r="E142">
        <f>PEC_Info!E142</f>
        <v>0</v>
      </c>
      <c r="F142" s="372">
        <f xml:space="preserve"> IF(AND(D142 &lt;&gt; 2020, OR(A142 = "NATGAS", A142 = "STEAM_COAL", A142 = "COKING_COAL")), PEC_Info_Scen_assumptions!$B$5, 1) * PEC_Info!F142</f>
        <v>0</v>
      </c>
      <c r="G142">
        <f>PEC_Info!G142</f>
        <v>0</v>
      </c>
      <c r="H142">
        <f>PEC_Info!H142</f>
        <v>0</v>
      </c>
      <c r="I142" s="372">
        <f xml:space="preserve"> IF(AND(D142 &lt;&gt; 2020, OR(A142 = "NATGAS", A142 = "STEAM_COAL", A142 = "COKING_COAL")), PEC_Info_Scen_assumptions!$B$5, 1) * PEC_Info!I142</f>
        <v>9848.1638656710747</v>
      </c>
      <c r="J142">
        <f>PEC_Info!J142</f>
        <v>0.15000000000000002</v>
      </c>
      <c r="K142">
        <f>PEC_Info!K142</f>
        <v>400</v>
      </c>
    </row>
    <row r="143" spans="1:11">
      <c r="A143" t="str">
        <f>PEC_Info!A143</f>
        <v>COKING_COAL</v>
      </c>
      <c r="B143" t="str">
        <f>PEC_Info!B143</f>
        <v>INDIA</v>
      </c>
      <c r="C143" t="str">
        <f xml:space="preserve"> IF(ISBLANK(PEC_Info!C143), "", PEC_Info!C143)</f>
        <v>SR</v>
      </c>
      <c r="D143">
        <f>PEC_Info!D143</f>
        <v>2026</v>
      </c>
      <c r="E143">
        <f>PEC_Info!E143</f>
        <v>0</v>
      </c>
      <c r="F143" s="372">
        <f xml:space="preserve"> IF(AND(D143 &lt;&gt; 2020, OR(A143 = "NATGAS", A143 = "STEAM_COAL", A143 = "COKING_COAL")), PEC_Info_Scen_assumptions!$B$5, 1) * PEC_Info!F143</f>
        <v>0</v>
      </c>
      <c r="G143">
        <f>PEC_Info!G143</f>
        <v>0</v>
      </c>
      <c r="H143">
        <f>PEC_Info!H143</f>
        <v>0</v>
      </c>
      <c r="I143" s="372">
        <f xml:space="preserve"> IF(AND(D143 &lt;&gt; 2020, OR(A143 = "NATGAS", A143 = "STEAM_COAL", A143 = "COKING_COAL")), PEC_Info_Scen_assumptions!$B$5, 1) * PEC_Info!I143</f>
        <v>9848.1638656710747</v>
      </c>
      <c r="J143">
        <f>PEC_Info!J143</f>
        <v>0.15000000000000002</v>
      </c>
      <c r="K143">
        <f>PEC_Info!K143</f>
        <v>400</v>
      </c>
    </row>
    <row r="144" spans="1:11">
      <c r="A144" t="str">
        <f>PEC_Info!A144</f>
        <v>COKING_COAL</v>
      </c>
      <c r="B144" t="str">
        <f>PEC_Info!B144</f>
        <v>INDIA</v>
      </c>
      <c r="C144" t="str">
        <f xml:space="preserve"> IF(ISBLANK(PEC_Info!C144), "", PEC_Info!C144)</f>
        <v>NER</v>
      </c>
      <c r="D144">
        <f>PEC_Info!D144</f>
        <v>2026</v>
      </c>
      <c r="E144">
        <f>PEC_Info!E144</f>
        <v>0</v>
      </c>
      <c r="F144" s="372">
        <f xml:space="preserve"> IF(AND(D144 &lt;&gt; 2020, OR(A144 = "NATGAS", A144 = "STEAM_COAL", A144 = "COKING_COAL")), PEC_Info_Scen_assumptions!$B$5, 1) * PEC_Info!F144</f>
        <v>0</v>
      </c>
      <c r="G144">
        <f>PEC_Info!G144</f>
        <v>0</v>
      </c>
      <c r="H144">
        <f>PEC_Info!H144</f>
        <v>0</v>
      </c>
      <c r="I144" s="372">
        <f xml:space="preserve"> IF(AND(D144 &lt;&gt; 2020, OR(A144 = "NATGAS", A144 = "STEAM_COAL", A144 = "COKING_COAL")), PEC_Info_Scen_assumptions!$B$5, 1) * PEC_Info!I144</f>
        <v>9848.1638656710747</v>
      </c>
      <c r="J144">
        <f>PEC_Info!J144</f>
        <v>0.15000000000000002</v>
      </c>
      <c r="K144">
        <f>PEC_Info!K144</f>
        <v>400</v>
      </c>
    </row>
    <row r="145" spans="1:11">
      <c r="A145" t="str">
        <f>PEC_Info!A145</f>
        <v>COKING_COAL</v>
      </c>
      <c r="B145" t="str">
        <f>PEC_Info!B145</f>
        <v>INDIA</v>
      </c>
      <c r="C145" t="str">
        <f xml:space="preserve"> IF(ISBLANK(PEC_Info!C145), "", PEC_Info!C145)</f>
        <v>ER</v>
      </c>
      <c r="D145">
        <f>PEC_Info!D145</f>
        <v>2027</v>
      </c>
      <c r="E145">
        <f>PEC_Info!E145</f>
        <v>0</v>
      </c>
      <c r="F145" s="372">
        <f xml:space="preserve"> IF(AND(D145 &lt;&gt; 2020, OR(A145 = "NATGAS", A145 = "STEAM_COAL", A145 = "COKING_COAL")), PEC_Info_Scen_assumptions!$B$5, 1) * PEC_Info!F145</f>
        <v>0</v>
      </c>
      <c r="G145">
        <f>PEC_Info!G145</f>
        <v>0</v>
      </c>
      <c r="H145">
        <f>PEC_Info!H145</f>
        <v>0</v>
      </c>
      <c r="I145" s="372">
        <f xml:space="preserve"> IF(AND(D145 &lt;&gt; 2020, OR(A145 = "NATGAS", A145 = "STEAM_COAL", A145 = "COKING_COAL")), PEC_Info_Scen_assumptions!$B$5, 1) * PEC_Info!I145</f>
        <v>9897.0608621597985</v>
      </c>
      <c r="J145">
        <f>PEC_Info!J145</f>
        <v>0.15000000000000002</v>
      </c>
      <c r="K145">
        <f>PEC_Info!K145</f>
        <v>400</v>
      </c>
    </row>
    <row r="146" spans="1:11">
      <c r="A146" t="str">
        <f>PEC_Info!A146</f>
        <v>COKING_COAL</v>
      </c>
      <c r="B146" t="str">
        <f>PEC_Info!B146</f>
        <v>INDIA</v>
      </c>
      <c r="C146" t="str">
        <f xml:space="preserve"> IF(ISBLANK(PEC_Info!C146), "", PEC_Info!C146)</f>
        <v>WR</v>
      </c>
      <c r="D146">
        <f>PEC_Info!D146</f>
        <v>2027</v>
      </c>
      <c r="E146">
        <f>PEC_Info!E146</f>
        <v>0</v>
      </c>
      <c r="F146" s="372">
        <f xml:space="preserve"> IF(AND(D146 &lt;&gt; 2020, OR(A146 = "NATGAS", A146 = "STEAM_COAL", A146 = "COKING_COAL")), PEC_Info_Scen_assumptions!$B$5, 1) * PEC_Info!F146</f>
        <v>0</v>
      </c>
      <c r="G146">
        <f>PEC_Info!G146</f>
        <v>0</v>
      </c>
      <c r="H146">
        <f>PEC_Info!H146</f>
        <v>0</v>
      </c>
      <c r="I146" s="372">
        <f xml:space="preserve"> IF(AND(D146 &lt;&gt; 2020, OR(A146 = "NATGAS", A146 = "STEAM_COAL", A146 = "COKING_COAL")), PEC_Info_Scen_assumptions!$B$5, 1) * PEC_Info!I146</f>
        <v>9897.0608621597985</v>
      </c>
      <c r="J146">
        <f>PEC_Info!J146</f>
        <v>0.15000000000000002</v>
      </c>
      <c r="K146">
        <f>PEC_Info!K146</f>
        <v>400</v>
      </c>
    </row>
    <row r="147" spans="1:11">
      <c r="A147" t="str">
        <f>PEC_Info!A147</f>
        <v>COKING_COAL</v>
      </c>
      <c r="B147" t="str">
        <f>PEC_Info!B147</f>
        <v>INDIA</v>
      </c>
      <c r="C147" t="str">
        <f xml:space="preserve"> IF(ISBLANK(PEC_Info!C147), "", PEC_Info!C147)</f>
        <v>NR</v>
      </c>
      <c r="D147">
        <f>PEC_Info!D147</f>
        <v>2027</v>
      </c>
      <c r="E147">
        <f>PEC_Info!E147</f>
        <v>0</v>
      </c>
      <c r="F147" s="372">
        <f xml:space="preserve"> IF(AND(D147 &lt;&gt; 2020, OR(A147 = "NATGAS", A147 = "STEAM_COAL", A147 = "COKING_COAL")), PEC_Info_Scen_assumptions!$B$5, 1) * PEC_Info!F147</f>
        <v>0</v>
      </c>
      <c r="G147">
        <f>PEC_Info!G147</f>
        <v>0</v>
      </c>
      <c r="H147">
        <f>PEC_Info!H147</f>
        <v>0</v>
      </c>
      <c r="I147" s="372">
        <f xml:space="preserve"> IF(AND(D147 &lt;&gt; 2020, OR(A147 = "NATGAS", A147 = "STEAM_COAL", A147 = "COKING_COAL")), PEC_Info_Scen_assumptions!$B$5, 1) * PEC_Info!I147</f>
        <v>9897.0608621597985</v>
      </c>
      <c r="J147">
        <f>PEC_Info!J147</f>
        <v>0.15000000000000002</v>
      </c>
      <c r="K147">
        <f>PEC_Info!K147</f>
        <v>400</v>
      </c>
    </row>
    <row r="148" spans="1:11">
      <c r="A148" t="str">
        <f>PEC_Info!A148</f>
        <v>COKING_COAL</v>
      </c>
      <c r="B148" t="str">
        <f>PEC_Info!B148</f>
        <v>INDIA</v>
      </c>
      <c r="C148" t="str">
        <f xml:space="preserve"> IF(ISBLANK(PEC_Info!C148), "", PEC_Info!C148)</f>
        <v>SR</v>
      </c>
      <c r="D148">
        <f>PEC_Info!D148</f>
        <v>2027</v>
      </c>
      <c r="E148">
        <f>PEC_Info!E148</f>
        <v>0</v>
      </c>
      <c r="F148" s="372">
        <f xml:space="preserve"> IF(AND(D148 &lt;&gt; 2020, OR(A148 = "NATGAS", A148 = "STEAM_COAL", A148 = "COKING_COAL")), PEC_Info_Scen_assumptions!$B$5, 1) * PEC_Info!F148</f>
        <v>0</v>
      </c>
      <c r="G148">
        <f>PEC_Info!G148</f>
        <v>0</v>
      </c>
      <c r="H148">
        <f>PEC_Info!H148</f>
        <v>0</v>
      </c>
      <c r="I148" s="372">
        <f xml:space="preserve"> IF(AND(D148 &lt;&gt; 2020, OR(A148 = "NATGAS", A148 = "STEAM_COAL", A148 = "COKING_COAL")), PEC_Info_Scen_assumptions!$B$5, 1) * PEC_Info!I148</f>
        <v>9897.0608621597985</v>
      </c>
      <c r="J148">
        <f>PEC_Info!J148</f>
        <v>0.15000000000000002</v>
      </c>
      <c r="K148">
        <f>PEC_Info!K148</f>
        <v>400</v>
      </c>
    </row>
    <row r="149" spans="1:11">
      <c r="A149" t="str">
        <f>PEC_Info!A149</f>
        <v>COKING_COAL</v>
      </c>
      <c r="B149" t="str">
        <f>PEC_Info!B149</f>
        <v>INDIA</v>
      </c>
      <c r="C149" t="str">
        <f xml:space="preserve"> IF(ISBLANK(PEC_Info!C149), "", PEC_Info!C149)</f>
        <v>NER</v>
      </c>
      <c r="D149">
        <f>PEC_Info!D149</f>
        <v>2027</v>
      </c>
      <c r="E149">
        <f>PEC_Info!E149</f>
        <v>0</v>
      </c>
      <c r="F149" s="372">
        <f xml:space="preserve"> IF(AND(D149 &lt;&gt; 2020, OR(A149 = "NATGAS", A149 = "STEAM_COAL", A149 = "COKING_COAL")), PEC_Info_Scen_assumptions!$B$5, 1) * PEC_Info!F149</f>
        <v>0</v>
      </c>
      <c r="G149">
        <f>PEC_Info!G149</f>
        <v>0</v>
      </c>
      <c r="H149">
        <f>PEC_Info!H149</f>
        <v>0</v>
      </c>
      <c r="I149" s="372">
        <f xml:space="preserve"> IF(AND(D149 &lt;&gt; 2020, OR(A149 = "NATGAS", A149 = "STEAM_COAL", A149 = "COKING_COAL")), PEC_Info_Scen_assumptions!$B$5, 1) * PEC_Info!I149</f>
        <v>9897.0608621597985</v>
      </c>
      <c r="J149">
        <f>PEC_Info!J149</f>
        <v>0.15000000000000002</v>
      </c>
      <c r="K149">
        <f>PEC_Info!K149</f>
        <v>400</v>
      </c>
    </row>
    <row r="150" spans="1:11">
      <c r="A150" t="str">
        <f>PEC_Info!A150</f>
        <v>COKING_COAL</v>
      </c>
      <c r="B150" t="str">
        <f>PEC_Info!B150</f>
        <v>INDIA</v>
      </c>
      <c r="C150" t="str">
        <f xml:space="preserve"> IF(ISBLANK(PEC_Info!C150), "", PEC_Info!C150)</f>
        <v>ER</v>
      </c>
      <c r="D150">
        <f>PEC_Info!D150</f>
        <v>2028</v>
      </c>
      <c r="E150">
        <f>PEC_Info!E150</f>
        <v>0</v>
      </c>
      <c r="F150" s="372">
        <f xml:space="preserve"> IF(AND(D150 &lt;&gt; 2020, OR(A150 = "NATGAS", A150 = "STEAM_COAL", A150 = "COKING_COAL")), PEC_Info_Scen_assumptions!$B$5, 1) * PEC_Info!F150</f>
        <v>0</v>
      </c>
      <c r="G150">
        <f>PEC_Info!G150</f>
        <v>0</v>
      </c>
      <c r="H150">
        <f>PEC_Info!H150</f>
        <v>0</v>
      </c>
      <c r="I150" s="372">
        <f xml:space="preserve"> IF(AND(D150 &lt;&gt; 2020, OR(A150 = "NATGAS", A150 = "STEAM_COAL", A150 = "COKING_COAL")), PEC_Info_Scen_assumptions!$B$5, 1) * PEC_Info!I150</f>
        <v>9946.2006365204379</v>
      </c>
      <c r="J150">
        <f>PEC_Info!J150</f>
        <v>0.15000000000000002</v>
      </c>
      <c r="K150">
        <f>PEC_Info!K150</f>
        <v>400</v>
      </c>
    </row>
    <row r="151" spans="1:11">
      <c r="A151" t="str">
        <f>PEC_Info!A151</f>
        <v>COKING_COAL</v>
      </c>
      <c r="B151" t="str">
        <f>PEC_Info!B151</f>
        <v>INDIA</v>
      </c>
      <c r="C151" t="str">
        <f xml:space="preserve"> IF(ISBLANK(PEC_Info!C151), "", PEC_Info!C151)</f>
        <v>WR</v>
      </c>
      <c r="D151">
        <f>PEC_Info!D151</f>
        <v>2028</v>
      </c>
      <c r="E151">
        <f>PEC_Info!E151</f>
        <v>0</v>
      </c>
      <c r="F151" s="372">
        <f xml:space="preserve"> IF(AND(D151 &lt;&gt; 2020, OR(A151 = "NATGAS", A151 = "STEAM_COAL", A151 = "COKING_COAL")), PEC_Info_Scen_assumptions!$B$5, 1) * PEC_Info!F151</f>
        <v>0</v>
      </c>
      <c r="G151">
        <f>PEC_Info!G151</f>
        <v>0</v>
      </c>
      <c r="H151">
        <f>PEC_Info!H151</f>
        <v>0</v>
      </c>
      <c r="I151" s="372">
        <f xml:space="preserve"> IF(AND(D151 &lt;&gt; 2020, OR(A151 = "NATGAS", A151 = "STEAM_COAL", A151 = "COKING_COAL")), PEC_Info_Scen_assumptions!$B$5, 1) * PEC_Info!I151</f>
        <v>9946.2006365204379</v>
      </c>
      <c r="J151">
        <f>PEC_Info!J151</f>
        <v>0.15000000000000002</v>
      </c>
      <c r="K151">
        <f>PEC_Info!K151</f>
        <v>400</v>
      </c>
    </row>
    <row r="152" spans="1:11">
      <c r="A152" t="str">
        <f>PEC_Info!A152</f>
        <v>COKING_COAL</v>
      </c>
      <c r="B152" t="str">
        <f>PEC_Info!B152</f>
        <v>INDIA</v>
      </c>
      <c r="C152" t="str">
        <f xml:space="preserve"> IF(ISBLANK(PEC_Info!C152), "", PEC_Info!C152)</f>
        <v>NR</v>
      </c>
      <c r="D152">
        <f>PEC_Info!D152</f>
        <v>2028</v>
      </c>
      <c r="E152">
        <f>PEC_Info!E152</f>
        <v>0</v>
      </c>
      <c r="F152" s="372">
        <f xml:space="preserve"> IF(AND(D152 &lt;&gt; 2020, OR(A152 = "NATGAS", A152 = "STEAM_COAL", A152 = "COKING_COAL")), PEC_Info_Scen_assumptions!$B$5, 1) * PEC_Info!F152</f>
        <v>0</v>
      </c>
      <c r="G152">
        <f>PEC_Info!G152</f>
        <v>0</v>
      </c>
      <c r="H152">
        <f>PEC_Info!H152</f>
        <v>0</v>
      </c>
      <c r="I152" s="372">
        <f xml:space="preserve"> IF(AND(D152 &lt;&gt; 2020, OR(A152 = "NATGAS", A152 = "STEAM_COAL", A152 = "COKING_COAL")), PEC_Info_Scen_assumptions!$B$5, 1) * PEC_Info!I152</f>
        <v>9946.2006365204379</v>
      </c>
      <c r="J152">
        <f>PEC_Info!J152</f>
        <v>0.15000000000000002</v>
      </c>
      <c r="K152">
        <f>PEC_Info!K152</f>
        <v>400</v>
      </c>
    </row>
    <row r="153" spans="1:11">
      <c r="A153" t="str">
        <f>PEC_Info!A153</f>
        <v>COKING_COAL</v>
      </c>
      <c r="B153" t="str">
        <f>PEC_Info!B153</f>
        <v>INDIA</v>
      </c>
      <c r="C153" t="str">
        <f xml:space="preserve"> IF(ISBLANK(PEC_Info!C153), "", PEC_Info!C153)</f>
        <v>SR</v>
      </c>
      <c r="D153">
        <f>PEC_Info!D153</f>
        <v>2028</v>
      </c>
      <c r="E153">
        <f>PEC_Info!E153</f>
        <v>0</v>
      </c>
      <c r="F153" s="372">
        <f xml:space="preserve"> IF(AND(D153 &lt;&gt; 2020, OR(A153 = "NATGAS", A153 = "STEAM_COAL", A153 = "COKING_COAL")), PEC_Info_Scen_assumptions!$B$5, 1) * PEC_Info!F153</f>
        <v>0</v>
      </c>
      <c r="G153">
        <f>PEC_Info!G153</f>
        <v>0</v>
      </c>
      <c r="H153">
        <f>PEC_Info!H153</f>
        <v>0</v>
      </c>
      <c r="I153" s="372">
        <f xml:space="preserve"> IF(AND(D153 &lt;&gt; 2020, OR(A153 = "NATGAS", A153 = "STEAM_COAL", A153 = "COKING_COAL")), PEC_Info_Scen_assumptions!$B$5, 1) * PEC_Info!I153</f>
        <v>9946.2006365204379</v>
      </c>
      <c r="J153">
        <f>PEC_Info!J153</f>
        <v>0.15000000000000002</v>
      </c>
      <c r="K153">
        <f>PEC_Info!K153</f>
        <v>400</v>
      </c>
    </row>
    <row r="154" spans="1:11">
      <c r="A154" t="str">
        <f>PEC_Info!A154</f>
        <v>COKING_COAL</v>
      </c>
      <c r="B154" t="str">
        <f>PEC_Info!B154</f>
        <v>INDIA</v>
      </c>
      <c r="C154" t="str">
        <f xml:space="preserve"> IF(ISBLANK(PEC_Info!C154), "", PEC_Info!C154)</f>
        <v>NER</v>
      </c>
      <c r="D154">
        <f>PEC_Info!D154</f>
        <v>2028</v>
      </c>
      <c r="E154">
        <f>PEC_Info!E154</f>
        <v>0</v>
      </c>
      <c r="F154" s="372">
        <f xml:space="preserve"> IF(AND(D154 &lt;&gt; 2020, OR(A154 = "NATGAS", A154 = "STEAM_COAL", A154 = "COKING_COAL")), PEC_Info_Scen_assumptions!$B$5, 1) * PEC_Info!F154</f>
        <v>0</v>
      </c>
      <c r="G154">
        <f>PEC_Info!G154</f>
        <v>0</v>
      </c>
      <c r="H154">
        <f>PEC_Info!H154</f>
        <v>0</v>
      </c>
      <c r="I154" s="372">
        <f xml:space="preserve"> IF(AND(D154 &lt;&gt; 2020, OR(A154 = "NATGAS", A154 = "STEAM_COAL", A154 = "COKING_COAL")), PEC_Info_Scen_assumptions!$B$5, 1) * PEC_Info!I154</f>
        <v>9946.2006365204379</v>
      </c>
      <c r="J154">
        <f>PEC_Info!J154</f>
        <v>0.15000000000000002</v>
      </c>
      <c r="K154">
        <f>PEC_Info!K154</f>
        <v>400</v>
      </c>
    </row>
    <row r="155" spans="1:11">
      <c r="A155" t="str">
        <f>PEC_Info!A155</f>
        <v>COKING_COAL</v>
      </c>
      <c r="B155" t="str">
        <f>PEC_Info!B155</f>
        <v>INDIA</v>
      </c>
      <c r="C155" t="str">
        <f xml:space="preserve"> IF(ISBLANK(PEC_Info!C155), "", PEC_Info!C155)</f>
        <v>ER</v>
      </c>
      <c r="D155">
        <f>PEC_Info!D155</f>
        <v>2029</v>
      </c>
      <c r="E155">
        <f>PEC_Info!E155</f>
        <v>0</v>
      </c>
      <c r="F155" s="372">
        <f xml:space="preserve"> IF(AND(D155 &lt;&gt; 2020, OR(A155 = "NATGAS", A155 = "STEAM_COAL", A155 = "COKING_COAL")), PEC_Info_Scen_assumptions!$B$5, 1) * PEC_Info!F155</f>
        <v>0</v>
      </c>
      <c r="G155">
        <f>PEC_Info!G155</f>
        <v>0</v>
      </c>
      <c r="H155">
        <f>PEC_Info!H155</f>
        <v>0</v>
      </c>
      <c r="I155" s="372">
        <f xml:space="preserve"> IF(AND(D155 &lt;&gt; 2020, OR(A155 = "NATGAS", A155 = "STEAM_COAL", A155 = "COKING_COAL")), PEC_Info_Scen_assumptions!$B$5, 1) * PEC_Info!I155</f>
        <v>9995.5843941664043</v>
      </c>
      <c r="J155">
        <f>PEC_Info!J155</f>
        <v>0.15000000000000002</v>
      </c>
      <c r="K155">
        <f>PEC_Info!K155</f>
        <v>400</v>
      </c>
    </row>
    <row r="156" spans="1:11">
      <c r="A156" t="str">
        <f>PEC_Info!A156</f>
        <v>COKING_COAL</v>
      </c>
      <c r="B156" t="str">
        <f>PEC_Info!B156</f>
        <v>INDIA</v>
      </c>
      <c r="C156" t="str">
        <f xml:space="preserve"> IF(ISBLANK(PEC_Info!C156), "", PEC_Info!C156)</f>
        <v>WR</v>
      </c>
      <c r="D156">
        <f>PEC_Info!D156</f>
        <v>2029</v>
      </c>
      <c r="E156">
        <f>PEC_Info!E156</f>
        <v>0</v>
      </c>
      <c r="F156" s="372">
        <f xml:space="preserve"> IF(AND(D156 &lt;&gt; 2020, OR(A156 = "NATGAS", A156 = "STEAM_COAL", A156 = "COKING_COAL")), PEC_Info_Scen_assumptions!$B$5, 1) * PEC_Info!F156</f>
        <v>0</v>
      </c>
      <c r="G156">
        <f>PEC_Info!G156</f>
        <v>0</v>
      </c>
      <c r="H156">
        <f>PEC_Info!H156</f>
        <v>0</v>
      </c>
      <c r="I156" s="372">
        <f xml:space="preserve"> IF(AND(D156 &lt;&gt; 2020, OR(A156 = "NATGAS", A156 = "STEAM_COAL", A156 = "COKING_COAL")), PEC_Info_Scen_assumptions!$B$5, 1) * PEC_Info!I156</f>
        <v>9995.5843941664043</v>
      </c>
      <c r="J156">
        <f>PEC_Info!J156</f>
        <v>0.15000000000000002</v>
      </c>
      <c r="K156">
        <f>PEC_Info!K156</f>
        <v>400</v>
      </c>
    </row>
    <row r="157" spans="1:11">
      <c r="A157" t="str">
        <f>PEC_Info!A157</f>
        <v>COKING_COAL</v>
      </c>
      <c r="B157" t="str">
        <f>PEC_Info!B157</f>
        <v>INDIA</v>
      </c>
      <c r="C157" t="str">
        <f xml:space="preserve"> IF(ISBLANK(PEC_Info!C157), "", PEC_Info!C157)</f>
        <v>NR</v>
      </c>
      <c r="D157">
        <f>PEC_Info!D157</f>
        <v>2029</v>
      </c>
      <c r="E157">
        <f>PEC_Info!E157</f>
        <v>0</v>
      </c>
      <c r="F157" s="372">
        <f xml:space="preserve"> IF(AND(D157 &lt;&gt; 2020, OR(A157 = "NATGAS", A157 = "STEAM_COAL", A157 = "COKING_COAL")), PEC_Info_Scen_assumptions!$B$5, 1) * PEC_Info!F157</f>
        <v>0</v>
      </c>
      <c r="G157">
        <f>PEC_Info!G157</f>
        <v>0</v>
      </c>
      <c r="H157">
        <f>PEC_Info!H157</f>
        <v>0</v>
      </c>
      <c r="I157" s="372">
        <f xml:space="preserve"> IF(AND(D157 &lt;&gt; 2020, OR(A157 = "NATGAS", A157 = "STEAM_COAL", A157 = "COKING_COAL")), PEC_Info_Scen_assumptions!$B$5, 1) * PEC_Info!I157</f>
        <v>9995.5843941664043</v>
      </c>
      <c r="J157">
        <f>PEC_Info!J157</f>
        <v>0.15000000000000002</v>
      </c>
      <c r="K157">
        <f>PEC_Info!K157</f>
        <v>400</v>
      </c>
    </row>
    <row r="158" spans="1:11">
      <c r="A158" t="str">
        <f>PEC_Info!A158</f>
        <v>COKING_COAL</v>
      </c>
      <c r="B158" t="str">
        <f>PEC_Info!B158</f>
        <v>INDIA</v>
      </c>
      <c r="C158" t="str">
        <f xml:space="preserve"> IF(ISBLANK(PEC_Info!C158), "", PEC_Info!C158)</f>
        <v>SR</v>
      </c>
      <c r="D158">
        <f>PEC_Info!D158</f>
        <v>2029</v>
      </c>
      <c r="E158">
        <f>PEC_Info!E158</f>
        <v>0</v>
      </c>
      <c r="F158" s="372">
        <f xml:space="preserve"> IF(AND(D158 &lt;&gt; 2020, OR(A158 = "NATGAS", A158 = "STEAM_COAL", A158 = "COKING_COAL")), PEC_Info_Scen_assumptions!$B$5, 1) * PEC_Info!F158</f>
        <v>0</v>
      </c>
      <c r="G158">
        <f>PEC_Info!G158</f>
        <v>0</v>
      </c>
      <c r="H158">
        <f>PEC_Info!H158</f>
        <v>0</v>
      </c>
      <c r="I158" s="372">
        <f xml:space="preserve"> IF(AND(D158 &lt;&gt; 2020, OR(A158 = "NATGAS", A158 = "STEAM_COAL", A158 = "COKING_COAL")), PEC_Info_Scen_assumptions!$B$5, 1) * PEC_Info!I158</f>
        <v>9995.5843941664043</v>
      </c>
      <c r="J158">
        <f>PEC_Info!J158</f>
        <v>0.15000000000000002</v>
      </c>
      <c r="K158">
        <f>PEC_Info!K158</f>
        <v>400</v>
      </c>
    </row>
    <row r="159" spans="1:11">
      <c r="A159" t="str">
        <f>PEC_Info!A159</f>
        <v>COKING_COAL</v>
      </c>
      <c r="B159" t="str">
        <f>PEC_Info!B159</f>
        <v>INDIA</v>
      </c>
      <c r="C159" t="str">
        <f xml:space="preserve"> IF(ISBLANK(PEC_Info!C159), "", PEC_Info!C159)</f>
        <v>NER</v>
      </c>
      <c r="D159">
        <f>PEC_Info!D159</f>
        <v>2029</v>
      </c>
      <c r="E159">
        <f>PEC_Info!E159</f>
        <v>0</v>
      </c>
      <c r="F159" s="372">
        <f xml:space="preserve"> IF(AND(D159 &lt;&gt; 2020, OR(A159 = "NATGAS", A159 = "STEAM_COAL", A159 = "COKING_COAL")), PEC_Info_Scen_assumptions!$B$5, 1) * PEC_Info!F159</f>
        <v>0</v>
      </c>
      <c r="G159">
        <f>PEC_Info!G159</f>
        <v>0</v>
      </c>
      <c r="H159">
        <f>PEC_Info!H159</f>
        <v>0</v>
      </c>
      <c r="I159" s="372">
        <f xml:space="preserve"> IF(AND(D159 &lt;&gt; 2020, OR(A159 = "NATGAS", A159 = "STEAM_COAL", A159 = "COKING_COAL")), PEC_Info_Scen_assumptions!$B$5, 1) * PEC_Info!I159</f>
        <v>9995.5843941664043</v>
      </c>
      <c r="J159">
        <f>PEC_Info!J159</f>
        <v>0.15000000000000002</v>
      </c>
      <c r="K159">
        <f>PEC_Info!K159</f>
        <v>400</v>
      </c>
    </row>
    <row r="160" spans="1:11">
      <c r="A160" t="str">
        <f>PEC_Info!A160</f>
        <v>COKING_COAL</v>
      </c>
      <c r="B160" t="str">
        <f>PEC_Info!B160</f>
        <v>INDIA</v>
      </c>
      <c r="C160" t="str">
        <f xml:space="preserve"> IF(ISBLANK(PEC_Info!C160), "", PEC_Info!C160)</f>
        <v>ER</v>
      </c>
      <c r="D160">
        <f>PEC_Info!D160</f>
        <v>2030</v>
      </c>
      <c r="E160">
        <f>PEC_Info!E160</f>
        <v>0</v>
      </c>
      <c r="F160" s="372">
        <f xml:space="preserve"> IF(AND(D160 &lt;&gt; 2020, OR(A160 = "NATGAS", A160 = "STEAM_COAL", A160 = "COKING_COAL")), PEC_Info_Scen_assumptions!$B$5, 1) * PEC_Info!F160</f>
        <v>0</v>
      </c>
      <c r="G160">
        <f>PEC_Info!G160</f>
        <v>0</v>
      </c>
      <c r="H160">
        <f>PEC_Info!H160</f>
        <v>0</v>
      </c>
      <c r="I160" s="372">
        <f xml:space="preserve"> IF(AND(D160 &lt;&gt; 2020, OR(A160 = "NATGAS", A160 = "STEAM_COAL", A160 = "COKING_COAL")), PEC_Info_Scen_assumptions!$B$5, 1) * PEC_Info!I160</f>
        <v>10045.213346496086</v>
      </c>
      <c r="J160">
        <f>PEC_Info!J160</f>
        <v>0.15000000000000002</v>
      </c>
      <c r="K160">
        <f>PEC_Info!K160</f>
        <v>400</v>
      </c>
    </row>
    <row r="161" spans="1:11">
      <c r="A161" t="str">
        <f>PEC_Info!A161</f>
        <v>COKING_COAL</v>
      </c>
      <c r="B161" t="str">
        <f>PEC_Info!B161</f>
        <v>INDIA</v>
      </c>
      <c r="C161" t="str">
        <f xml:space="preserve"> IF(ISBLANK(PEC_Info!C161), "", PEC_Info!C161)</f>
        <v>WR</v>
      </c>
      <c r="D161">
        <f>PEC_Info!D161</f>
        <v>2030</v>
      </c>
      <c r="E161">
        <f>PEC_Info!E161</f>
        <v>0</v>
      </c>
      <c r="F161" s="372">
        <f xml:space="preserve"> IF(AND(D161 &lt;&gt; 2020, OR(A161 = "NATGAS", A161 = "STEAM_COAL", A161 = "COKING_COAL")), PEC_Info_Scen_assumptions!$B$5, 1) * PEC_Info!F161</f>
        <v>0</v>
      </c>
      <c r="G161">
        <f>PEC_Info!G161</f>
        <v>0</v>
      </c>
      <c r="H161">
        <f>PEC_Info!H161</f>
        <v>0</v>
      </c>
      <c r="I161" s="372">
        <f xml:space="preserve"> IF(AND(D161 &lt;&gt; 2020, OR(A161 = "NATGAS", A161 = "STEAM_COAL", A161 = "COKING_COAL")), PEC_Info_Scen_assumptions!$B$5, 1) * PEC_Info!I161</f>
        <v>10045.213346496086</v>
      </c>
      <c r="J161">
        <f>PEC_Info!J161</f>
        <v>0.15000000000000002</v>
      </c>
      <c r="K161">
        <f>PEC_Info!K161</f>
        <v>400</v>
      </c>
    </row>
    <row r="162" spans="1:11">
      <c r="A162" t="str">
        <f>PEC_Info!A162</f>
        <v>COKING_COAL</v>
      </c>
      <c r="B162" t="str">
        <f>PEC_Info!B162</f>
        <v>INDIA</v>
      </c>
      <c r="C162" t="str">
        <f xml:space="preserve"> IF(ISBLANK(PEC_Info!C162), "", PEC_Info!C162)</f>
        <v>NR</v>
      </c>
      <c r="D162">
        <f>PEC_Info!D162</f>
        <v>2030</v>
      </c>
      <c r="E162">
        <f>PEC_Info!E162</f>
        <v>0</v>
      </c>
      <c r="F162" s="372">
        <f xml:space="preserve"> IF(AND(D162 &lt;&gt; 2020, OR(A162 = "NATGAS", A162 = "STEAM_COAL", A162 = "COKING_COAL")), PEC_Info_Scen_assumptions!$B$5, 1) * PEC_Info!F162</f>
        <v>0</v>
      </c>
      <c r="G162">
        <f>PEC_Info!G162</f>
        <v>0</v>
      </c>
      <c r="H162">
        <f>PEC_Info!H162</f>
        <v>0</v>
      </c>
      <c r="I162" s="372">
        <f xml:space="preserve"> IF(AND(D162 &lt;&gt; 2020, OR(A162 = "NATGAS", A162 = "STEAM_COAL", A162 = "COKING_COAL")), PEC_Info_Scen_assumptions!$B$5, 1) * PEC_Info!I162</f>
        <v>10045.213346496086</v>
      </c>
      <c r="J162">
        <f>PEC_Info!J162</f>
        <v>0.15000000000000002</v>
      </c>
      <c r="K162">
        <f>PEC_Info!K162</f>
        <v>400</v>
      </c>
    </row>
    <row r="163" spans="1:11">
      <c r="A163" t="str">
        <f>PEC_Info!A163</f>
        <v>COKING_COAL</v>
      </c>
      <c r="B163" t="str">
        <f>PEC_Info!B163</f>
        <v>INDIA</v>
      </c>
      <c r="C163" t="str">
        <f xml:space="preserve"> IF(ISBLANK(PEC_Info!C163), "", PEC_Info!C163)</f>
        <v>SR</v>
      </c>
      <c r="D163">
        <f>PEC_Info!D163</f>
        <v>2030</v>
      </c>
      <c r="E163">
        <f>PEC_Info!E163</f>
        <v>0</v>
      </c>
      <c r="F163" s="372">
        <f xml:space="preserve"> IF(AND(D163 &lt;&gt; 2020, OR(A163 = "NATGAS", A163 = "STEAM_COAL", A163 = "COKING_COAL")), PEC_Info_Scen_assumptions!$B$5, 1) * PEC_Info!F163</f>
        <v>0</v>
      </c>
      <c r="G163">
        <f>PEC_Info!G163</f>
        <v>0</v>
      </c>
      <c r="H163">
        <f>PEC_Info!H163</f>
        <v>0</v>
      </c>
      <c r="I163" s="372">
        <f xml:space="preserve"> IF(AND(D163 &lt;&gt; 2020, OR(A163 = "NATGAS", A163 = "STEAM_COAL", A163 = "COKING_COAL")), PEC_Info_Scen_assumptions!$B$5, 1) * PEC_Info!I163</f>
        <v>10045.213346496086</v>
      </c>
      <c r="J163">
        <f>PEC_Info!J163</f>
        <v>0.15000000000000002</v>
      </c>
      <c r="K163">
        <f>PEC_Info!K163</f>
        <v>400</v>
      </c>
    </row>
    <row r="164" spans="1:11">
      <c r="A164" t="str">
        <f>PEC_Info!A164</f>
        <v>COKING_COAL</v>
      </c>
      <c r="B164" t="str">
        <f>PEC_Info!B164</f>
        <v>INDIA</v>
      </c>
      <c r="C164" t="str">
        <f xml:space="preserve"> IF(ISBLANK(PEC_Info!C164), "", PEC_Info!C164)</f>
        <v>NER</v>
      </c>
      <c r="D164">
        <f>PEC_Info!D164</f>
        <v>2030</v>
      </c>
      <c r="E164">
        <f>PEC_Info!E164</f>
        <v>0</v>
      </c>
      <c r="F164" s="372">
        <f xml:space="preserve"> IF(AND(D164 &lt;&gt; 2020, OR(A164 = "NATGAS", A164 = "STEAM_COAL", A164 = "COKING_COAL")), PEC_Info_Scen_assumptions!$B$5, 1) * PEC_Info!F164</f>
        <v>0</v>
      </c>
      <c r="G164">
        <f>PEC_Info!G164</f>
        <v>0</v>
      </c>
      <c r="H164">
        <f>PEC_Info!H164</f>
        <v>0</v>
      </c>
      <c r="I164" s="372">
        <f xml:space="preserve"> IF(AND(D164 &lt;&gt; 2020, OR(A164 = "NATGAS", A164 = "STEAM_COAL", A164 = "COKING_COAL")), PEC_Info_Scen_assumptions!$B$5, 1) * PEC_Info!I164</f>
        <v>10045.213346496086</v>
      </c>
      <c r="J164">
        <f>PEC_Info!J164</f>
        <v>0.15000000000000002</v>
      </c>
      <c r="K164">
        <f>PEC_Info!K164</f>
        <v>400</v>
      </c>
    </row>
    <row r="165" spans="1:11">
      <c r="A165" t="str">
        <f>PEC_Info!A165</f>
        <v>COKING_COAL</v>
      </c>
      <c r="B165" t="str">
        <f>PEC_Info!B165</f>
        <v>INDIA</v>
      </c>
      <c r="C165" t="str">
        <f xml:space="preserve"> IF(ISBLANK(PEC_Info!C165), "", PEC_Info!C165)</f>
        <v>ER</v>
      </c>
      <c r="D165">
        <f>PEC_Info!D165</f>
        <v>2031</v>
      </c>
      <c r="E165">
        <f>PEC_Info!E165</f>
        <v>0</v>
      </c>
      <c r="F165" s="372">
        <f xml:space="preserve"> IF(AND(D165 &lt;&gt; 2020, OR(A165 = "NATGAS", A165 = "STEAM_COAL", A165 = "COKING_COAL")), PEC_Info_Scen_assumptions!$B$5, 1) * PEC_Info!F165</f>
        <v>0</v>
      </c>
      <c r="G165">
        <f>PEC_Info!G165</f>
        <v>0</v>
      </c>
      <c r="H165">
        <f>PEC_Info!H165</f>
        <v>0</v>
      </c>
      <c r="I165" s="372">
        <f xml:space="preserve"> IF(AND(D165 &lt;&gt; 2020, OR(A165 = "NATGAS", A165 = "STEAM_COAL", A165 = "COKING_COAL")), PEC_Info_Scen_assumptions!$B$5, 1) * PEC_Info!I165</f>
        <v>10095.088710922571</v>
      </c>
      <c r="J165">
        <f>PEC_Info!J165</f>
        <v>0.15000000000000002</v>
      </c>
      <c r="K165">
        <f>PEC_Info!K165</f>
        <v>400</v>
      </c>
    </row>
    <row r="166" spans="1:11">
      <c r="A166" t="str">
        <f>PEC_Info!A166</f>
        <v>COKING_COAL</v>
      </c>
      <c r="B166" t="str">
        <f>PEC_Info!B166</f>
        <v>INDIA</v>
      </c>
      <c r="C166" t="str">
        <f xml:space="preserve"> IF(ISBLANK(PEC_Info!C166), "", PEC_Info!C166)</f>
        <v>WR</v>
      </c>
      <c r="D166">
        <f>PEC_Info!D166</f>
        <v>2031</v>
      </c>
      <c r="E166">
        <f>PEC_Info!E166</f>
        <v>0</v>
      </c>
      <c r="F166" s="372">
        <f xml:space="preserve"> IF(AND(D166 &lt;&gt; 2020, OR(A166 = "NATGAS", A166 = "STEAM_COAL", A166 = "COKING_COAL")), PEC_Info_Scen_assumptions!$B$5, 1) * PEC_Info!F166</f>
        <v>0</v>
      </c>
      <c r="G166">
        <f>PEC_Info!G166</f>
        <v>0</v>
      </c>
      <c r="H166">
        <f>PEC_Info!H166</f>
        <v>0</v>
      </c>
      <c r="I166" s="372">
        <f xml:space="preserve"> IF(AND(D166 &lt;&gt; 2020, OR(A166 = "NATGAS", A166 = "STEAM_COAL", A166 = "COKING_COAL")), PEC_Info_Scen_assumptions!$B$5, 1) * PEC_Info!I166</f>
        <v>10095.088710922571</v>
      </c>
      <c r="J166">
        <f>PEC_Info!J166</f>
        <v>0.15000000000000002</v>
      </c>
      <c r="K166">
        <f>PEC_Info!K166</f>
        <v>400</v>
      </c>
    </row>
    <row r="167" spans="1:11">
      <c r="A167" t="str">
        <f>PEC_Info!A167</f>
        <v>COKING_COAL</v>
      </c>
      <c r="B167" t="str">
        <f>PEC_Info!B167</f>
        <v>INDIA</v>
      </c>
      <c r="C167" t="str">
        <f xml:space="preserve"> IF(ISBLANK(PEC_Info!C167), "", PEC_Info!C167)</f>
        <v>NR</v>
      </c>
      <c r="D167">
        <f>PEC_Info!D167</f>
        <v>2031</v>
      </c>
      <c r="E167">
        <f>PEC_Info!E167</f>
        <v>0</v>
      </c>
      <c r="F167" s="372">
        <f xml:space="preserve"> IF(AND(D167 &lt;&gt; 2020, OR(A167 = "NATGAS", A167 = "STEAM_COAL", A167 = "COKING_COAL")), PEC_Info_Scen_assumptions!$B$5, 1) * PEC_Info!F167</f>
        <v>0</v>
      </c>
      <c r="G167">
        <f>PEC_Info!G167</f>
        <v>0</v>
      </c>
      <c r="H167">
        <f>PEC_Info!H167</f>
        <v>0</v>
      </c>
      <c r="I167" s="372">
        <f xml:space="preserve"> IF(AND(D167 &lt;&gt; 2020, OR(A167 = "NATGAS", A167 = "STEAM_COAL", A167 = "COKING_COAL")), PEC_Info_Scen_assumptions!$B$5, 1) * PEC_Info!I167</f>
        <v>10095.088710922571</v>
      </c>
      <c r="J167">
        <f>PEC_Info!J167</f>
        <v>0.15000000000000002</v>
      </c>
      <c r="K167">
        <f>PEC_Info!K167</f>
        <v>400</v>
      </c>
    </row>
    <row r="168" spans="1:11">
      <c r="A168" t="str">
        <f>PEC_Info!A168</f>
        <v>COKING_COAL</v>
      </c>
      <c r="B168" t="str">
        <f>PEC_Info!B168</f>
        <v>INDIA</v>
      </c>
      <c r="C168" t="str">
        <f xml:space="preserve"> IF(ISBLANK(PEC_Info!C168), "", PEC_Info!C168)</f>
        <v>SR</v>
      </c>
      <c r="D168">
        <f>PEC_Info!D168</f>
        <v>2031</v>
      </c>
      <c r="E168">
        <f>PEC_Info!E168</f>
        <v>0</v>
      </c>
      <c r="F168" s="372">
        <f xml:space="preserve"> IF(AND(D168 &lt;&gt; 2020, OR(A168 = "NATGAS", A168 = "STEAM_COAL", A168 = "COKING_COAL")), PEC_Info_Scen_assumptions!$B$5, 1) * PEC_Info!F168</f>
        <v>0</v>
      </c>
      <c r="G168">
        <f>PEC_Info!G168</f>
        <v>0</v>
      </c>
      <c r="H168">
        <f>PEC_Info!H168</f>
        <v>0</v>
      </c>
      <c r="I168" s="372">
        <f xml:space="preserve"> IF(AND(D168 &lt;&gt; 2020, OR(A168 = "NATGAS", A168 = "STEAM_COAL", A168 = "COKING_COAL")), PEC_Info_Scen_assumptions!$B$5, 1) * PEC_Info!I168</f>
        <v>10095.088710922571</v>
      </c>
      <c r="J168">
        <f>PEC_Info!J168</f>
        <v>0.15000000000000002</v>
      </c>
      <c r="K168">
        <f>PEC_Info!K168</f>
        <v>400</v>
      </c>
    </row>
    <row r="169" spans="1:11">
      <c r="A169" t="str">
        <f>PEC_Info!A169</f>
        <v>COKING_COAL</v>
      </c>
      <c r="B169" t="str">
        <f>PEC_Info!B169</f>
        <v>INDIA</v>
      </c>
      <c r="C169" t="str">
        <f xml:space="preserve"> IF(ISBLANK(PEC_Info!C169), "", PEC_Info!C169)</f>
        <v>NER</v>
      </c>
      <c r="D169">
        <f>PEC_Info!D169</f>
        <v>2031</v>
      </c>
      <c r="E169">
        <f>PEC_Info!E169</f>
        <v>0</v>
      </c>
      <c r="F169" s="372">
        <f xml:space="preserve"> IF(AND(D169 &lt;&gt; 2020, OR(A169 = "NATGAS", A169 = "STEAM_COAL", A169 = "COKING_COAL")), PEC_Info_Scen_assumptions!$B$5, 1) * PEC_Info!F169</f>
        <v>0</v>
      </c>
      <c r="G169">
        <f>PEC_Info!G169</f>
        <v>0</v>
      </c>
      <c r="H169">
        <f>PEC_Info!H169</f>
        <v>0</v>
      </c>
      <c r="I169" s="372">
        <f xml:space="preserve"> IF(AND(D169 &lt;&gt; 2020, OR(A169 = "NATGAS", A169 = "STEAM_COAL", A169 = "COKING_COAL")), PEC_Info_Scen_assumptions!$B$5, 1) * PEC_Info!I169</f>
        <v>10095.088710922571</v>
      </c>
      <c r="J169">
        <f>PEC_Info!J169</f>
        <v>0.15000000000000002</v>
      </c>
      <c r="K169">
        <f>PEC_Info!K169</f>
        <v>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9"/>
  <sheetViews>
    <sheetView zoomScaleNormal="100" workbookViewId="0"/>
  </sheetViews>
  <sheetFormatPr defaultRowHeight="15"/>
  <cols>
    <col min="1" max="1" width="13.85546875" bestFit="1" customWidth="1"/>
    <col min="2" max="2" width="16.42578125" bestFit="1" customWidth="1"/>
    <col min="3" max="3" width="15" bestFit="1" customWidth="1"/>
    <col min="4" max="4" width="5" bestFit="1" customWidth="1"/>
    <col min="5" max="5" width="15.85546875" bestFit="1" customWidth="1"/>
    <col min="6" max="6" width="19.85546875" style="372" bestFit="1" customWidth="1"/>
    <col min="7" max="7" width="13.5703125" bestFit="1" customWidth="1"/>
    <col min="8" max="8" width="15.85546875" bestFit="1" customWidth="1"/>
    <col min="9" max="9" width="19.85546875" style="372" bestFit="1" customWidth="1"/>
    <col min="10" max="10" width="12.7109375" bestFit="1" customWidth="1"/>
    <col min="11" max="11" width="15.140625" bestFit="1" customWidth="1"/>
  </cols>
  <sheetData>
    <row r="1" spans="1:11">
      <c r="A1" t="str">
        <f>PEC_Info!A1</f>
        <v>EnergyCarrier</v>
      </c>
      <c r="B1" t="str">
        <f>PEC_Info!B1</f>
        <v>ModelGeography</v>
      </c>
      <c r="C1" t="str">
        <f>PEC_Info!C1</f>
        <v>SubGeography1</v>
      </c>
      <c r="D1" t="str">
        <f>PEC_Info!D1</f>
        <v>Year</v>
      </c>
      <c r="E1" t="str">
        <f>PEC_Info!E1</f>
        <v>NonEnergyShare</v>
      </c>
      <c r="F1" s="372" t="str">
        <f>PEC_Info!F1</f>
        <v>DomesticPrice</v>
      </c>
      <c r="G1" t="str">
        <f>PEC_Info!G1</f>
        <v>AVTaxOHDom</v>
      </c>
      <c r="H1" t="str">
        <f>PEC_Info!H1</f>
        <v>FixedTaxOHDom</v>
      </c>
      <c r="I1" s="372" t="str">
        <f>PEC_Info!I1</f>
        <v>ImportPrice</v>
      </c>
      <c r="J1" t="str">
        <f>PEC_Info!J1</f>
        <v>AVTaxOHImp</v>
      </c>
      <c r="K1" t="str">
        <f>PEC_Info!K1</f>
        <v>FixedTaxOHImp</v>
      </c>
    </row>
    <row r="2" spans="1:11">
      <c r="A2" t="str">
        <f>PEC_Info!A2</f>
        <v>CRUDE</v>
      </c>
      <c r="B2" t="str">
        <f>PEC_Info!B2</f>
        <v>INDIA</v>
      </c>
      <c r="C2" t="str">
        <f xml:space="preserve"> IF(ISBLANK(PEC_Info!C2), "", PEC_Info!C2)</f>
        <v/>
      </c>
      <c r="D2">
        <f>PEC_Info!D2</f>
        <v>2020</v>
      </c>
      <c r="E2">
        <f>PEC_Info!E2</f>
        <v>0</v>
      </c>
      <c r="F2" s="372">
        <f xml:space="preserve"> IF(AND(D2 &lt;&gt; 2020, OR(A2 = "NATGAS", A2 = "STEAM_COAL", A2 = "COKING_COAL")), PEC_Info_Scen_assumptions!$C$5, 1) * PEC_Info!F2</f>
        <v>27328.761354469305</v>
      </c>
      <c r="G2">
        <f>PEC_Info!G2</f>
        <v>0.1</v>
      </c>
      <c r="H2">
        <f>PEC_Info!H2</f>
        <v>51.2</v>
      </c>
      <c r="I2" s="372">
        <f xml:space="preserve"> IF(AND(D2 &lt;&gt; 2020, OR(A2 = "NATGAS", A2 = "STEAM_COAL", A2 = "COKING_COAL")), PEC_Info_Scen_assumptions!$C$5, 1) * PEC_Info!I2</f>
        <v>30365.290393854782</v>
      </c>
      <c r="J2">
        <f>PEC_Info!J2</f>
        <v>0</v>
      </c>
      <c r="K2">
        <f>PEC_Info!K2</f>
        <v>52</v>
      </c>
    </row>
    <row r="3" spans="1:11">
      <c r="A3" t="str">
        <f>PEC_Info!A3</f>
        <v>CRUDE</v>
      </c>
      <c r="B3" t="str">
        <f>PEC_Info!B3</f>
        <v>INDIA</v>
      </c>
      <c r="C3" t="str">
        <f xml:space="preserve"> IF(ISBLANK(PEC_Info!C3), "", PEC_Info!C3)</f>
        <v/>
      </c>
      <c r="D3">
        <f>PEC_Info!D3</f>
        <v>2021</v>
      </c>
      <c r="E3">
        <f>PEC_Info!E3</f>
        <v>0</v>
      </c>
      <c r="F3" s="372">
        <f xml:space="preserve"> IF(AND(D3 &lt;&gt; 2020, OR(A3 = "NATGAS", A3 = "STEAM_COAL", A3 = "COKING_COAL")), PEC_Info_Scen_assumptions!$C$5, 1) * PEC_Info!F3</f>
        <v>18704.034594433222</v>
      </c>
      <c r="G3">
        <f>PEC_Info!G3</f>
        <v>0.1</v>
      </c>
      <c r="H3">
        <f>PEC_Info!H3</f>
        <v>51.2</v>
      </c>
      <c r="I3" s="372">
        <f xml:space="preserve"> IF(AND(D3 &lt;&gt; 2020, OR(A3 = "NATGAS", A3 = "STEAM_COAL", A3 = "COKING_COAL")), PEC_Info_Scen_assumptions!$C$5, 1) * PEC_Info!I3</f>
        <v>20782.260660481355</v>
      </c>
      <c r="J3">
        <f>PEC_Info!J3</f>
        <v>0</v>
      </c>
      <c r="K3">
        <f>PEC_Info!K3</f>
        <v>52</v>
      </c>
    </row>
    <row r="4" spans="1:11">
      <c r="A4" t="str">
        <f>PEC_Info!A4</f>
        <v>CRUDE</v>
      </c>
      <c r="B4" t="str">
        <f>PEC_Info!B4</f>
        <v>INDIA</v>
      </c>
      <c r="C4" t="str">
        <f xml:space="preserve"> IF(ISBLANK(PEC_Info!C4), "", PEC_Info!C4)</f>
        <v/>
      </c>
      <c r="D4">
        <f>PEC_Info!D4</f>
        <v>2022</v>
      </c>
      <c r="E4">
        <f>PEC_Info!E4</f>
        <v>0</v>
      </c>
      <c r="F4" s="372">
        <f xml:space="preserve"> IF(AND(D4 &lt;&gt; 2020, OR(A4 = "NATGAS", A4 = "STEAM_COAL", A4 = "COKING_COAL")), PEC_Info_Scen_assumptions!$C$5, 1) * PEC_Info!F4</f>
        <v>20184.092984079674</v>
      </c>
      <c r="G4">
        <f>PEC_Info!G4</f>
        <v>0.1</v>
      </c>
      <c r="H4">
        <f>PEC_Info!H4</f>
        <v>51.2</v>
      </c>
      <c r="I4" s="372">
        <f xml:space="preserve"> IF(AND(D4 &lt;&gt; 2020, OR(A4 = "NATGAS", A4 = "STEAM_COAL", A4 = "COKING_COAL")), PEC_Info_Scen_assumptions!$C$5, 1) * PEC_Info!I4</f>
        <v>22426.76998231075</v>
      </c>
      <c r="J4">
        <f>PEC_Info!J4</f>
        <v>0</v>
      </c>
      <c r="K4">
        <f>PEC_Info!K4</f>
        <v>52</v>
      </c>
    </row>
    <row r="5" spans="1:11">
      <c r="A5" t="str">
        <f>PEC_Info!A5</f>
        <v>CRUDE</v>
      </c>
      <c r="B5" t="str">
        <f>PEC_Info!B5</f>
        <v>INDIA</v>
      </c>
      <c r="C5" t="str">
        <f xml:space="preserve"> IF(ISBLANK(PEC_Info!C5), "", PEC_Info!C5)</f>
        <v/>
      </c>
      <c r="D5">
        <f>PEC_Info!D5</f>
        <v>2023</v>
      </c>
      <c r="E5">
        <f>PEC_Info!E5</f>
        <v>0</v>
      </c>
      <c r="F5" s="372">
        <f xml:space="preserve"> IF(AND(D5 &lt;&gt; 2020, OR(A5 = "NATGAS", A5 = "STEAM_COAL", A5 = "COKING_COAL")), PEC_Info_Scen_assumptions!$C$5, 1) * PEC_Info!F5</f>
        <v>22984.981503651281</v>
      </c>
      <c r="G5">
        <f>PEC_Info!G5</f>
        <v>0.1</v>
      </c>
      <c r="H5">
        <f>PEC_Info!H5</f>
        <v>51.2</v>
      </c>
      <c r="I5" s="372">
        <f xml:space="preserve"> IF(AND(D5 &lt;&gt; 2020, OR(A5 = "NATGAS", A5 = "STEAM_COAL", A5 = "COKING_COAL")), PEC_Info_Scen_assumptions!$C$5, 1) * PEC_Info!I5</f>
        <v>25538.868337390311</v>
      </c>
      <c r="J5">
        <f>PEC_Info!J5</f>
        <v>0</v>
      </c>
      <c r="K5">
        <f>PEC_Info!K5</f>
        <v>52</v>
      </c>
    </row>
    <row r="6" spans="1:11">
      <c r="A6" t="str">
        <f>PEC_Info!A6</f>
        <v>CRUDE</v>
      </c>
      <c r="B6" t="str">
        <f>PEC_Info!B6</f>
        <v>INDIA</v>
      </c>
      <c r="C6" t="str">
        <f xml:space="preserve"> IF(ISBLANK(PEC_Info!C6), "", PEC_Info!C6)</f>
        <v/>
      </c>
      <c r="D6">
        <f>PEC_Info!D6</f>
        <v>2024</v>
      </c>
      <c r="E6">
        <f>PEC_Info!E6</f>
        <v>0</v>
      </c>
      <c r="F6" s="372">
        <f xml:space="preserve"> IF(AND(D6 &lt;&gt; 2020, OR(A6 = "NATGAS", A6 = "STEAM_COAL", A6 = "COKING_COAL")), PEC_Info_Scen_assumptions!$C$5, 1) * PEC_Info!F6</f>
        <v>24020.010732097908</v>
      </c>
      <c r="G6">
        <f>PEC_Info!G6</f>
        <v>0.1</v>
      </c>
      <c r="H6">
        <f>PEC_Info!H6</f>
        <v>51.2</v>
      </c>
      <c r="I6" s="372">
        <f xml:space="preserve"> IF(AND(D6 &lt;&gt; 2020, OR(A6 = "NATGAS", A6 = "STEAM_COAL", A6 = "COKING_COAL")), PEC_Info_Scen_assumptions!$C$5, 1) * PEC_Info!I6</f>
        <v>26688.90081344212</v>
      </c>
      <c r="J6">
        <f>PEC_Info!J6</f>
        <v>0</v>
      </c>
      <c r="K6">
        <f>PEC_Info!K6</f>
        <v>52</v>
      </c>
    </row>
    <row r="7" spans="1:11">
      <c r="A7" t="str">
        <f>PEC_Info!A7</f>
        <v>CRUDE</v>
      </c>
      <c r="B7" t="str">
        <f>PEC_Info!B7</f>
        <v>INDIA</v>
      </c>
      <c r="C7" t="str">
        <f xml:space="preserve"> IF(ISBLANK(PEC_Info!C7), "", PEC_Info!C7)</f>
        <v/>
      </c>
      <c r="D7">
        <f>PEC_Info!D7</f>
        <v>2025</v>
      </c>
      <c r="E7">
        <f>PEC_Info!E7</f>
        <v>0</v>
      </c>
      <c r="F7" s="372">
        <f xml:space="preserve"> IF(AND(D7 &lt;&gt; 2020, OR(A7 = "NATGAS", A7 = "STEAM_COAL", A7 = "COKING_COAL")), PEC_Info_Scen_assumptions!$C$5, 1) * PEC_Info!F7</f>
        <v>25136.150152942701</v>
      </c>
      <c r="G7">
        <f>PEC_Info!G7</f>
        <v>0.1</v>
      </c>
      <c r="H7">
        <f>PEC_Info!H7</f>
        <v>51.2</v>
      </c>
      <c r="I7" s="372">
        <f xml:space="preserve"> IF(AND(D7 &lt;&gt; 2020, OR(A7 = "NATGAS", A7 = "STEAM_COAL", A7 = "COKING_COAL")), PEC_Info_Scen_assumptions!$C$5, 1) * PEC_Info!I7</f>
        <v>27929.055725491889</v>
      </c>
      <c r="J7">
        <f>PEC_Info!J7</f>
        <v>0</v>
      </c>
      <c r="K7">
        <f>PEC_Info!K7</f>
        <v>52</v>
      </c>
    </row>
    <row r="8" spans="1:11">
      <c r="A8" t="str">
        <f>PEC_Info!A8</f>
        <v>CRUDE</v>
      </c>
      <c r="B8" t="str">
        <f>PEC_Info!B8</f>
        <v>INDIA</v>
      </c>
      <c r="C8" t="str">
        <f xml:space="preserve"> IF(ISBLANK(PEC_Info!C8), "", PEC_Info!C8)</f>
        <v/>
      </c>
      <c r="D8">
        <f>PEC_Info!D8</f>
        <v>2026</v>
      </c>
      <c r="E8">
        <f>PEC_Info!E8</f>
        <v>0</v>
      </c>
      <c r="F8" s="372">
        <f xml:space="preserve"> IF(AND(D8 &lt;&gt; 2020, OR(A8 = "NATGAS", A8 = "STEAM_COAL", A8 = "COKING_COAL")), PEC_Info_Scen_assumptions!$C$5, 1) * PEC_Info!F8</f>
        <v>26237.446070149454</v>
      </c>
      <c r="G8">
        <f>PEC_Info!G8</f>
        <v>0.1</v>
      </c>
      <c r="H8">
        <f>PEC_Info!H8</f>
        <v>51.2</v>
      </c>
      <c r="I8" s="372">
        <f xml:space="preserve"> IF(AND(D8 &lt;&gt; 2020, OR(A8 = "NATGAS", A8 = "STEAM_COAL", A8 = "COKING_COAL")), PEC_Info_Scen_assumptions!$C$5, 1) * PEC_Info!I8</f>
        <v>29152.717855721614</v>
      </c>
      <c r="J8">
        <f>PEC_Info!J8</f>
        <v>0</v>
      </c>
      <c r="K8">
        <f>PEC_Info!K8</f>
        <v>52</v>
      </c>
    </row>
    <row r="9" spans="1:11">
      <c r="A9" t="str">
        <f>PEC_Info!A9</f>
        <v>CRUDE</v>
      </c>
      <c r="B9" t="str">
        <f>PEC_Info!B9</f>
        <v>INDIA</v>
      </c>
      <c r="C9" t="str">
        <f xml:space="preserve"> IF(ISBLANK(PEC_Info!C9), "", PEC_Info!C9)</f>
        <v/>
      </c>
      <c r="D9">
        <f>PEC_Info!D9</f>
        <v>2027</v>
      </c>
      <c r="E9">
        <f>PEC_Info!E9</f>
        <v>0</v>
      </c>
      <c r="F9" s="372">
        <f xml:space="preserve"> IF(AND(D9 &lt;&gt; 2020, OR(A9 = "NATGAS", A9 = "STEAM_COAL", A9 = "COKING_COAL")), PEC_Info_Scen_assumptions!$C$5, 1) * PEC_Info!F9</f>
        <v>27383.880074665198</v>
      </c>
      <c r="G9">
        <f>PEC_Info!G9</f>
        <v>0.1</v>
      </c>
      <c r="H9">
        <f>PEC_Info!H9</f>
        <v>51.2</v>
      </c>
      <c r="I9" s="372">
        <f xml:space="preserve"> IF(AND(D9 &lt;&gt; 2020, OR(A9 = "NATGAS", A9 = "STEAM_COAL", A9 = "COKING_COAL")), PEC_Info_Scen_assumptions!$C$5, 1) * PEC_Info!I9</f>
        <v>30426.53341629466</v>
      </c>
      <c r="J9">
        <f>PEC_Info!J9</f>
        <v>0</v>
      </c>
      <c r="K9">
        <f>PEC_Info!K9</f>
        <v>52</v>
      </c>
    </row>
    <row r="10" spans="1:11">
      <c r="A10" t="str">
        <f>PEC_Info!A10</f>
        <v>CRUDE</v>
      </c>
      <c r="B10" t="str">
        <f>PEC_Info!B10</f>
        <v>INDIA</v>
      </c>
      <c r="C10" t="str">
        <f xml:space="preserve"> IF(ISBLANK(PEC_Info!C10), "", PEC_Info!C10)</f>
        <v/>
      </c>
      <c r="D10">
        <f>PEC_Info!D10</f>
        <v>2028</v>
      </c>
      <c r="E10">
        <f>PEC_Info!E10</f>
        <v>0</v>
      </c>
      <c r="F10" s="372">
        <f xml:space="preserve"> IF(AND(D10 &lt;&gt; 2020, OR(A10 = "NATGAS", A10 = "STEAM_COAL", A10 = "COKING_COAL")), PEC_Info_Scen_assumptions!$C$5, 1) * PEC_Info!F10</f>
        <v>28580.407023562642</v>
      </c>
      <c r="G10">
        <f>PEC_Info!G10</f>
        <v>0.1</v>
      </c>
      <c r="H10">
        <f>PEC_Info!H10</f>
        <v>51.2</v>
      </c>
      <c r="I10" s="372">
        <f xml:space="preserve"> IF(AND(D10 &lt;&gt; 2020, OR(A10 = "NATGAS", A10 = "STEAM_COAL", A10 = "COKING_COAL")), PEC_Info_Scen_assumptions!$C$5, 1) * PEC_Info!I10</f>
        <v>31756.007803958488</v>
      </c>
      <c r="J10">
        <f>PEC_Info!J10</f>
        <v>0</v>
      </c>
      <c r="K10">
        <f>PEC_Info!K10</f>
        <v>52</v>
      </c>
    </row>
    <row r="11" spans="1:11">
      <c r="A11" t="str">
        <f>PEC_Info!A11</f>
        <v>CRUDE</v>
      </c>
      <c r="B11" t="str">
        <f>PEC_Info!B11</f>
        <v>INDIA</v>
      </c>
      <c r="C11" t="str">
        <f xml:space="preserve"> IF(ISBLANK(PEC_Info!C11), "", PEC_Info!C11)</f>
        <v/>
      </c>
      <c r="D11">
        <f>PEC_Info!D11</f>
        <v>2029</v>
      </c>
      <c r="E11">
        <f>PEC_Info!E11</f>
        <v>0</v>
      </c>
      <c r="F11" s="372">
        <f xml:space="preserve"> IF(AND(D11 &lt;&gt; 2020, OR(A11 = "NATGAS", A11 = "STEAM_COAL", A11 = "COKING_COAL")), PEC_Info_Scen_assumptions!$C$5, 1) * PEC_Info!F11</f>
        <v>29829.215706660434</v>
      </c>
      <c r="G11">
        <f>PEC_Info!G11</f>
        <v>0.1</v>
      </c>
      <c r="H11">
        <f>PEC_Info!H11</f>
        <v>51.2</v>
      </c>
      <c r="I11" s="372">
        <f xml:space="preserve"> IF(AND(D11 &lt;&gt; 2020, OR(A11 = "NATGAS", A11 = "STEAM_COAL", A11 = "COKING_COAL")), PEC_Info_Scen_assumptions!$C$5, 1) * PEC_Info!I11</f>
        <v>33143.573007400482</v>
      </c>
      <c r="J11">
        <f>PEC_Info!J11</f>
        <v>0</v>
      </c>
      <c r="K11">
        <f>PEC_Info!K11</f>
        <v>52</v>
      </c>
    </row>
    <row r="12" spans="1:11">
      <c r="A12" t="str">
        <f>PEC_Info!A12</f>
        <v>CRUDE</v>
      </c>
      <c r="B12" t="str">
        <f>PEC_Info!B12</f>
        <v>INDIA</v>
      </c>
      <c r="C12" t="str">
        <f xml:space="preserve"> IF(ISBLANK(PEC_Info!C12), "", PEC_Info!C12)</f>
        <v/>
      </c>
      <c r="D12">
        <f>PEC_Info!D12</f>
        <v>2030</v>
      </c>
      <c r="E12">
        <f>PEC_Info!E12</f>
        <v>0</v>
      </c>
      <c r="F12" s="372">
        <f xml:space="preserve"> IF(AND(D12 &lt;&gt; 2020, OR(A12 = "NATGAS", A12 = "STEAM_COAL", A12 = "COKING_COAL")), PEC_Info_Scen_assumptions!$C$5, 1) * PEC_Info!F12</f>
        <v>31132.590552013891</v>
      </c>
      <c r="G12">
        <f>PEC_Info!G12</f>
        <v>0.1</v>
      </c>
      <c r="H12">
        <f>PEC_Info!H12</f>
        <v>51.2</v>
      </c>
      <c r="I12" s="372">
        <f xml:space="preserve"> IF(AND(D12 &lt;&gt; 2020, OR(A12 = "NATGAS", A12 = "STEAM_COAL", A12 = "COKING_COAL")), PEC_Info_Scen_assumptions!$C$5, 1) * PEC_Info!I12</f>
        <v>34591.767280015432</v>
      </c>
      <c r="J12">
        <f>PEC_Info!J12</f>
        <v>0</v>
      </c>
      <c r="K12">
        <f>PEC_Info!K12</f>
        <v>52</v>
      </c>
    </row>
    <row r="13" spans="1:11">
      <c r="A13" t="str">
        <f>PEC_Info!A13</f>
        <v>CRUDE</v>
      </c>
      <c r="B13" t="str">
        <f>PEC_Info!B13</f>
        <v>INDIA</v>
      </c>
      <c r="C13" t="str">
        <f xml:space="preserve"> IF(ISBLANK(PEC_Info!C13), "", PEC_Info!C13)</f>
        <v/>
      </c>
      <c r="D13">
        <f>PEC_Info!D13</f>
        <v>2031</v>
      </c>
      <c r="E13">
        <f>PEC_Info!E13</f>
        <v>0</v>
      </c>
      <c r="F13" s="372">
        <f xml:space="preserve"> IF(AND(D13 &lt;&gt; 2020, OR(A13 = "NATGAS", A13 = "STEAM_COAL", A13 = "COKING_COAL")), PEC_Info_Scen_assumptions!$C$5, 1) * PEC_Info!F13</f>
        <v>32492.915804786902</v>
      </c>
      <c r="G13">
        <f>PEC_Info!G13</f>
        <v>0.1</v>
      </c>
      <c r="H13">
        <f>PEC_Info!H13</f>
        <v>51.2</v>
      </c>
      <c r="I13" s="372">
        <f xml:space="preserve"> IF(AND(D13 &lt;&gt; 2020, OR(A13 = "NATGAS", A13 = "STEAM_COAL", A13 = "COKING_COAL")), PEC_Info_Scen_assumptions!$C$5, 1) * PEC_Info!I13</f>
        <v>36103.239783096556</v>
      </c>
      <c r="J13">
        <f>PEC_Info!J13</f>
        <v>0</v>
      </c>
      <c r="K13">
        <f>PEC_Info!K13</f>
        <v>52</v>
      </c>
    </row>
    <row r="14" spans="1:11">
      <c r="A14" t="str">
        <f>PEC_Info!A14</f>
        <v>BIOMASS</v>
      </c>
      <c r="B14" t="str">
        <f>PEC_Info!B14</f>
        <v>INDIA</v>
      </c>
      <c r="C14" t="str">
        <f xml:space="preserve"> IF(ISBLANK(PEC_Info!C14), "", PEC_Info!C14)</f>
        <v/>
      </c>
      <c r="D14">
        <f>PEC_Info!D14</f>
        <v>2020</v>
      </c>
      <c r="E14">
        <f>PEC_Info!E14</f>
        <v>0</v>
      </c>
      <c r="F14" s="372">
        <f xml:space="preserve"> IF(AND(D14 &lt;&gt; 2020, OR(A14 = "NATGAS", A14 = "STEAM_COAL", A14 = "COKING_COAL")), PEC_Info_Scen_assumptions!$C$5, 1) * PEC_Info!F14</f>
        <v>3494.3578580033732</v>
      </c>
      <c r="G14">
        <f>PEC_Info!G14</f>
        <v>0</v>
      </c>
      <c r="H14">
        <f>PEC_Info!H14</f>
        <v>0</v>
      </c>
      <c r="I14" s="372">
        <f xml:space="preserve"> IF(AND(D14 &lt;&gt; 2020, OR(A14 = "NATGAS", A14 = "STEAM_COAL", A14 = "COKING_COAL")), PEC_Info_Scen_assumptions!$C$5, 1) * PEC_Info!I14</f>
        <v>3494.3578580033732</v>
      </c>
      <c r="J14">
        <f>PEC_Info!J14</f>
        <v>0</v>
      </c>
      <c r="K14">
        <f>PEC_Info!K14</f>
        <v>0</v>
      </c>
    </row>
    <row r="15" spans="1:11">
      <c r="A15" t="str">
        <f>PEC_Info!A15</f>
        <v>BIOMASS</v>
      </c>
      <c r="B15" t="str">
        <f>PEC_Info!B15</f>
        <v>INDIA</v>
      </c>
      <c r="C15" t="str">
        <f xml:space="preserve"> IF(ISBLANK(PEC_Info!C15), "", PEC_Info!C15)</f>
        <v/>
      </c>
      <c r="D15">
        <f>PEC_Info!D15</f>
        <v>2021</v>
      </c>
      <c r="E15">
        <f>PEC_Info!E15</f>
        <v>0</v>
      </c>
      <c r="F15" s="372">
        <f xml:space="preserve"> IF(AND(D15 &lt;&gt; 2020, OR(A15 = "NATGAS", A15 = "STEAM_COAL", A15 = "COKING_COAL")), PEC_Info_Scen_assumptions!$C$5, 1) * PEC_Info!F15</f>
        <v>3576.8978579354234</v>
      </c>
      <c r="G15">
        <f>PEC_Info!G15</f>
        <v>0</v>
      </c>
      <c r="H15">
        <f>PEC_Info!H15</f>
        <v>0</v>
      </c>
      <c r="I15" s="372">
        <f xml:space="preserve"> IF(AND(D15 &lt;&gt; 2020, OR(A15 = "NATGAS", A15 = "STEAM_COAL", A15 = "COKING_COAL")), PEC_Info_Scen_assumptions!$C$5, 1) * PEC_Info!I15</f>
        <v>3576.8978579354234</v>
      </c>
      <c r="J15">
        <f>PEC_Info!J15</f>
        <v>0</v>
      </c>
      <c r="K15">
        <f>PEC_Info!K15</f>
        <v>0</v>
      </c>
    </row>
    <row r="16" spans="1:11">
      <c r="A16" t="str">
        <f>PEC_Info!A16</f>
        <v>BIOMASS</v>
      </c>
      <c r="B16" t="str">
        <f>PEC_Info!B16</f>
        <v>INDIA</v>
      </c>
      <c r="C16" t="str">
        <f xml:space="preserve"> IF(ISBLANK(PEC_Info!C16), "", PEC_Info!C16)</f>
        <v/>
      </c>
      <c r="D16">
        <f>PEC_Info!D16</f>
        <v>2022</v>
      </c>
      <c r="E16">
        <f>PEC_Info!E16</f>
        <v>0</v>
      </c>
      <c r="F16" s="372">
        <f xml:space="preserve"> IF(AND(D16 &lt;&gt; 2020, OR(A16 = "NATGAS", A16 = "STEAM_COAL", A16 = "COKING_COAL")), PEC_Info_Scen_assumptions!$C$5, 1) * PEC_Info!F16</f>
        <v>3659.9311611943544</v>
      </c>
      <c r="G16">
        <f>PEC_Info!G16</f>
        <v>0</v>
      </c>
      <c r="H16">
        <f>PEC_Info!H16</f>
        <v>0</v>
      </c>
      <c r="I16" s="372">
        <f xml:space="preserve"> IF(AND(D16 &lt;&gt; 2020, OR(A16 = "NATGAS", A16 = "STEAM_COAL", A16 = "COKING_COAL")), PEC_Info_Scen_assumptions!$C$5, 1) * PEC_Info!I16</f>
        <v>3659.9311611943544</v>
      </c>
      <c r="J16">
        <f>PEC_Info!J16</f>
        <v>0</v>
      </c>
      <c r="K16">
        <f>PEC_Info!K16</f>
        <v>0</v>
      </c>
    </row>
    <row r="17" spans="1:11">
      <c r="A17" t="str">
        <f>PEC_Info!A17</f>
        <v>BIOMASS</v>
      </c>
      <c r="B17" t="str">
        <f>PEC_Info!B17</f>
        <v>INDIA</v>
      </c>
      <c r="C17" t="str">
        <f xml:space="preserve"> IF(ISBLANK(PEC_Info!C17), "", PEC_Info!C17)</f>
        <v/>
      </c>
      <c r="D17">
        <f>PEC_Info!D17</f>
        <v>2023</v>
      </c>
      <c r="E17">
        <f>PEC_Info!E17</f>
        <v>0</v>
      </c>
      <c r="F17" s="372">
        <f xml:space="preserve"> IF(AND(D17 &lt;&gt; 2020, OR(A17 = "NATGAS", A17 = "STEAM_COAL", A17 = "COKING_COAL")), PEC_Info_Scen_assumptions!$C$5, 1) * PEC_Info!F17</f>
        <v>3746.1057306588614</v>
      </c>
      <c r="G17">
        <f>PEC_Info!G17</f>
        <v>0</v>
      </c>
      <c r="H17">
        <f>PEC_Info!H17</f>
        <v>0</v>
      </c>
      <c r="I17" s="372">
        <f xml:space="preserve"> IF(AND(D17 &lt;&gt; 2020, OR(A17 = "NATGAS", A17 = "STEAM_COAL", A17 = "COKING_COAL")), PEC_Info_Scen_assumptions!$C$5, 1) * PEC_Info!I17</f>
        <v>3746.1057306588614</v>
      </c>
      <c r="J17">
        <f>PEC_Info!J17</f>
        <v>0</v>
      </c>
      <c r="K17">
        <f>PEC_Info!K17</f>
        <v>0</v>
      </c>
    </row>
    <row r="18" spans="1:11">
      <c r="A18" t="str">
        <f>PEC_Info!A18</f>
        <v>BIOMASS</v>
      </c>
      <c r="B18" t="str">
        <f>PEC_Info!B18</f>
        <v>INDIA</v>
      </c>
      <c r="C18" t="str">
        <f xml:space="preserve"> IF(ISBLANK(PEC_Info!C18), "", PEC_Info!C18)</f>
        <v/>
      </c>
      <c r="D18">
        <f>PEC_Info!D18</f>
        <v>2024</v>
      </c>
      <c r="E18">
        <f>PEC_Info!E18</f>
        <v>0</v>
      </c>
      <c r="F18" s="372">
        <f xml:space="preserve"> IF(AND(D18 &lt;&gt; 2020, OR(A18 = "NATGAS", A18 = "STEAM_COAL", A18 = "COKING_COAL")), PEC_Info_Scen_assumptions!$C$5, 1) * PEC_Info!F18</f>
        <v>3833.6786883937298</v>
      </c>
      <c r="G18">
        <f>PEC_Info!G18</f>
        <v>0</v>
      </c>
      <c r="H18">
        <f>PEC_Info!H18</f>
        <v>0</v>
      </c>
      <c r="I18" s="372">
        <f xml:space="preserve"> IF(AND(D18 &lt;&gt; 2020, OR(A18 = "NATGAS", A18 = "STEAM_COAL", A18 = "COKING_COAL")), PEC_Info_Scen_assumptions!$C$5, 1) * PEC_Info!I18</f>
        <v>3833.6786883937298</v>
      </c>
      <c r="J18">
        <f>PEC_Info!J18</f>
        <v>0</v>
      </c>
      <c r="K18">
        <f>PEC_Info!K18</f>
        <v>0</v>
      </c>
    </row>
    <row r="19" spans="1:11">
      <c r="A19" t="str">
        <f>PEC_Info!A19</f>
        <v>BIOMASS</v>
      </c>
      <c r="B19" t="str">
        <f>PEC_Info!B19</f>
        <v>INDIA</v>
      </c>
      <c r="C19" t="str">
        <f xml:space="preserve"> IF(ISBLANK(PEC_Info!C19), "", PEC_Info!C19)</f>
        <v/>
      </c>
      <c r="D19">
        <f>PEC_Info!D19</f>
        <v>2025</v>
      </c>
      <c r="E19">
        <f>PEC_Info!E19</f>
        <v>0</v>
      </c>
      <c r="F19" s="372">
        <f xml:space="preserve"> IF(AND(D19 &lt;&gt; 2020, OR(A19 = "NATGAS", A19 = "STEAM_COAL", A19 = "COKING_COAL")), PEC_Info_Scen_assumptions!$C$5, 1) * PEC_Info!F19</f>
        <v>3923.210754367406</v>
      </c>
      <c r="G19">
        <f>PEC_Info!G19</f>
        <v>0</v>
      </c>
      <c r="H19">
        <f>PEC_Info!H19</f>
        <v>0</v>
      </c>
      <c r="I19" s="372">
        <f xml:space="preserve"> IF(AND(D19 &lt;&gt; 2020, OR(A19 = "NATGAS", A19 = "STEAM_COAL", A19 = "COKING_COAL")), PEC_Info_Scen_assumptions!$C$5, 1) * PEC_Info!I19</f>
        <v>3923.210754367406</v>
      </c>
      <c r="J19">
        <f>PEC_Info!J19</f>
        <v>0</v>
      </c>
      <c r="K19">
        <f>PEC_Info!K19</f>
        <v>0</v>
      </c>
    </row>
    <row r="20" spans="1:11">
      <c r="A20" t="str">
        <f>PEC_Info!A20</f>
        <v>BIOMASS</v>
      </c>
      <c r="B20" t="str">
        <f>PEC_Info!B20</f>
        <v>INDIA</v>
      </c>
      <c r="C20" t="str">
        <f xml:space="preserve"> IF(ISBLANK(PEC_Info!C20), "", PEC_Info!C20)</f>
        <v/>
      </c>
      <c r="D20">
        <f>PEC_Info!D20</f>
        <v>2026</v>
      </c>
      <c r="E20">
        <f>PEC_Info!E20</f>
        <v>0</v>
      </c>
      <c r="F20" s="372">
        <f xml:space="preserve"> IF(AND(D20 &lt;&gt; 2020, OR(A20 = "NATGAS", A20 = "STEAM_COAL", A20 = "COKING_COAL")), PEC_Info_Scen_assumptions!$C$5, 1) * PEC_Info!F20</f>
        <v>4015.2984562764232</v>
      </c>
      <c r="G20">
        <f>PEC_Info!G20</f>
        <v>0</v>
      </c>
      <c r="H20">
        <f>PEC_Info!H20</f>
        <v>0</v>
      </c>
      <c r="I20" s="372">
        <f xml:space="preserve"> IF(AND(D20 &lt;&gt; 2020, OR(A20 = "NATGAS", A20 = "STEAM_COAL", A20 = "COKING_COAL")), PEC_Info_Scen_assumptions!$C$5, 1) * PEC_Info!I20</f>
        <v>4015.2984562764232</v>
      </c>
      <c r="J20">
        <f>PEC_Info!J20</f>
        <v>0</v>
      </c>
      <c r="K20">
        <f>PEC_Info!K20</f>
        <v>0</v>
      </c>
    </row>
    <row r="21" spans="1:11">
      <c r="A21" t="str">
        <f>PEC_Info!A21</f>
        <v>BIOMASS</v>
      </c>
      <c r="B21" t="str">
        <f>PEC_Info!B21</f>
        <v>INDIA</v>
      </c>
      <c r="C21" t="str">
        <f xml:space="preserve"> IF(ISBLANK(PEC_Info!C21), "", PEC_Info!C21)</f>
        <v/>
      </c>
      <c r="D21">
        <f>PEC_Info!D21</f>
        <v>2027</v>
      </c>
      <c r="E21">
        <f>PEC_Info!E21</f>
        <v>0</v>
      </c>
      <c r="F21" s="372">
        <f xml:space="preserve"> IF(AND(D21 &lt;&gt; 2020, OR(A21 = "NATGAS", A21 = "STEAM_COAL", A21 = "COKING_COAL")), PEC_Info_Scen_assumptions!$C$5, 1) * PEC_Info!F21</f>
        <v>4111.0234439416818</v>
      </c>
      <c r="G21">
        <f>PEC_Info!G21</f>
        <v>0</v>
      </c>
      <c r="H21">
        <f>PEC_Info!H21</f>
        <v>0</v>
      </c>
      <c r="I21" s="372">
        <f xml:space="preserve"> IF(AND(D21 &lt;&gt; 2020, OR(A21 = "NATGAS", A21 = "STEAM_COAL", A21 = "COKING_COAL")), PEC_Info_Scen_assumptions!$C$5, 1) * PEC_Info!I21</f>
        <v>4111.0234439416818</v>
      </c>
      <c r="J21">
        <f>PEC_Info!J21</f>
        <v>0</v>
      </c>
      <c r="K21">
        <f>PEC_Info!K21</f>
        <v>0</v>
      </c>
    </row>
    <row r="22" spans="1:11">
      <c r="A22" t="str">
        <f>PEC_Info!A22</f>
        <v>BIOMASS</v>
      </c>
      <c r="B22" t="str">
        <f>PEC_Info!B22</f>
        <v>INDIA</v>
      </c>
      <c r="C22" t="str">
        <f xml:space="preserve"> IF(ISBLANK(PEC_Info!C22), "", PEC_Info!C22)</f>
        <v/>
      </c>
      <c r="D22">
        <f>PEC_Info!D22</f>
        <v>2028</v>
      </c>
      <c r="E22">
        <f>PEC_Info!E22</f>
        <v>0</v>
      </c>
      <c r="F22" s="372">
        <f xml:space="preserve"> IF(AND(D22 &lt;&gt; 2020, OR(A22 = "NATGAS", A22 = "STEAM_COAL", A22 = "COKING_COAL")), PEC_Info_Scen_assumptions!$C$5, 1) * PEC_Info!F22</f>
        <v>4207.5951387093437</v>
      </c>
      <c r="G22">
        <f>PEC_Info!G22</f>
        <v>0</v>
      </c>
      <c r="H22">
        <f>PEC_Info!H22</f>
        <v>0</v>
      </c>
      <c r="I22" s="372">
        <f xml:space="preserve"> IF(AND(D22 &lt;&gt; 2020, OR(A22 = "NATGAS", A22 = "STEAM_COAL", A22 = "COKING_COAL")), PEC_Info_Scen_assumptions!$C$5, 1) * PEC_Info!I22</f>
        <v>4207.5951387093437</v>
      </c>
      <c r="J22">
        <f>PEC_Info!J22</f>
        <v>0</v>
      </c>
      <c r="K22">
        <f>PEC_Info!K22</f>
        <v>0</v>
      </c>
    </row>
    <row r="23" spans="1:11">
      <c r="A23" t="str">
        <f>PEC_Info!A23</f>
        <v>BIOMASS</v>
      </c>
      <c r="B23" t="str">
        <f>PEC_Info!B23</f>
        <v>INDIA</v>
      </c>
      <c r="C23" t="str">
        <f xml:space="preserve"> IF(ISBLANK(PEC_Info!C23), "", PEC_Info!C23)</f>
        <v/>
      </c>
      <c r="D23">
        <f>PEC_Info!D23</f>
        <v>2029</v>
      </c>
      <c r="E23">
        <f>PEC_Info!E23</f>
        <v>0</v>
      </c>
      <c r="F23" s="372">
        <f xml:space="preserve"> IF(AND(D23 &lt;&gt; 2020, OR(A23 = "NATGAS", A23 = "STEAM_COAL", A23 = "COKING_COAL")), PEC_Info_Scen_assumptions!$C$5, 1) * PEC_Info!F23</f>
        <v>4304.9860993165357</v>
      </c>
      <c r="G23">
        <f>PEC_Info!G23</f>
        <v>0</v>
      </c>
      <c r="H23">
        <f>PEC_Info!H23</f>
        <v>0</v>
      </c>
      <c r="I23" s="372">
        <f xml:space="preserve"> IF(AND(D23 &lt;&gt; 2020, OR(A23 = "NATGAS", A23 = "STEAM_COAL", A23 = "COKING_COAL")), PEC_Info_Scen_assumptions!$C$5, 1) * PEC_Info!I23</f>
        <v>4304.9860993165357</v>
      </c>
      <c r="J23">
        <f>PEC_Info!J23</f>
        <v>0</v>
      </c>
      <c r="K23">
        <f>PEC_Info!K23</f>
        <v>0</v>
      </c>
    </row>
    <row r="24" spans="1:11">
      <c r="A24" t="str">
        <f>PEC_Info!A24</f>
        <v>BIOMASS</v>
      </c>
      <c r="B24" t="str">
        <f>PEC_Info!B24</f>
        <v>INDIA</v>
      </c>
      <c r="C24" t="str">
        <f xml:space="preserve"> IF(ISBLANK(PEC_Info!C24), "", PEC_Info!C24)</f>
        <v/>
      </c>
      <c r="D24">
        <f>PEC_Info!D24</f>
        <v>2030</v>
      </c>
      <c r="E24">
        <f>PEC_Info!E24</f>
        <v>0</v>
      </c>
      <c r="F24" s="372">
        <f xml:space="preserve"> IF(AND(D24 &lt;&gt; 2020, OR(A24 = "NATGAS", A24 = "STEAM_COAL", A24 = "COKING_COAL")), PEC_Info_Scen_assumptions!$C$5, 1) * PEC_Info!F24</f>
        <v>4403.168824805377</v>
      </c>
      <c r="G24">
        <f>PEC_Info!G24</f>
        <v>0</v>
      </c>
      <c r="H24">
        <f>PEC_Info!H24</f>
        <v>0</v>
      </c>
      <c r="I24" s="372">
        <f xml:space="preserve"> IF(AND(D24 &lt;&gt; 2020, OR(A24 = "NATGAS", A24 = "STEAM_COAL", A24 = "COKING_COAL")), PEC_Info_Scen_assumptions!$C$5, 1) * PEC_Info!I24</f>
        <v>4403.168824805377</v>
      </c>
      <c r="J24">
        <f>PEC_Info!J24</f>
        <v>0</v>
      </c>
      <c r="K24">
        <f>PEC_Info!K24</f>
        <v>0</v>
      </c>
    </row>
    <row r="25" spans="1:11">
      <c r="A25" t="str">
        <f>PEC_Info!A25</f>
        <v>BIOMASS</v>
      </c>
      <c r="B25" t="str">
        <f>PEC_Info!B25</f>
        <v>INDIA</v>
      </c>
      <c r="C25" t="str">
        <f xml:space="preserve"> IF(ISBLANK(PEC_Info!C25), "", PEC_Info!C25)</f>
        <v/>
      </c>
      <c r="D25">
        <f>PEC_Info!D25</f>
        <v>2031</v>
      </c>
      <c r="E25">
        <f>PEC_Info!E25</f>
        <v>0</v>
      </c>
      <c r="F25" s="372">
        <f xml:space="preserve"> IF(AND(D25 &lt;&gt; 2020, OR(A25 = "NATGAS", A25 = "STEAM_COAL", A25 = "COKING_COAL")), PEC_Info_Scen_assumptions!$C$5, 1) * PEC_Info!F25</f>
        <v>4502.1157842307348</v>
      </c>
      <c r="G25">
        <f>PEC_Info!G25</f>
        <v>0</v>
      </c>
      <c r="H25">
        <f>PEC_Info!H25</f>
        <v>0</v>
      </c>
      <c r="I25" s="372">
        <f xml:space="preserve"> IF(AND(D25 &lt;&gt; 2020, OR(A25 = "NATGAS", A25 = "STEAM_COAL", A25 = "COKING_COAL")), PEC_Info_Scen_assumptions!$C$5, 1) * PEC_Info!I25</f>
        <v>4502.1157842307348</v>
      </c>
      <c r="J25">
        <f>PEC_Info!J25</f>
        <v>0</v>
      </c>
      <c r="K25">
        <f>PEC_Info!K25</f>
        <v>0</v>
      </c>
    </row>
    <row r="26" spans="1:11">
      <c r="A26" t="str">
        <f>PEC_Info!A26</f>
        <v>BIOGAS</v>
      </c>
      <c r="B26" t="str">
        <f>PEC_Info!B26</f>
        <v>INDIA</v>
      </c>
      <c r="C26" t="str">
        <f xml:space="preserve"> IF(ISBLANK(PEC_Info!C26), "", PEC_Info!C26)</f>
        <v/>
      </c>
      <c r="D26">
        <f>PEC_Info!D26</f>
        <v>2020</v>
      </c>
      <c r="E26">
        <f>PEC_Info!E26</f>
        <v>0</v>
      </c>
      <c r="F26" s="372">
        <f xml:space="preserve"> IF(AND(D26 &lt;&gt; 2020, OR(A26 = "NATGAS", A26 = "STEAM_COAL", A26 = "COKING_COAL")), PEC_Info_Scen_assumptions!$C$5, 1) * PEC_Info!F26</f>
        <v>34767.524479267442</v>
      </c>
      <c r="G26">
        <f>PEC_Info!G26</f>
        <v>0</v>
      </c>
      <c r="H26">
        <f>PEC_Info!H26</f>
        <v>0</v>
      </c>
      <c r="I26" s="372">
        <f xml:space="preserve"> IF(AND(D26 &lt;&gt; 2020, OR(A26 = "NATGAS", A26 = "STEAM_COAL", A26 = "COKING_COAL")), PEC_Info_Scen_assumptions!$C$5, 1) * PEC_Info!I26</f>
        <v>34767.524479267442</v>
      </c>
      <c r="J26">
        <f>PEC_Info!J26</f>
        <v>0</v>
      </c>
      <c r="K26">
        <f>PEC_Info!K26</f>
        <v>0</v>
      </c>
    </row>
    <row r="27" spans="1:11">
      <c r="A27" t="str">
        <f>PEC_Info!A27</f>
        <v>BIOGAS</v>
      </c>
      <c r="B27" t="str">
        <f>PEC_Info!B27</f>
        <v>INDIA</v>
      </c>
      <c r="C27" t="str">
        <f xml:space="preserve"> IF(ISBLANK(PEC_Info!C27), "", PEC_Info!C27)</f>
        <v/>
      </c>
      <c r="D27">
        <f>PEC_Info!D27</f>
        <v>2021</v>
      </c>
      <c r="E27">
        <f>PEC_Info!E27</f>
        <v>0</v>
      </c>
      <c r="F27" s="372">
        <f xml:space="preserve"> IF(AND(D27 &lt;&gt; 2020, OR(A27 = "NATGAS", A27 = "STEAM_COAL", A27 = "COKING_COAL")), PEC_Info_Scen_assumptions!$C$5, 1) * PEC_Info!F27</f>
        <v>35234.01612397367</v>
      </c>
      <c r="G27">
        <f>PEC_Info!G27</f>
        <v>0</v>
      </c>
      <c r="H27">
        <f>PEC_Info!H27</f>
        <v>0</v>
      </c>
      <c r="I27" s="372">
        <f xml:space="preserve"> IF(AND(D27 &lt;&gt; 2020, OR(A27 = "NATGAS", A27 = "STEAM_COAL", A27 = "COKING_COAL")), PEC_Info_Scen_assumptions!$C$5, 1) * PEC_Info!I27</f>
        <v>35234.01612397367</v>
      </c>
      <c r="J27">
        <f>PEC_Info!J27</f>
        <v>0</v>
      </c>
      <c r="K27">
        <f>PEC_Info!K27</f>
        <v>0</v>
      </c>
    </row>
    <row r="28" spans="1:11">
      <c r="A28" t="str">
        <f>PEC_Info!A28</f>
        <v>BIOGAS</v>
      </c>
      <c r="B28" t="str">
        <f>PEC_Info!B28</f>
        <v>INDIA</v>
      </c>
      <c r="C28" t="str">
        <f xml:space="preserve"> IF(ISBLANK(PEC_Info!C28), "", PEC_Info!C28)</f>
        <v/>
      </c>
      <c r="D28">
        <f>PEC_Info!D28</f>
        <v>2022</v>
      </c>
      <c r="E28">
        <f>PEC_Info!E28</f>
        <v>0</v>
      </c>
      <c r="F28" s="372">
        <f xml:space="preserve"> IF(AND(D28 &lt;&gt; 2020, OR(A28 = "NATGAS", A28 = "STEAM_COAL", A28 = "COKING_COAL")), PEC_Info_Scen_assumptions!$C$5, 1) * PEC_Info!F28</f>
        <v>35717.752703644779</v>
      </c>
      <c r="G28">
        <f>PEC_Info!G28</f>
        <v>0</v>
      </c>
      <c r="H28">
        <f>PEC_Info!H28</f>
        <v>0</v>
      </c>
      <c r="I28" s="372">
        <f xml:space="preserve"> IF(AND(D28 &lt;&gt; 2020, OR(A28 = "NATGAS", A28 = "STEAM_COAL", A28 = "COKING_COAL")), PEC_Info_Scen_assumptions!$C$5, 1) * PEC_Info!I28</f>
        <v>35717.752703644779</v>
      </c>
      <c r="J28">
        <f>PEC_Info!J28</f>
        <v>0</v>
      </c>
      <c r="K28">
        <f>PEC_Info!K28</f>
        <v>0</v>
      </c>
    </row>
    <row r="29" spans="1:11">
      <c r="A29" t="str">
        <f>PEC_Info!A29</f>
        <v>BIOGAS</v>
      </c>
      <c r="B29" t="str">
        <f>PEC_Info!B29</f>
        <v>INDIA</v>
      </c>
      <c r="C29" t="str">
        <f xml:space="preserve"> IF(ISBLANK(PEC_Info!C29), "", PEC_Info!C29)</f>
        <v/>
      </c>
      <c r="D29">
        <f>PEC_Info!D29</f>
        <v>2023</v>
      </c>
      <c r="E29">
        <f>PEC_Info!E29</f>
        <v>0</v>
      </c>
      <c r="F29" s="372">
        <f xml:space="preserve"> IF(AND(D29 &lt;&gt; 2020, OR(A29 = "NATGAS", A29 = "STEAM_COAL", A29 = "COKING_COAL")), PEC_Info_Scen_assumptions!$C$5, 1) * PEC_Info!F29</f>
        <v>36188.119143740747</v>
      </c>
      <c r="G29">
        <f>PEC_Info!G29</f>
        <v>0</v>
      </c>
      <c r="H29">
        <f>PEC_Info!H29</f>
        <v>0</v>
      </c>
      <c r="I29" s="372">
        <f xml:space="preserve"> IF(AND(D29 &lt;&gt; 2020, OR(A29 = "NATGAS", A29 = "STEAM_COAL", A29 = "COKING_COAL")), PEC_Info_Scen_assumptions!$C$5, 1) * PEC_Info!I29</f>
        <v>36188.119143740747</v>
      </c>
      <c r="J29">
        <f>PEC_Info!J29</f>
        <v>0</v>
      </c>
      <c r="K29">
        <f>PEC_Info!K29</f>
        <v>0</v>
      </c>
    </row>
    <row r="30" spans="1:11">
      <c r="A30" t="str">
        <f>PEC_Info!A30</f>
        <v>BIOGAS</v>
      </c>
      <c r="B30" t="str">
        <f>PEC_Info!B30</f>
        <v>INDIA</v>
      </c>
      <c r="C30" t="str">
        <f xml:space="preserve"> IF(ISBLANK(PEC_Info!C30), "", PEC_Info!C30)</f>
        <v/>
      </c>
      <c r="D30">
        <f>PEC_Info!D30</f>
        <v>2024</v>
      </c>
      <c r="E30">
        <f>PEC_Info!E30</f>
        <v>0</v>
      </c>
      <c r="F30" s="372">
        <f xml:space="preserve"> IF(AND(D30 &lt;&gt; 2020, OR(A30 = "NATGAS", A30 = "STEAM_COAL", A30 = "COKING_COAL")), PEC_Info_Scen_assumptions!$C$5, 1) * PEC_Info!F30</f>
        <v>36686.91237881624</v>
      </c>
      <c r="G30">
        <f>PEC_Info!G30</f>
        <v>0</v>
      </c>
      <c r="H30">
        <f>PEC_Info!H30</f>
        <v>0</v>
      </c>
      <c r="I30" s="372">
        <f xml:space="preserve"> IF(AND(D30 &lt;&gt; 2020, OR(A30 = "NATGAS", A30 = "STEAM_COAL", A30 = "COKING_COAL")), PEC_Info_Scen_assumptions!$C$5, 1) * PEC_Info!I30</f>
        <v>36686.91237881624</v>
      </c>
      <c r="J30">
        <f>PEC_Info!J30</f>
        <v>0</v>
      </c>
      <c r="K30">
        <f>PEC_Info!K30</f>
        <v>0</v>
      </c>
    </row>
    <row r="31" spans="1:11">
      <c r="A31" t="str">
        <f>PEC_Info!A31</f>
        <v>BIOGAS</v>
      </c>
      <c r="B31" t="str">
        <f>PEC_Info!B31</f>
        <v>INDIA</v>
      </c>
      <c r="C31" t="str">
        <f xml:space="preserve"> IF(ISBLANK(PEC_Info!C31), "", PEC_Info!C31)</f>
        <v/>
      </c>
      <c r="D31">
        <f>PEC_Info!D31</f>
        <v>2025</v>
      </c>
      <c r="E31">
        <f>PEC_Info!E31</f>
        <v>0</v>
      </c>
      <c r="F31" s="372">
        <f xml:space="preserve"> IF(AND(D31 &lt;&gt; 2020, OR(A31 = "NATGAS", A31 = "STEAM_COAL", A31 = "COKING_COAL")), PEC_Info_Scen_assumptions!$C$5, 1) * PEC_Info!F31</f>
        <v>37171.709675763545</v>
      </c>
      <c r="G31">
        <f>PEC_Info!G31</f>
        <v>0</v>
      </c>
      <c r="H31">
        <f>PEC_Info!H31</f>
        <v>0</v>
      </c>
      <c r="I31" s="372">
        <f xml:space="preserve"> IF(AND(D31 &lt;&gt; 2020, OR(A31 = "NATGAS", A31 = "STEAM_COAL", A31 = "COKING_COAL")), PEC_Info_Scen_assumptions!$C$5, 1) * PEC_Info!I31</f>
        <v>37171.709675763545</v>
      </c>
      <c r="J31">
        <f>PEC_Info!J31</f>
        <v>0</v>
      </c>
      <c r="K31">
        <f>PEC_Info!K31</f>
        <v>0</v>
      </c>
    </row>
    <row r="32" spans="1:11">
      <c r="A32" t="str">
        <f>PEC_Info!A32</f>
        <v>BIOGAS</v>
      </c>
      <c r="B32" t="str">
        <f>PEC_Info!B32</f>
        <v>INDIA</v>
      </c>
      <c r="C32" t="str">
        <f xml:space="preserve"> IF(ISBLANK(PEC_Info!C32), "", PEC_Info!C32)</f>
        <v/>
      </c>
      <c r="D32">
        <f>PEC_Info!D32</f>
        <v>2026</v>
      </c>
      <c r="E32">
        <f>PEC_Info!E32</f>
        <v>0</v>
      </c>
      <c r="F32" s="372">
        <f xml:space="preserve"> IF(AND(D32 &lt;&gt; 2020, OR(A32 = "NATGAS", A32 = "STEAM_COAL", A32 = "COKING_COAL")), PEC_Info_Scen_assumptions!$C$5, 1) * PEC_Info!F32</f>
        <v>37675.064498997897</v>
      </c>
      <c r="G32">
        <f>PEC_Info!G32</f>
        <v>0</v>
      </c>
      <c r="H32">
        <f>PEC_Info!H32</f>
        <v>0</v>
      </c>
      <c r="I32" s="372">
        <f xml:space="preserve"> IF(AND(D32 &lt;&gt; 2020, OR(A32 = "NATGAS", A32 = "STEAM_COAL", A32 = "COKING_COAL")), PEC_Info_Scen_assumptions!$C$5, 1) * PEC_Info!I32</f>
        <v>37675.064498997897</v>
      </c>
      <c r="J32">
        <f>PEC_Info!J32</f>
        <v>0</v>
      </c>
      <c r="K32">
        <f>PEC_Info!K32</f>
        <v>0</v>
      </c>
    </row>
    <row r="33" spans="1:11">
      <c r="A33" t="str">
        <f>PEC_Info!A33</f>
        <v>BIOGAS</v>
      </c>
      <c r="B33" t="str">
        <f>PEC_Info!B33</f>
        <v>INDIA</v>
      </c>
      <c r="C33" t="str">
        <f xml:space="preserve"> IF(ISBLANK(PEC_Info!C33), "", PEC_Info!C33)</f>
        <v/>
      </c>
      <c r="D33">
        <f>PEC_Info!D33</f>
        <v>2027</v>
      </c>
      <c r="E33">
        <f>PEC_Info!E33</f>
        <v>0</v>
      </c>
      <c r="F33" s="372">
        <f xml:space="preserve"> IF(AND(D33 &lt;&gt; 2020, OR(A33 = "NATGAS", A33 = "STEAM_COAL", A33 = "COKING_COAL")), PEC_Info_Scen_assumptions!$C$5, 1) * PEC_Info!F33</f>
        <v>38193.576650438154</v>
      </c>
      <c r="G33">
        <f>PEC_Info!G33</f>
        <v>0</v>
      </c>
      <c r="H33">
        <f>PEC_Info!H33</f>
        <v>0</v>
      </c>
      <c r="I33" s="372">
        <f xml:space="preserve"> IF(AND(D33 &lt;&gt; 2020, OR(A33 = "NATGAS", A33 = "STEAM_COAL", A33 = "COKING_COAL")), PEC_Info_Scen_assumptions!$C$5, 1) * PEC_Info!I33</f>
        <v>38193.576650438154</v>
      </c>
      <c r="J33">
        <f>PEC_Info!J33</f>
        <v>0</v>
      </c>
      <c r="K33">
        <f>PEC_Info!K33</f>
        <v>0</v>
      </c>
    </row>
    <row r="34" spans="1:11">
      <c r="A34" t="str">
        <f>PEC_Info!A34</f>
        <v>BIOGAS</v>
      </c>
      <c r="B34" t="str">
        <f>PEC_Info!B34</f>
        <v>INDIA</v>
      </c>
      <c r="C34" t="str">
        <f xml:space="preserve"> IF(ISBLANK(PEC_Info!C34), "", PEC_Info!C34)</f>
        <v/>
      </c>
      <c r="D34">
        <f>PEC_Info!D34</f>
        <v>2028</v>
      </c>
      <c r="E34">
        <f>PEC_Info!E34</f>
        <v>0</v>
      </c>
      <c r="F34" s="372">
        <f xml:space="preserve"> IF(AND(D34 &lt;&gt; 2020, OR(A34 = "NATGAS", A34 = "STEAM_COAL", A34 = "COKING_COAL")), PEC_Info_Scen_assumptions!$C$5, 1) * PEC_Info!F34</f>
        <v>38714.092179236759</v>
      </c>
      <c r="G34">
        <f>PEC_Info!G34</f>
        <v>0</v>
      </c>
      <c r="H34">
        <f>PEC_Info!H34</f>
        <v>0</v>
      </c>
      <c r="I34" s="372">
        <f xml:space="preserve"> IF(AND(D34 &lt;&gt; 2020, OR(A34 = "NATGAS", A34 = "STEAM_COAL", A34 = "COKING_COAL")), PEC_Info_Scen_assumptions!$C$5, 1) * PEC_Info!I34</f>
        <v>38714.092179236759</v>
      </c>
      <c r="J34">
        <f>PEC_Info!J34</f>
        <v>0</v>
      </c>
      <c r="K34">
        <f>PEC_Info!K34</f>
        <v>0</v>
      </c>
    </row>
    <row r="35" spans="1:11">
      <c r="A35" t="str">
        <f>PEC_Info!A35</f>
        <v>BIOGAS</v>
      </c>
      <c r="B35" t="str">
        <f>PEC_Info!B35</f>
        <v>INDIA</v>
      </c>
      <c r="C35" t="str">
        <f xml:space="preserve"> IF(ISBLANK(PEC_Info!C35), "", PEC_Info!C35)</f>
        <v/>
      </c>
      <c r="D35">
        <f>PEC_Info!D35</f>
        <v>2029</v>
      </c>
      <c r="E35">
        <f>PEC_Info!E35</f>
        <v>0</v>
      </c>
      <c r="F35" s="372">
        <f xml:space="preserve"> IF(AND(D35 &lt;&gt; 2020, OR(A35 = "NATGAS", A35 = "STEAM_COAL", A35 = "COKING_COAL")), PEC_Info_Scen_assumptions!$C$5, 1) * PEC_Info!F35</f>
        <v>39242.715647326535</v>
      </c>
      <c r="G35">
        <f>PEC_Info!G35</f>
        <v>0</v>
      </c>
      <c r="H35">
        <f>PEC_Info!H35</f>
        <v>0</v>
      </c>
      <c r="I35" s="372">
        <f xml:space="preserve"> IF(AND(D35 &lt;&gt; 2020, OR(A35 = "NATGAS", A35 = "STEAM_COAL", A35 = "COKING_COAL")), PEC_Info_Scen_assumptions!$C$5, 1) * PEC_Info!I35</f>
        <v>39242.715647326535</v>
      </c>
      <c r="J35">
        <f>PEC_Info!J35</f>
        <v>0</v>
      </c>
      <c r="K35">
        <f>PEC_Info!K35</f>
        <v>0</v>
      </c>
    </row>
    <row r="36" spans="1:11">
      <c r="A36" t="str">
        <f>PEC_Info!A36</f>
        <v>BIOGAS</v>
      </c>
      <c r="B36" t="str">
        <f>PEC_Info!B36</f>
        <v>INDIA</v>
      </c>
      <c r="C36" t="str">
        <f xml:space="preserve"> IF(ISBLANK(PEC_Info!C36), "", PEC_Info!C36)</f>
        <v/>
      </c>
      <c r="D36">
        <f>PEC_Info!D36</f>
        <v>2030</v>
      </c>
      <c r="E36">
        <f>PEC_Info!E36</f>
        <v>0</v>
      </c>
      <c r="F36" s="372">
        <f xml:space="preserve"> IF(AND(D36 &lt;&gt; 2020, OR(A36 = "NATGAS", A36 = "STEAM_COAL", A36 = "COKING_COAL")), PEC_Info_Scen_assumptions!$C$5, 1) * PEC_Info!F36</f>
        <v>39779.527308250777</v>
      </c>
      <c r="G36">
        <f>PEC_Info!G36</f>
        <v>0</v>
      </c>
      <c r="H36">
        <f>PEC_Info!H36</f>
        <v>0</v>
      </c>
      <c r="I36" s="372">
        <f xml:space="preserve"> IF(AND(D36 &lt;&gt; 2020, OR(A36 = "NATGAS", A36 = "STEAM_COAL", A36 = "COKING_COAL")), PEC_Info_Scen_assumptions!$C$5, 1) * PEC_Info!I36</f>
        <v>39779.527308250777</v>
      </c>
      <c r="J36">
        <f>PEC_Info!J36</f>
        <v>0</v>
      </c>
      <c r="K36">
        <f>PEC_Info!K36</f>
        <v>0</v>
      </c>
    </row>
    <row r="37" spans="1:11">
      <c r="A37" t="str">
        <f>PEC_Info!A37</f>
        <v>BIOGAS</v>
      </c>
      <c r="B37" t="str">
        <f>PEC_Info!B37</f>
        <v>INDIA</v>
      </c>
      <c r="C37" t="str">
        <f xml:space="preserve"> IF(ISBLANK(PEC_Info!C37), "", PEC_Info!C37)</f>
        <v/>
      </c>
      <c r="D37">
        <f>PEC_Info!D37</f>
        <v>2031</v>
      </c>
      <c r="E37">
        <f>PEC_Info!E37</f>
        <v>0</v>
      </c>
      <c r="F37" s="372">
        <f xml:space="preserve"> IF(AND(D37 &lt;&gt; 2020, OR(A37 = "NATGAS", A37 = "STEAM_COAL", A37 = "COKING_COAL")), PEC_Info_Scen_assumptions!$C$5, 1) * PEC_Info!F37</f>
        <v>40324.607171760465</v>
      </c>
      <c r="G37">
        <f>PEC_Info!G37</f>
        <v>0</v>
      </c>
      <c r="H37">
        <f>PEC_Info!H37</f>
        <v>0</v>
      </c>
      <c r="I37" s="372">
        <f xml:space="preserve"> IF(AND(D37 &lt;&gt; 2020, OR(A37 = "NATGAS", A37 = "STEAM_COAL", A37 = "COKING_COAL")), PEC_Info_Scen_assumptions!$C$5, 1) * PEC_Info!I37</f>
        <v>40324.607171760465</v>
      </c>
      <c r="J37">
        <f>PEC_Info!J37</f>
        <v>0</v>
      </c>
      <c r="K37">
        <f>PEC_Info!K37</f>
        <v>0</v>
      </c>
    </row>
    <row r="38" spans="1:11">
      <c r="A38" t="str">
        <f>PEC_Info!A38</f>
        <v>NATGAS</v>
      </c>
      <c r="B38" t="str">
        <f>PEC_Info!B38</f>
        <v>INDIA</v>
      </c>
      <c r="C38" t="str">
        <f xml:space="preserve"> IF(ISBLANK(PEC_Info!C38), "", PEC_Info!C38)</f>
        <v/>
      </c>
      <c r="D38">
        <f>PEC_Info!D38</f>
        <v>2020</v>
      </c>
      <c r="E38">
        <f>PEC_Info!E38</f>
        <v>0.36046081315680056</v>
      </c>
      <c r="F38" s="372">
        <f xml:space="preserve"> IF(AND(D38 &lt;&gt; 2020, OR(A38 = "NATGAS", A38 = "STEAM_COAL", A38 = "COKING_COAL")), PEC_Info_Scen_assumptions!$C$5, 1) * PEC_Info!F38</f>
        <v>7824.4999801156382</v>
      </c>
      <c r="G38">
        <f>PEC_Info!G38</f>
        <v>8.7499999999999994E-2</v>
      </c>
      <c r="H38">
        <f>PEC_Info!H38</f>
        <v>0</v>
      </c>
      <c r="I38" s="372">
        <f xml:space="preserve"> IF(AND(D38 &lt;&gt; 2020, OR(A38 = "NATGAS", A38 = "STEAM_COAL", A38 = "COKING_COAL")), PEC_Info_Scen_assumptions!$C$5, 1) * PEC_Info!I38</f>
        <v>19375.903087945066</v>
      </c>
      <c r="J38">
        <f>PEC_Info!J38</f>
        <v>2.5000000000000001E-2</v>
      </c>
      <c r="K38">
        <f>PEC_Info!K38</f>
        <v>0</v>
      </c>
    </row>
    <row r="39" spans="1:11">
      <c r="A39" t="str">
        <f>PEC_Info!A39</f>
        <v>NATGAS</v>
      </c>
      <c r="B39" t="str">
        <f>PEC_Info!B39</f>
        <v>INDIA</v>
      </c>
      <c r="C39" t="str">
        <f xml:space="preserve"> IF(ISBLANK(PEC_Info!C39), "", PEC_Info!C39)</f>
        <v/>
      </c>
      <c r="D39">
        <f>PEC_Info!D39</f>
        <v>2021</v>
      </c>
      <c r="E39">
        <f>PEC_Info!E39</f>
        <v>0.36046081315680056</v>
      </c>
      <c r="F39" s="372">
        <f xml:space="preserve"> IF(AND(D39 &lt;&gt; 2020, OR(A39 = "NATGAS", A39 = "STEAM_COAL", A39 = "COKING_COAL")), PEC_Info_Scen_assumptions!$C$5, 1) * PEC_Info!F39</f>
        <v>7394.1524812092784</v>
      </c>
      <c r="G39">
        <f>PEC_Info!G39</f>
        <v>8.7499999999999994E-2</v>
      </c>
      <c r="H39">
        <f>PEC_Info!H39</f>
        <v>0</v>
      </c>
      <c r="I39" s="372">
        <f xml:space="preserve"> IF(AND(D39 &lt;&gt; 2020, OR(A39 = "NATGAS", A39 = "STEAM_COAL", A39 = "COKING_COAL")), PEC_Info_Scen_assumptions!$C$5, 1) * PEC_Info!I39</f>
        <v>13241.492170301659</v>
      </c>
      <c r="J39">
        <f>PEC_Info!J39</f>
        <v>2.5000000000000001E-2</v>
      </c>
      <c r="K39">
        <f>PEC_Info!K39</f>
        <v>0</v>
      </c>
    </row>
    <row r="40" spans="1:11">
      <c r="A40" t="str">
        <f>PEC_Info!A40</f>
        <v>NATGAS</v>
      </c>
      <c r="B40" t="str">
        <f>PEC_Info!B40</f>
        <v>INDIA</v>
      </c>
      <c r="C40" t="str">
        <f xml:space="preserve"> IF(ISBLANK(PEC_Info!C40), "", PEC_Info!C40)</f>
        <v/>
      </c>
      <c r="D40">
        <f>PEC_Info!D40</f>
        <v>2022</v>
      </c>
      <c r="E40">
        <f>PEC_Info!E40</f>
        <v>0.36046081315680056</v>
      </c>
      <c r="F40" s="372">
        <f xml:space="preserve"> IF(AND(D40 &lt;&gt; 2020, OR(A40 = "NATGAS", A40 = "STEAM_COAL", A40 = "COKING_COAL")), PEC_Info_Scen_assumptions!$C$5, 1) * PEC_Info!F40</f>
        <v>7763.8601052697431</v>
      </c>
      <c r="G40">
        <f>PEC_Info!G40</f>
        <v>8.7499999999999994E-2</v>
      </c>
      <c r="H40">
        <f>PEC_Info!H40</f>
        <v>0</v>
      </c>
      <c r="I40" s="372">
        <f xml:space="preserve"> IF(AND(D40 &lt;&gt; 2020, OR(A40 = "NATGAS", A40 = "STEAM_COAL", A40 = "COKING_COAL")), PEC_Info_Scen_assumptions!$C$5, 1) * PEC_Info!I40</f>
        <v>15320.604075250518</v>
      </c>
      <c r="J40">
        <f>PEC_Info!J40</f>
        <v>2.5000000000000001E-2</v>
      </c>
      <c r="K40">
        <f>PEC_Info!K40</f>
        <v>0</v>
      </c>
    </row>
    <row r="41" spans="1:11">
      <c r="A41" t="str">
        <f>PEC_Info!A41</f>
        <v>NATGAS</v>
      </c>
      <c r="B41" t="str">
        <f>PEC_Info!B41</f>
        <v>INDIA</v>
      </c>
      <c r="C41" t="str">
        <f xml:space="preserve"> IF(ISBLANK(PEC_Info!C41), "", PEC_Info!C41)</f>
        <v/>
      </c>
      <c r="D41">
        <f>PEC_Info!D41</f>
        <v>2023</v>
      </c>
      <c r="E41">
        <f>PEC_Info!E41</f>
        <v>0.36046081315680056</v>
      </c>
      <c r="F41" s="372">
        <f xml:space="preserve"> IF(AND(D41 &lt;&gt; 2020, OR(A41 = "NATGAS", A41 = "STEAM_COAL", A41 = "COKING_COAL")), PEC_Info_Scen_assumptions!$C$5, 1) * PEC_Info!F41</f>
        <v>8152.0531105332311</v>
      </c>
      <c r="G41">
        <f>PEC_Info!G41</f>
        <v>8.7499999999999994E-2</v>
      </c>
      <c r="H41">
        <f>PEC_Info!H41</f>
        <v>0</v>
      </c>
      <c r="I41" s="372">
        <f xml:space="preserve"> IF(AND(D41 &lt;&gt; 2020, OR(A41 = "NATGAS", A41 = "STEAM_COAL", A41 = "COKING_COAL")), PEC_Info_Scen_assumptions!$C$5, 1) * PEC_Info!I41</f>
        <v>15729.825473576291</v>
      </c>
      <c r="J41">
        <f>PEC_Info!J41</f>
        <v>2.5000000000000001E-2</v>
      </c>
      <c r="K41">
        <f>PEC_Info!K41</f>
        <v>0</v>
      </c>
    </row>
    <row r="42" spans="1:11">
      <c r="A42" t="str">
        <f>PEC_Info!A42</f>
        <v>NATGAS</v>
      </c>
      <c r="B42" t="str">
        <f>PEC_Info!B42</f>
        <v>INDIA</v>
      </c>
      <c r="C42" t="str">
        <f xml:space="preserve"> IF(ISBLANK(PEC_Info!C42), "", PEC_Info!C42)</f>
        <v/>
      </c>
      <c r="D42">
        <f>PEC_Info!D42</f>
        <v>2024</v>
      </c>
      <c r="E42">
        <f>PEC_Info!E42</f>
        <v>0.36046081315680056</v>
      </c>
      <c r="F42" s="372">
        <f xml:space="preserve"> IF(AND(D42 &lt;&gt; 2020, OR(A42 = "NATGAS", A42 = "STEAM_COAL", A42 = "COKING_COAL")), PEC_Info_Scen_assumptions!$C$5, 1) * PEC_Info!F42</f>
        <v>8559.6557660598919</v>
      </c>
      <c r="G42">
        <f>PEC_Info!G42</f>
        <v>8.7499999999999994E-2</v>
      </c>
      <c r="H42">
        <f>PEC_Info!H42</f>
        <v>0</v>
      </c>
      <c r="I42" s="372">
        <f xml:space="preserve"> IF(AND(D42 &lt;&gt; 2020, OR(A42 = "NATGAS", A42 = "STEAM_COAL", A42 = "COKING_COAL")), PEC_Info_Scen_assumptions!$C$5, 1) * PEC_Info!I42</f>
        <v>16149.287486204988</v>
      </c>
      <c r="J42">
        <f>PEC_Info!J42</f>
        <v>2.5000000000000001E-2</v>
      </c>
      <c r="K42">
        <f>PEC_Info!K42</f>
        <v>0</v>
      </c>
    </row>
    <row r="43" spans="1:11">
      <c r="A43" t="str">
        <f>PEC_Info!A43</f>
        <v>NATGAS</v>
      </c>
      <c r="B43" t="str">
        <f>PEC_Info!B43</f>
        <v>INDIA</v>
      </c>
      <c r="C43" t="str">
        <f xml:space="preserve"> IF(ISBLANK(PEC_Info!C43), "", PEC_Info!C43)</f>
        <v/>
      </c>
      <c r="D43">
        <f>PEC_Info!D43</f>
        <v>2025</v>
      </c>
      <c r="E43">
        <f>PEC_Info!E43</f>
        <v>0.36046081315680056</v>
      </c>
      <c r="F43" s="372">
        <f xml:space="preserve"> IF(AND(D43 &lt;&gt; 2020, OR(A43 = "NATGAS", A43 = "STEAM_COAL", A43 = "COKING_COAL")), PEC_Info_Scen_assumptions!$C$5, 1) * PEC_Info!F43</f>
        <v>8987.6385543628876</v>
      </c>
      <c r="G43">
        <f>PEC_Info!G43</f>
        <v>8.7499999999999994E-2</v>
      </c>
      <c r="H43">
        <f>PEC_Info!H43</f>
        <v>0</v>
      </c>
      <c r="I43" s="372">
        <f xml:space="preserve"> IF(AND(D43 &lt;&gt; 2020, OR(A43 = "NATGAS", A43 = "STEAM_COAL", A43 = "COKING_COAL")), PEC_Info_Scen_assumptions!$C$5, 1) * PEC_Info!I43</f>
        <v>16579.236049149411</v>
      </c>
      <c r="J43">
        <f>PEC_Info!J43</f>
        <v>2.5000000000000001E-2</v>
      </c>
      <c r="K43">
        <f>PEC_Info!K43</f>
        <v>0</v>
      </c>
    </row>
    <row r="44" spans="1:11">
      <c r="A44" t="str">
        <f>PEC_Info!A44</f>
        <v>NATGAS</v>
      </c>
      <c r="B44" t="str">
        <f>PEC_Info!B44</f>
        <v>INDIA</v>
      </c>
      <c r="C44" t="str">
        <f xml:space="preserve"> IF(ISBLANK(PEC_Info!C44), "", PEC_Info!C44)</f>
        <v/>
      </c>
      <c r="D44">
        <f>PEC_Info!D44</f>
        <v>2026</v>
      </c>
      <c r="E44">
        <f>PEC_Info!E44</f>
        <v>0.36046081315680056</v>
      </c>
      <c r="F44" s="372">
        <f xml:space="preserve"> IF(AND(D44 &lt;&gt; 2020, OR(A44 = "NATGAS", A44 = "STEAM_COAL", A44 = "COKING_COAL")), PEC_Info_Scen_assumptions!$C$5, 1) * PEC_Info!F44</f>
        <v>9437.0204820810322</v>
      </c>
      <c r="G44">
        <f>PEC_Info!G44</f>
        <v>8.7499999999999994E-2</v>
      </c>
      <c r="H44">
        <f>PEC_Info!H44</f>
        <v>0</v>
      </c>
      <c r="I44" s="372">
        <f xml:space="preserve"> IF(AND(D44 &lt;&gt; 2020, OR(A44 = "NATGAS", A44 = "STEAM_COAL", A44 = "COKING_COAL")), PEC_Info_Scen_assumptions!$C$5, 1) * PEC_Info!I44</f>
        <v>17019.922839617124</v>
      </c>
      <c r="J44">
        <f>PEC_Info!J44</f>
        <v>2.5000000000000001E-2</v>
      </c>
      <c r="K44">
        <f>PEC_Info!K44</f>
        <v>0</v>
      </c>
    </row>
    <row r="45" spans="1:11">
      <c r="A45" t="str">
        <f>PEC_Info!A45</f>
        <v>NATGAS</v>
      </c>
      <c r="B45" t="str">
        <f>PEC_Info!B45</f>
        <v>INDIA</v>
      </c>
      <c r="C45" t="str">
        <f xml:space="preserve"> IF(ISBLANK(PEC_Info!C45), "", PEC_Info!C45)</f>
        <v/>
      </c>
      <c r="D45">
        <f>PEC_Info!D45</f>
        <v>2027</v>
      </c>
      <c r="E45">
        <f>PEC_Info!E45</f>
        <v>0.36046081315680056</v>
      </c>
      <c r="F45" s="372">
        <f xml:space="preserve"> IF(AND(D45 &lt;&gt; 2020, OR(A45 = "NATGAS", A45 = "STEAM_COAL", A45 = "COKING_COAL")), PEC_Info_Scen_assumptions!$C$5, 1) * PEC_Info!F45</f>
        <v>9908.8715061850835</v>
      </c>
      <c r="G45">
        <f>PEC_Info!G45</f>
        <v>8.7499999999999994E-2</v>
      </c>
      <c r="H45">
        <f>PEC_Info!H45</f>
        <v>0</v>
      </c>
      <c r="I45" s="372">
        <f xml:space="preserve"> IF(AND(D45 &lt;&gt; 2020, OR(A45 = "NATGAS", A45 = "STEAM_COAL", A45 = "COKING_COAL")), PEC_Info_Scen_assumptions!$C$5, 1) * PEC_Info!I45</f>
        <v>17556.163946116969</v>
      </c>
      <c r="J45">
        <f>PEC_Info!J45</f>
        <v>2.5000000000000001E-2</v>
      </c>
      <c r="K45">
        <f>PEC_Info!K45</f>
        <v>0</v>
      </c>
    </row>
    <row r="46" spans="1:11">
      <c r="A46" t="str">
        <f>PEC_Info!A46</f>
        <v>NATGAS</v>
      </c>
      <c r="B46" t="str">
        <f>PEC_Info!B46</f>
        <v>INDIA</v>
      </c>
      <c r="C46" t="str">
        <f xml:space="preserve"> IF(ISBLANK(PEC_Info!C46), "", PEC_Info!C46)</f>
        <v/>
      </c>
      <c r="D46">
        <f>PEC_Info!D46</f>
        <v>2028</v>
      </c>
      <c r="E46">
        <f>PEC_Info!E46</f>
        <v>0.36046081315680056</v>
      </c>
      <c r="F46" s="372">
        <f xml:space="preserve"> IF(AND(D46 &lt;&gt; 2020, OR(A46 = "NATGAS", A46 = "STEAM_COAL", A46 = "COKING_COAL")), PEC_Info_Scen_assumptions!$C$5, 1) * PEC_Info!F46</f>
        <v>10404.31508149434</v>
      </c>
      <c r="G46">
        <f>PEC_Info!G46</f>
        <v>8.7499999999999994E-2</v>
      </c>
      <c r="H46">
        <f>PEC_Info!H46</f>
        <v>0</v>
      </c>
      <c r="I46" s="372">
        <f xml:space="preserve"> IF(AND(D46 &lt;&gt; 2020, OR(A46 = "NATGAS", A46 = "STEAM_COAL", A46 = "COKING_COAL")), PEC_Info_Scen_assumptions!$C$5, 1) * PEC_Info!I46</f>
        <v>18109.300224646082</v>
      </c>
      <c r="J46">
        <f>PEC_Info!J46</f>
        <v>2.5000000000000001E-2</v>
      </c>
      <c r="K46">
        <f>PEC_Info!K46</f>
        <v>0</v>
      </c>
    </row>
    <row r="47" spans="1:11">
      <c r="A47" t="str">
        <f>PEC_Info!A47</f>
        <v>NATGAS</v>
      </c>
      <c r="B47" t="str">
        <f>PEC_Info!B47</f>
        <v>INDIA</v>
      </c>
      <c r="C47" t="str">
        <f xml:space="preserve"> IF(ISBLANK(PEC_Info!C47), "", PEC_Info!C47)</f>
        <v/>
      </c>
      <c r="D47">
        <f>PEC_Info!D47</f>
        <v>2029</v>
      </c>
      <c r="E47">
        <f>PEC_Info!E47</f>
        <v>0.36046081315680056</v>
      </c>
      <c r="F47" s="372">
        <f xml:space="preserve"> IF(AND(D47 &lt;&gt; 2020, OR(A47 = "NATGAS", A47 = "STEAM_COAL", A47 = "COKING_COAL")), PEC_Info_Scen_assumptions!$C$5, 1) * PEC_Info!F47</f>
        <v>10924.530835569058</v>
      </c>
      <c r="G47">
        <f>PEC_Info!G47</f>
        <v>8.7499999999999994E-2</v>
      </c>
      <c r="H47">
        <f>PEC_Info!H47</f>
        <v>0</v>
      </c>
      <c r="I47" s="372">
        <f xml:space="preserve"> IF(AND(D47 &lt;&gt; 2020, OR(A47 = "NATGAS", A47 = "STEAM_COAL", A47 = "COKING_COAL")), PEC_Info_Scen_assumptions!$C$5, 1) * PEC_Info!I47</f>
        <v>18679.863985828244</v>
      </c>
      <c r="J47">
        <f>PEC_Info!J47</f>
        <v>2.5000000000000001E-2</v>
      </c>
      <c r="K47">
        <f>PEC_Info!K47</f>
        <v>0</v>
      </c>
    </row>
    <row r="48" spans="1:11">
      <c r="A48" t="str">
        <f>PEC_Info!A48</f>
        <v>NATGAS</v>
      </c>
      <c r="B48" t="str">
        <f>PEC_Info!B48</f>
        <v>INDIA</v>
      </c>
      <c r="C48" t="str">
        <f xml:space="preserve"> IF(ISBLANK(PEC_Info!C48), "", PEC_Info!C48)</f>
        <v/>
      </c>
      <c r="D48">
        <f>PEC_Info!D48</f>
        <v>2030</v>
      </c>
      <c r="E48">
        <f>PEC_Info!E48</f>
        <v>0.36046081315680056</v>
      </c>
      <c r="F48" s="372">
        <f xml:space="preserve"> IF(AND(D48 &lt;&gt; 2020, OR(A48 = "NATGAS", A48 = "STEAM_COAL", A48 = "COKING_COAL")), PEC_Info_Scen_assumptions!$C$5, 1) * PEC_Info!F48</f>
        <v>11470.757377347511</v>
      </c>
      <c r="G48">
        <f>PEC_Info!G48</f>
        <v>8.7499999999999994E-2</v>
      </c>
      <c r="H48">
        <f>PEC_Info!H48</f>
        <v>0</v>
      </c>
      <c r="I48" s="372">
        <f xml:space="preserve"> IF(AND(D48 &lt;&gt; 2020, OR(A48 = "NATGAS", A48 = "STEAM_COAL", A48 = "COKING_COAL")), PEC_Info_Scen_assumptions!$C$5, 1) * PEC_Info!I48</f>
        <v>19268.404311622842</v>
      </c>
      <c r="J48">
        <f>PEC_Info!J48</f>
        <v>2.5000000000000001E-2</v>
      </c>
      <c r="K48">
        <f>PEC_Info!K48</f>
        <v>0</v>
      </c>
    </row>
    <row r="49" spans="1:11">
      <c r="A49" t="str">
        <f>PEC_Info!A49</f>
        <v>NATGAS</v>
      </c>
      <c r="B49" t="str">
        <f>PEC_Info!B49</f>
        <v>INDIA</v>
      </c>
      <c r="C49" t="str">
        <f xml:space="preserve"> IF(ISBLANK(PEC_Info!C49), "", PEC_Info!C49)</f>
        <v/>
      </c>
      <c r="D49">
        <f>PEC_Info!D49</f>
        <v>2031</v>
      </c>
      <c r="E49">
        <f>PEC_Info!E49</f>
        <v>0.36046081315680056</v>
      </c>
      <c r="F49" s="372">
        <f xml:space="preserve"> IF(AND(D49 &lt;&gt; 2020, OR(A49 = "NATGAS", A49 = "STEAM_COAL", A49 = "COKING_COAL")), PEC_Info_Scen_assumptions!$C$5, 1) * PEC_Info!F49</f>
        <v>12044.295246214888</v>
      </c>
      <c r="G49">
        <f>PEC_Info!G49</f>
        <v>8.7499999999999994E-2</v>
      </c>
      <c r="H49">
        <f>PEC_Info!H49</f>
        <v>0</v>
      </c>
      <c r="I49" s="372">
        <f xml:space="preserve"> IF(AND(D49 &lt;&gt; 2020, OR(A49 = "NATGAS", A49 = "STEAM_COAL", A49 = "COKING_COAL")), PEC_Info_Scen_assumptions!$C$5, 1) * PEC_Info!I49</f>
        <v>19875.487583733815</v>
      </c>
      <c r="J49">
        <f>PEC_Info!J49</f>
        <v>2.5000000000000001E-2</v>
      </c>
      <c r="K49">
        <f>PEC_Info!K49</f>
        <v>0</v>
      </c>
    </row>
    <row r="50" spans="1:11">
      <c r="A50" t="str">
        <f>PEC_Info!A50</f>
        <v>STEAM_COAL</v>
      </c>
      <c r="B50" t="str">
        <f>PEC_Info!B50</f>
        <v>INDIA</v>
      </c>
      <c r="C50" t="str">
        <f xml:space="preserve"> IF(ISBLANK(PEC_Info!C50), "", PEC_Info!C50)</f>
        <v>ER</v>
      </c>
      <c r="D50">
        <f>PEC_Info!D50</f>
        <v>2020</v>
      </c>
      <c r="E50">
        <f>PEC_Info!E50</f>
        <v>0</v>
      </c>
      <c r="F50" s="372">
        <f xml:space="preserve"> IF(AND(D50 &lt;&gt; 2020, OR(A50 = "NATGAS", A50 = "STEAM_COAL", A50 = "COKING_COAL")), PEC_Info_Scen_assumptions!$C$5, 1) * PEC_Info!F50</f>
        <v>1157.5416897280861</v>
      </c>
      <c r="G50">
        <f>PEC_Info!G50</f>
        <v>0.2208</v>
      </c>
      <c r="H50">
        <f>PEC_Info!H50</f>
        <v>400</v>
      </c>
      <c r="I50" s="372">
        <f xml:space="preserve"> IF(AND(D50 &lt;&gt; 2020, OR(A50 = "NATGAS", A50 = "STEAM_COAL", A50 = "COKING_COAL")), PEC_Info_Scen_assumptions!$C$5, 1) * PEC_Info!I50</f>
        <v>4493.1282858430641</v>
      </c>
      <c r="J50">
        <f>PEC_Info!J50</f>
        <v>0.15000000000000002</v>
      </c>
      <c r="K50">
        <f>PEC_Info!K50</f>
        <v>400</v>
      </c>
    </row>
    <row r="51" spans="1:11">
      <c r="A51" t="str">
        <f>PEC_Info!A51</f>
        <v>STEAM_COAL</v>
      </c>
      <c r="B51" t="str">
        <f>PEC_Info!B51</f>
        <v>INDIA</v>
      </c>
      <c r="C51" t="str">
        <f xml:space="preserve"> IF(ISBLANK(PEC_Info!C51), "", PEC_Info!C51)</f>
        <v>WR</v>
      </c>
      <c r="D51">
        <f>PEC_Info!D51</f>
        <v>2020</v>
      </c>
      <c r="E51">
        <f>PEC_Info!E51</f>
        <v>0</v>
      </c>
      <c r="F51" s="372">
        <f xml:space="preserve"> IF(AND(D51 &lt;&gt; 2020, OR(A51 = "NATGAS", A51 = "STEAM_COAL", A51 = "COKING_COAL")), PEC_Info_Scen_assumptions!$C$5, 1) * PEC_Info!F51</f>
        <v>1157.5416897280861</v>
      </c>
      <c r="G51">
        <f>PEC_Info!G51</f>
        <v>0.2208</v>
      </c>
      <c r="H51">
        <f>PEC_Info!H51</f>
        <v>400</v>
      </c>
      <c r="I51" s="372">
        <f xml:space="preserve"> IF(AND(D51 &lt;&gt; 2020, OR(A51 = "NATGAS", A51 = "STEAM_COAL", A51 = "COKING_COAL")), PEC_Info_Scen_assumptions!$C$5, 1) * PEC_Info!I51</f>
        <v>4493.1282858430641</v>
      </c>
      <c r="J51">
        <f>PEC_Info!J51</f>
        <v>0.15000000000000002</v>
      </c>
      <c r="K51">
        <f>PEC_Info!K51</f>
        <v>400</v>
      </c>
    </row>
    <row r="52" spans="1:11">
      <c r="A52" t="str">
        <f>PEC_Info!A52</f>
        <v>STEAM_COAL</v>
      </c>
      <c r="B52" t="str">
        <f>PEC_Info!B52</f>
        <v>INDIA</v>
      </c>
      <c r="C52" t="str">
        <f xml:space="preserve"> IF(ISBLANK(PEC_Info!C52), "", PEC_Info!C52)</f>
        <v>NR</v>
      </c>
      <c r="D52">
        <f>PEC_Info!D52</f>
        <v>2020</v>
      </c>
      <c r="E52">
        <f>PEC_Info!E52</f>
        <v>0</v>
      </c>
      <c r="F52" s="372">
        <f xml:space="preserve"> IF(AND(D52 &lt;&gt; 2020, OR(A52 = "NATGAS", A52 = "STEAM_COAL", A52 = "COKING_COAL")), PEC_Info_Scen_assumptions!$C$5, 1) * PEC_Info!F52</f>
        <v>1157.5416897280861</v>
      </c>
      <c r="G52">
        <f>PEC_Info!G52</f>
        <v>0.2208</v>
      </c>
      <c r="H52">
        <f>PEC_Info!H52</f>
        <v>400</v>
      </c>
      <c r="I52" s="372">
        <f xml:space="preserve"> IF(AND(D52 &lt;&gt; 2020, OR(A52 = "NATGAS", A52 = "STEAM_COAL", A52 = "COKING_COAL")), PEC_Info_Scen_assumptions!$C$5, 1) * PEC_Info!I52</f>
        <v>4493.1282858430641</v>
      </c>
      <c r="J52">
        <f>PEC_Info!J52</f>
        <v>0.15000000000000002</v>
      </c>
      <c r="K52">
        <f>PEC_Info!K52</f>
        <v>400</v>
      </c>
    </row>
    <row r="53" spans="1:11">
      <c r="A53" t="str">
        <f>PEC_Info!A53</f>
        <v>STEAM_COAL</v>
      </c>
      <c r="B53" t="str">
        <f>PEC_Info!B53</f>
        <v>INDIA</v>
      </c>
      <c r="C53" t="str">
        <f xml:space="preserve"> IF(ISBLANK(PEC_Info!C53), "", PEC_Info!C53)</f>
        <v>SR</v>
      </c>
      <c r="D53">
        <f>PEC_Info!D53</f>
        <v>2020</v>
      </c>
      <c r="E53">
        <f>PEC_Info!E53</f>
        <v>0</v>
      </c>
      <c r="F53" s="372">
        <f xml:space="preserve"> IF(AND(D53 &lt;&gt; 2020, OR(A53 = "NATGAS", A53 = "STEAM_COAL", A53 = "COKING_COAL")), PEC_Info_Scen_assumptions!$C$5, 1) * PEC_Info!F53</f>
        <v>1157.5416897280861</v>
      </c>
      <c r="G53">
        <f>PEC_Info!G53</f>
        <v>0.2208</v>
      </c>
      <c r="H53">
        <f>PEC_Info!H53</f>
        <v>400</v>
      </c>
      <c r="I53" s="372">
        <f xml:space="preserve"> IF(AND(D53 &lt;&gt; 2020, OR(A53 = "NATGAS", A53 = "STEAM_COAL", A53 = "COKING_COAL")), PEC_Info_Scen_assumptions!$C$5, 1) * PEC_Info!I53</f>
        <v>4493.1282858430641</v>
      </c>
      <c r="J53">
        <f>PEC_Info!J53</f>
        <v>0.15000000000000002</v>
      </c>
      <c r="K53">
        <f>PEC_Info!K53</f>
        <v>400</v>
      </c>
    </row>
    <row r="54" spans="1:11">
      <c r="A54" t="str">
        <f>PEC_Info!A54</f>
        <v>STEAM_COAL</v>
      </c>
      <c r="B54" t="str">
        <f>PEC_Info!B54</f>
        <v>INDIA</v>
      </c>
      <c r="C54" t="str">
        <f xml:space="preserve"> IF(ISBLANK(PEC_Info!C54), "", PEC_Info!C54)</f>
        <v>NER</v>
      </c>
      <c r="D54">
        <f>PEC_Info!D54</f>
        <v>2020</v>
      </c>
      <c r="E54">
        <f>PEC_Info!E54</f>
        <v>0</v>
      </c>
      <c r="F54" s="372">
        <f xml:space="preserve"> IF(AND(D54 &lt;&gt; 2020, OR(A54 = "NATGAS", A54 = "STEAM_COAL", A54 = "COKING_COAL")), PEC_Info_Scen_assumptions!$C$5, 1) * PEC_Info!F54</f>
        <v>1157.5416897280861</v>
      </c>
      <c r="G54">
        <f>PEC_Info!G54</f>
        <v>0.2208</v>
      </c>
      <c r="H54">
        <f>PEC_Info!H54</f>
        <v>400</v>
      </c>
      <c r="I54" s="372">
        <f xml:space="preserve"> IF(AND(D54 &lt;&gt; 2020, OR(A54 = "NATGAS", A54 = "STEAM_COAL", A54 = "COKING_COAL")), PEC_Info_Scen_assumptions!$C$5, 1) * PEC_Info!I54</f>
        <v>4493.1282858430641</v>
      </c>
      <c r="J54">
        <f>PEC_Info!J54</f>
        <v>0.15000000000000002</v>
      </c>
      <c r="K54">
        <f>PEC_Info!K54</f>
        <v>400</v>
      </c>
    </row>
    <row r="55" spans="1:11">
      <c r="A55" t="str">
        <f>PEC_Info!A55</f>
        <v>STEAM_COAL</v>
      </c>
      <c r="B55" t="str">
        <f>PEC_Info!B55</f>
        <v>INDIA</v>
      </c>
      <c r="C55" t="str">
        <f xml:space="preserve"> IF(ISBLANK(PEC_Info!C55), "", PEC_Info!C55)</f>
        <v>ER</v>
      </c>
      <c r="D55">
        <f>PEC_Info!D55</f>
        <v>2021</v>
      </c>
      <c r="E55">
        <f>PEC_Info!E55</f>
        <v>0</v>
      </c>
      <c r="F55" s="372">
        <f xml:space="preserve"> IF(AND(D55 &lt;&gt; 2020, OR(A55 = "NATGAS", A55 = "STEAM_COAL", A55 = "COKING_COAL")), PEC_Info_Scen_assumptions!$C$5, 1) * PEC_Info!F55</f>
        <v>1052.2053959628302</v>
      </c>
      <c r="G55">
        <f>PEC_Info!G55</f>
        <v>0.2208</v>
      </c>
      <c r="H55">
        <f>PEC_Info!H55</f>
        <v>400</v>
      </c>
      <c r="I55" s="372">
        <f xml:space="preserve"> IF(AND(D55 &lt;&gt; 2020, OR(A55 = "NATGAS", A55 = "STEAM_COAL", A55 = "COKING_COAL")), PEC_Info_Scen_assumptions!$C$5, 1) * PEC_Info!I55</f>
        <v>3044.791623220272</v>
      </c>
      <c r="J55">
        <f>PEC_Info!J55</f>
        <v>0.15000000000000002</v>
      </c>
      <c r="K55">
        <f>PEC_Info!K55</f>
        <v>400</v>
      </c>
    </row>
    <row r="56" spans="1:11">
      <c r="A56" t="str">
        <f>PEC_Info!A56</f>
        <v>STEAM_COAL</v>
      </c>
      <c r="B56" t="str">
        <f>PEC_Info!B56</f>
        <v>INDIA</v>
      </c>
      <c r="C56" t="str">
        <f xml:space="preserve"> IF(ISBLANK(PEC_Info!C56), "", PEC_Info!C56)</f>
        <v>WR</v>
      </c>
      <c r="D56">
        <f>PEC_Info!D56</f>
        <v>2021</v>
      </c>
      <c r="E56">
        <f>PEC_Info!E56</f>
        <v>0</v>
      </c>
      <c r="F56" s="372">
        <f xml:space="preserve"> IF(AND(D56 &lt;&gt; 2020, OR(A56 = "NATGAS", A56 = "STEAM_COAL", A56 = "COKING_COAL")), PEC_Info_Scen_assumptions!$C$5, 1) * PEC_Info!F56</f>
        <v>1052.2053959628302</v>
      </c>
      <c r="G56">
        <f>PEC_Info!G56</f>
        <v>0.2208</v>
      </c>
      <c r="H56">
        <f>PEC_Info!H56</f>
        <v>400</v>
      </c>
      <c r="I56" s="372">
        <f xml:space="preserve"> IF(AND(D56 &lt;&gt; 2020, OR(A56 = "NATGAS", A56 = "STEAM_COAL", A56 = "COKING_COAL")), PEC_Info_Scen_assumptions!$C$5, 1) * PEC_Info!I56</f>
        <v>3044.791623220272</v>
      </c>
      <c r="J56">
        <f>PEC_Info!J56</f>
        <v>0.15000000000000002</v>
      </c>
      <c r="K56">
        <f>PEC_Info!K56</f>
        <v>400</v>
      </c>
    </row>
    <row r="57" spans="1:11">
      <c r="A57" t="str">
        <f>PEC_Info!A57</f>
        <v>STEAM_COAL</v>
      </c>
      <c r="B57" t="str">
        <f>PEC_Info!B57</f>
        <v>INDIA</v>
      </c>
      <c r="C57" t="str">
        <f xml:space="preserve"> IF(ISBLANK(PEC_Info!C57), "", PEC_Info!C57)</f>
        <v>NR</v>
      </c>
      <c r="D57">
        <f>PEC_Info!D57</f>
        <v>2021</v>
      </c>
      <c r="E57">
        <f>PEC_Info!E57</f>
        <v>0</v>
      </c>
      <c r="F57" s="372">
        <f xml:space="preserve"> IF(AND(D57 &lt;&gt; 2020, OR(A57 = "NATGAS", A57 = "STEAM_COAL", A57 = "COKING_COAL")), PEC_Info_Scen_assumptions!$C$5, 1) * PEC_Info!F57</f>
        <v>1052.2053959628302</v>
      </c>
      <c r="G57">
        <f>PEC_Info!G57</f>
        <v>0.2208</v>
      </c>
      <c r="H57">
        <f>PEC_Info!H57</f>
        <v>400</v>
      </c>
      <c r="I57" s="372">
        <f xml:space="preserve"> IF(AND(D57 &lt;&gt; 2020, OR(A57 = "NATGAS", A57 = "STEAM_COAL", A57 = "COKING_COAL")), PEC_Info_Scen_assumptions!$C$5, 1) * PEC_Info!I57</f>
        <v>3044.791623220272</v>
      </c>
      <c r="J57">
        <f>PEC_Info!J57</f>
        <v>0.15000000000000002</v>
      </c>
      <c r="K57">
        <f>PEC_Info!K57</f>
        <v>400</v>
      </c>
    </row>
    <row r="58" spans="1:11">
      <c r="A58" t="str">
        <f>PEC_Info!A58</f>
        <v>STEAM_COAL</v>
      </c>
      <c r="B58" t="str">
        <f>PEC_Info!B58</f>
        <v>INDIA</v>
      </c>
      <c r="C58" t="str">
        <f xml:space="preserve"> IF(ISBLANK(PEC_Info!C58), "", PEC_Info!C58)</f>
        <v>SR</v>
      </c>
      <c r="D58">
        <f>PEC_Info!D58</f>
        <v>2021</v>
      </c>
      <c r="E58">
        <f>PEC_Info!E58</f>
        <v>0</v>
      </c>
      <c r="F58" s="372">
        <f xml:space="preserve"> IF(AND(D58 &lt;&gt; 2020, OR(A58 = "NATGAS", A58 = "STEAM_COAL", A58 = "COKING_COAL")), PEC_Info_Scen_assumptions!$C$5, 1) * PEC_Info!F58</f>
        <v>1052.2053959628302</v>
      </c>
      <c r="G58">
        <f>PEC_Info!G58</f>
        <v>0.2208</v>
      </c>
      <c r="H58">
        <f>PEC_Info!H58</f>
        <v>400</v>
      </c>
      <c r="I58" s="372">
        <f xml:space="preserve"> IF(AND(D58 &lt;&gt; 2020, OR(A58 = "NATGAS", A58 = "STEAM_COAL", A58 = "COKING_COAL")), PEC_Info_Scen_assumptions!$C$5, 1) * PEC_Info!I58</f>
        <v>3044.791623220272</v>
      </c>
      <c r="J58">
        <f>PEC_Info!J58</f>
        <v>0.15000000000000002</v>
      </c>
      <c r="K58">
        <f>PEC_Info!K58</f>
        <v>400</v>
      </c>
    </row>
    <row r="59" spans="1:11">
      <c r="A59" t="str">
        <f>PEC_Info!A59</f>
        <v>STEAM_COAL</v>
      </c>
      <c r="B59" t="str">
        <f>PEC_Info!B59</f>
        <v>INDIA</v>
      </c>
      <c r="C59" t="str">
        <f xml:space="preserve"> IF(ISBLANK(PEC_Info!C59), "", PEC_Info!C59)</f>
        <v>NER</v>
      </c>
      <c r="D59">
        <f>PEC_Info!D59</f>
        <v>2021</v>
      </c>
      <c r="E59">
        <f>PEC_Info!E59</f>
        <v>0</v>
      </c>
      <c r="F59" s="372">
        <f xml:space="preserve"> IF(AND(D59 &lt;&gt; 2020, OR(A59 = "NATGAS", A59 = "STEAM_COAL", A59 = "COKING_COAL")), PEC_Info_Scen_assumptions!$C$5, 1) * PEC_Info!F59</f>
        <v>1052.2053959628302</v>
      </c>
      <c r="G59">
        <f>PEC_Info!G59</f>
        <v>0.2208</v>
      </c>
      <c r="H59">
        <f>PEC_Info!H59</f>
        <v>400</v>
      </c>
      <c r="I59" s="372">
        <f xml:space="preserve"> IF(AND(D59 &lt;&gt; 2020, OR(A59 = "NATGAS", A59 = "STEAM_COAL", A59 = "COKING_COAL")), PEC_Info_Scen_assumptions!$C$5, 1) * PEC_Info!I59</f>
        <v>3044.791623220272</v>
      </c>
      <c r="J59">
        <f>PEC_Info!J59</f>
        <v>0.15000000000000002</v>
      </c>
      <c r="K59">
        <f>PEC_Info!K59</f>
        <v>400</v>
      </c>
    </row>
    <row r="60" spans="1:11">
      <c r="A60" t="str">
        <f>PEC_Info!A60</f>
        <v>STEAM_COAL</v>
      </c>
      <c r="B60" t="str">
        <f>PEC_Info!B60</f>
        <v>INDIA</v>
      </c>
      <c r="C60" t="str">
        <f xml:space="preserve"> IF(ISBLANK(PEC_Info!C60), "", PEC_Info!C60)</f>
        <v>ER</v>
      </c>
      <c r="D60">
        <f>PEC_Info!D60</f>
        <v>2022</v>
      </c>
      <c r="E60">
        <f>PEC_Info!E60</f>
        <v>0</v>
      </c>
      <c r="F60" s="372">
        <f xml:space="preserve"> IF(AND(D60 &lt;&gt; 2020, OR(A60 = "NATGAS", A60 = "STEAM_COAL", A60 = "COKING_COAL")), PEC_Info_Scen_assumptions!$C$5, 1) * PEC_Info!F60</f>
        <v>1062.7274499224586</v>
      </c>
      <c r="G60">
        <f>PEC_Info!G60</f>
        <v>0.2208</v>
      </c>
      <c r="H60">
        <f>PEC_Info!H60</f>
        <v>400</v>
      </c>
      <c r="I60" s="372">
        <f xml:space="preserve"> IF(AND(D60 &lt;&gt; 2020, OR(A60 = "NATGAS", A60 = "STEAM_COAL", A60 = "COKING_COAL")), PEC_Info_Scen_assumptions!$C$5, 1) * PEC_Info!I60</f>
        <v>3089.5679706205701</v>
      </c>
      <c r="J60">
        <f>PEC_Info!J60</f>
        <v>0.15000000000000002</v>
      </c>
      <c r="K60">
        <f>PEC_Info!K60</f>
        <v>400</v>
      </c>
    </row>
    <row r="61" spans="1:11">
      <c r="A61" t="str">
        <f>PEC_Info!A61</f>
        <v>STEAM_COAL</v>
      </c>
      <c r="B61" t="str">
        <f>PEC_Info!B61</f>
        <v>INDIA</v>
      </c>
      <c r="C61" t="str">
        <f xml:space="preserve"> IF(ISBLANK(PEC_Info!C61), "", PEC_Info!C61)</f>
        <v>WR</v>
      </c>
      <c r="D61">
        <f>PEC_Info!D61</f>
        <v>2022</v>
      </c>
      <c r="E61">
        <f>PEC_Info!E61</f>
        <v>0</v>
      </c>
      <c r="F61" s="372">
        <f xml:space="preserve"> IF(AND(D61 &lt;&gt; 2020, OR(A61 = "NATGAS", A61 = "STEAM_COAL", A61 = "COKING_COAL")), PEC_Info_Scen_assumptions!$C$5, 1) * PEC_Info!F61</f>
        <v>1062.7274499224586</v>
      </c>
      <c r="G61">
        <f>PEC_Info!G61</f>
        <v>0.2208</v>
      </c>
      <c r="H61">
        <f>PEC_Info!H61</f>
        <v>400</v>
      </c>
      <c r="I61" s="372">
        <f xml:space="preserve"> IF(AND(D61 &lt;&gt; 2020, OR(A61 = "NATGAS", A61 = "STEAM_COAL", A61 = "COKING_COAL")), PEC_Info_Scen_assumptions!$C$5, 1) * PEC_Info!I61</f>
        <v>3089.5679706205701</v>
      </c>
      <c r="J61">
        <f>PEC_Info!J61</f>
        <v>0.15000000000000002</v>
      </c>
      <c r="K61">
        <f>PEC_Info!K61</f>
        <v>400</v>
      </c>
    </row>
    <row r="62" spans="1:11">
      <c r="A62" t="str">
        <f>PEC_Info!A62</f>
        <v>STEAM_COAL</v>
      </c>
      <c r="B62" t="str">
        <f>PEC_Info!B62</f>
        <v>INDIA</v>
      </c>
      <c r="C62" t="str">
        <f xml:space="preserve"> IF(ISBLANK(PEC_Info!C62), "", PEC_Info!C62)</f>
        <v>NR</v>
      </c>
      <c r="D62">
        <f>PEC_Info!D62</f>
        <v>2022</v>
      </c>
      <c r="E62">
        <f>PEC_Info!E62</f>
        <v>0</v>
      </c>
      <c r="F62" s="372">
        <f xml:space="preserve"> IF(AND(D62 &lt;&gt; 2020, OR(A62 = "NATGAS", A62 = "STEAM_COAL", A62 = "COKING_COAL")), PEC_Info_Scen_assumptions!$C$5, 1) * PEC_Info!F62</f>
        <v>1062.7274499224586</v>
      </c>
      <c r="G62">
        <f>PEC_Info!G62</f>
        <v>0.2208</v>
      </c>
      <c r="H62">
        <f>PEC_Info!H62</f>
        <v>400</v>
      </c>
      <c r="I62" s="372">
        <f xml:space="preserve"> IF(AND(D62 &lt;&gt; 2020, OR(A62 = "NATGAS", A62 = "STEAM_COAL", A62 = "COKING_COAL")), PEC_Info_Scen_assumptions!$C$5, 1) * PEC_Info!I62</f>
        <v>3089.5679706205701</v>
      </c>
      <c r="J62">
        <f>PEC_Info!J62</f>
        <v>0.15000000000000002</v>
      </c>
      <c r="K62">
        <f>PEC_Info!K62</f>
        <v>400</v>
      </c>
    </row>
    <row r="63" spans="1:11">
      <c r="A63" t="str">
        <f>PEC_Info!A63</f>
        <v>STEAM_COAL</v>
      </c>
      <c r="B63" t="str">
        <f>PEC_Info!B63</f>
        <v>INDIA</v>
      </c>
      <c r="C63" t="str">
        <f xml:space="preserve"> IF(ISBLANK(PEC_Info!C63), "", PEC_Info!C63)</f>
        <v>SR</v>
      </c>
      <c r="D63">
        <f>PEC_Info!D63</f>
        <v>2022</v>
      </c>
      <c r="E63">
        <f>PEC_Info!E63</f>
        <v>0</v>
      </c>
      <c r="F63" s="372">
        <f xml:space="preserve"> IF(AND(D63 &lt;&gt; 2020, OR(A63 = "NATGAS", A63 = "STEAM_COAL", A63 = "COKING_COAL")), PEC_Info_Scen_assumptions!$C$5, 1) * PEC_Info!F63</f>
        <v>1062.7274499224586</v>
      </c>
      <c r="G63">
        <f>PEC_Info!G63</f>
        <v>0.2208</v>
      </c>
      <c r="H63">
        <f>PEC_Info!H63</f>
        <v>400</v>
      </c>
      <c r="I63" s="372">
        <f xml:space="preserve"> IF(AND(D63 &lt;&gt; 2020, OR(A63 = "NATGAS", A63 = "STEAM_COAL", A63 = "COKING_COAL")), PEC_Info_Scen_assumptions!$C$5, 1) * PEC_Info!I63</f>
        <v>3089.5679706205701</v>
      </c>
      <c r="J63">
        <f>PEC_Info!J63</f>
        <v>0.15000000000000002</v>
      </c>
      <c r="K63">
        <f>PEC_Info!K63</f>
        <v>400</v>
      </c>
    </row>
    <row r="64" spans="1:11">
      <c r="A64" t="str">
        <f>PEC_Info!A64</f>
        <v>STEAM_COAL</v>
      </c>
      <c r="B64" t="str">
        <f>PEC_Info!B64</f>
        <v>INDIA</v>
      </c>
      <c r="C64" t="str">
        <f xml:space="preserve"> IF(ISBLANK(PEC_Info!C64), "", PEC_Info!C64)</f>
        <v>NER</v>
      </c>
      <c r="D64">
        <f>PEC_Info!D64</f>
        <v>2022</v>
      </c>
      <c r="E64">
        <f>PEC_Info!E64</f>
        <v>0</v>
      </c>
      <c r="F64" s="372">
        <f xml:space="preserve"> IF(AND(D64 &lt;&gt; 2020, OR(A64 = "NATGAS", A64 = "STEAM_COAL", A64 = "COKING_COAL")), PEC_Info_Scen_assumptions!$C$5, 1) * PEC_Info!F64</f>
        <v>1062.7274499224586</v>
      </c>
      <c r="G64">
        <f>PEC_Info!G64</f>
        <v>0.2208</v>
      </c>
      <c r="H64">
        <f>PEC_Info!H64</f>
        <v>400</v>
      </c>
      <c r="I64" s="372">
        <f xml:space="preserve"> IF(AND(D64 &lt;&gt; 2020, OR(A64 = "NATGAS", A64 = "STEAM_COAL", A64 = "COKING_COAL")), PEC_Info_Scen_assumptions!$C$5, 1) * PEC_Info!I64</f>
        <v>3089.5679706205701</v>
      </c>
      <c r="J64">
        <f>PEC_Info!J64</f>
        <v>0.15000000000000002</v>
      </c>
      <c r="K64">
        <f>PEC_Info!K64</f>
        <v>400</v>
      </c>
    </row>
    <row r="65" spans="1:11">
      <c r="A65" t="str">
        <f>PEC_Info!A65</f>
        <v>STEAM_COAL</v>
      </c>
      <c r="B65" t="str">
        <f>PEC_Info!B65</f>
        <v>INDIA</v>
      </c>
      <c r="C65" t="str">
        <f xml:space="preserve"> IF(ISBLANK(PEC_Info!C65), "", PEC_Info!C65)</f>
        <v>ER</v>
      </c>
      <c r="D65">
        <f>PEC_Info!D65</f>
        <v>2023</v>
      </c>
      <c r="E65">
        <f>PEC_Info!E65</f>
        <v>0</v>
      </c>
      <c r="F65" s="372">
        <f xml:space="preserve"> IF(AND(D65 &lt;&gt; 2020, OR(A65 = "NATGAS", A65 = "STEAM_COAL", A65 = "COKING_COAL")), PEC_Info_Scen_assumptions!$C$5, 1) * PEC_Info!F65</f>
        <v>1073.3547244216832</v>
      </c>
      <c r="G65">
        <f>PEC_Info!G65</f>
        <v>0.2208</v>
      </c>
      <c r="H65">
        <f>PEC_Info!H65</f>
        <v>400</v>
      </c>
      <c r="I65" s="372">
        <f xml:space="preserve"> IF(AND(D65 &lt;&gt; 2020, OR(A65 = "NATGAS", A65 = "STEAM_COAL", A65 = "COKING_COAL")), PEC_Info_Scen_assumptions!$C$5, 1) * PEC_Info!I65</f>
        <v>3112.9949555804064</v>
      </c>
      <c r="J65">
        <f>PEC_Info!J65</f>
        <v>0.15000000000000002</v>
      </c>
      <c r="K65">
        <f>PEC_Info!K65</f>
        <v>400</v>
      </c>
    </row>
    <row r="66" spans="1:11">
      <c r="A66" t="str">
        <f>PEC_Info!A66</f>
        <v>STEAM_COAL</v>
      </c>
      <c r="B66" t="str">
        <f>PEC_Info!B66</f>
        <v>INDIA</v>
      </c>
      <c r="C66" t="str">
        <f xml:space="preserve"> IF(ISBLANK(PEC_Info!C66), "", PEC_Info!C66)</f>
        <v>WR</v>
      </c>
      <c r="D66">
        <f>PEC_Info!D66</f>
        <v>2023</v>
      </c>
      <c r="E66">
        <f>PEC_Info!E66</f>
        <v>0</v>
      </c>
      <c r="F66" s="372">
        <f xml:space="preserve"> IF(AND(D66 &lt;&gt; 2020, OR(A66 = "NATGAS", A66 = "STEAM_COAL", A66 = "COKING_COAL")), PEC_Info_Scen_assumptions!$C$5, 1) * PEC_Info!F66</f>
        <v>1073.3547244216832</v>
      </c>
      <c r="G66">
        <f>PEC_Info!G66</f>
        <v>0.2208</v>
      </c>
      <c r="H66">
        <f>PEC_Info!H66</f>
        <v>400</v>
      </c>
      <c r="I66" s="372">
        <f xml:space="preserve"> IF(AND(D66 &lt;&gt; 2020, OR(A66 = "NATGAS", A66 = "STEAM_COAL", A66 = "COKING_COAL")), PEC_Info_Scen_assumptions!$C$5, 1) * PEC_Info!I66</f>
        <v>3112.9949555804064</v>
      </c>
      <c r="J66">
        <f>PEC_Info!J66</f>
        <v>0.15000000000000002</v>
      </c>
      <c r="K66">
        <f>PEC_Info!K66</f>
        <v>400</v>
      </c>
    </row>
    <row r="67" spans="1:11">
      <c r="A67" t="str">
        <f>PEC_Info!A67</f>
        <v>STEAM_COAL</v>
      </c>
      <c r="B67" t="str">
        <f>PEC_Info!B67</f>
        <v>INDIA</v>
      </c>
      <c r="C67" t="str">
        <f xml:space="preserve"> IF(ISBLANK(PEC_Info!C67), "", PEC_Info!C67)</f>
        <v>NR</v>
      </c>
      <c r="D67">
        <f>PEC_Info!D67</f>
        <v>2023</v>
      </c>
      <c r="E67">
        <f>PEC_Info!E67</f>
        <v>0</v>
      </c>
      <c r="F67" s="372">
        <f xml:space="preserve"> IF(AND(D67 &lt;&gt; 2020, OR(A67 = "NATGAS", A67 = "STEAM_COAL", A67 = "COKING_COAL")), PEC_Info_Scen_assumptions!$C$5, 1) * PEC_Info!F67</f>
        <v>1073.3547244216832</v>
      </c>
      <c r="G67">
        <f>PEC_Info!G67</f>
        <v>0.2208</v>
      </c>
      <c r="H67">
        <f>PEC_Info!H67</f>
        <v>400</v>
      </c>
      <c r="I67" s="372">
        <f xml:space="preserve"> IF(AND(D67 &lt;&gt; 2020, OR(A67 = "NATGAS", A67 = "STEAM_COAL", A67 = "COKING_COAL")), PEC_Info_Scen_assumptions!$C$5, 1) * PEC_Info!I67</f>
        <v>3112.9949555804064</v>
      </c>
      <c r="J67">
        <f>PEC_Info!J67</f>
        <v>0.15000000000000002</v>
      </c>
      <c r="K67">
        <f>PEC_Info!K67</f>
        <v>400</v>
      </c>
    </row>
    <row r="68" spans="1:11">
      <c r="A68" t="str">
        <f>PEC_Info!A68</f>
        <v>STEAM_COAL</v>
      </c>
      <c r="B68" t="str">
        <f>PEC_Info!B68</f>
        <v>INDIA</v>
      </c>
      <c r="C68" t="str">
        <f xml:space="preserve"> IF(ISBLANK(PEC_Info!C68), "", PEC_Info!C68)</f>
        <v>SR</v>
      </c>
      <c r="D68">
        <f>PEC_Info!D68</f>
        <v>2023</v>
      </c>
      <c r="E68">
        <f>PEC_Info!E68</f>
        <v>0</v>
      </c>
      <c r="F68" s="372">
        <f xml:space="preserve"> IF(AND(D68 &lt;&gt; 2020, OR(A68 = "NATGAS", A68 = "STEAM_COAL", A68 = "COKING_COAL")), PEC_Info_Scen_assumptions!$C$5, 1) * PEC_Info!F68</f>
        <v>1073.3547244216832</v>
      </c>
      <c r="G68">
        <f>PEC_Info!G68</f>
        <v>0.2208</v>
      </c>
      <c r="H68">
        <f>PEC_Info!H68</f>
        <v>400</v>
      </c>
      <c r="I68" s="372">
        <f xml:space="preserve"> IF(AND(D68 &lt;&gt; 2020, OR(A68 = "NATGAS", A68 = "STEAM_COAL", A68 = "COKING_COAL")), PEC_Info_Scen_assumptions!$C$5, 1) * PEC_Info!I68</f>
        <v>3112.9949555804064</v>
      </c>
      <c r="J68">
        <f>PEC_Info!J68</f>
        <v>0.15000000000000002</v>
      </c>
      <c r="K68">
        <f>PEC_Info!K68</f>
        <v>400</v>
      </c>
    </row>
    <row r="69" spans="1:11">
      <c r="A69" t="str">
        <f>PEC_Info!A69</f>
        <v>STEAM_COAL</v>
      </c>
      <c r="B69" t="str">
        <f>PEC_Info!B69</f>
        <v>INDIA</v>
      </c>
      <c r="C69" t="str">
        <f xml:space="preserve"> IF(ISBLANK(PEC_Info!C69), "", PEC_Info!C69)</f>
        <v>NER</v>
      </c>
      <c r="D69">
        <f>PEC_Info!D69</f>
        <v>2023</v>
      </c>
      <c r="E69">
        <f>PEC_Info!E69</f>
        <v>0</v>
      </c>
      <c r="F69" s="372">
        <f xml:space="preserve"> IF(AND(D69 &lt;&gt; 2020, OR(A69 = "NATGAS", A69 = "STEAM_COAL", A69 = "COKING_COAL")), PEC_Info_Scen_assumptions!$C$5, 1) * PEC_Info!F69</f>
        <v>1073.3547244216832</v>
      </c>
      <c r="G69">
        <f>PEC_Info!G69</f>
        <v>0.2208</v>
      </c>
      <c r="H69">
        <f>PEC_Info!H69</f>
        <v>400</v>
      </c>
      <c r="I69" s="372">
        <f xml:space="preserve"> IF(AND(D69 &lt;&gt; 2020, OR(A69 = "NATGAS", A69 = "STEAM_COAL", A69 = "COKING_COAL")), PEC_Info_Scen_assumptions!$C$5, 1) * PEC_Info!I69</f>
        <v>3112.9949555804064</v>
      </c>
      <c r="J69">
        <f>PEC_Info!J69</f>
        <v>0.15000000000000002</v>
      </c>
      <c r="K69">
        <f>PEC_Info!K69</f>
        <v>400</v>
      </c>
    </row>
    <row r="70" spans="1:11">
      <c r="A70" t="str">
        <f>PEC_Info!A70</f>
        <v>STEAM_COAL</v>
      </c>
      <c r="B70" t="str">
        <f>PEC_Info!B70</f>
        <v>INDIA</v>
      </c>
      <c r="C70" t="str">
        <f xml:space="preserve"> IF(ISBLANK(PEC_Info!C70), "", PEC_Info!C70)</f>
        <v>ER</v>
      </c>
      <c r="D70">
        <f>PEC_Info!D70</f>
        <v>2024</v>
      </c>
      <c r="E70">
        <f>PEC_Info!E70</f>
        <v>0</v>
      </c>
      <c r="F70" s="372">
        <f xml:space="preserve"> IF(AND(D70 &lt;&gt; 2020, OR(A70 = "NATGAS", A70 = "STEAM_COAL", A70 = "COKING_COAL")), PEC_Info_Scen_assumptions!$C$5, 1) * PEC_Info!F70</f>
        <v>1084.0882716659003</v>
      </c>
      <c r="G70">
        <f>PEC_Info!G70</f>
        <v>0.2208</v>
      </c>
      <c r="H70">
        <f>PEC_Info!H70</f>
        <v>400</v>
      </c>
      <c r="I70" s="372">
        <f xml:space="preserve"> IF(AND(D70 &lt;&gt; 2020, OR(A70 = "NATGAS", A70 = "STEAM_COAL", A70 = "COKING_COAL")), PEC_Info_Scen_assumptions!$C$5, 1) * PEC_Info!I70</f>
        <v>3130.5329553301558</v>
      </c>
      <c r="J70">
        <f>PEC_Info!J70</f>
        <v>0.15000000000000002</v>
      </c>
      <c r="K70">
        <f>PEC_Info!K70</f>
        <v>400</v>
      </c>
    </row>
    <row r="71" spans="1:11">
      <c r="A71" t="str">
        <f>PEC_Info!A71</f>
        <v>STEAM_COAL</v>
      </c>
      <c r="B71" t="str">
        <f>PEC_Info!B71</f>
        <v>INDIA</v>
      </c>
      <c r="C71" t="str">
        <f xml:space="preserve"> IF(ISBLANK(PEC_Info!C71), "", PEC_Info!C71)</f>
        <v>WR</v>
      </c>
      <c r="D71">
        <f>PEC_Info!D71</f>
        <v>2024</v>
      </c>
      <c r="E71">
        <f>PEC_Info!E71</f>
        <v>0</v>
      </c>
      <c r="F71" s="372">
        <f xml:space="preserve"> IF(AND(D71 &lt;&gt; 2020, OR(A71 = "NATGAS", A71 = "STEAM_COAL", A71 = "COKING_COAL")), PEC_Info_Scen_assumptions!$C$5, 1) * PEC_Info!F71</f>
        <v>1084.0882716659003</v>
      </c>
      <c r="G71">
        <f>PEC_Info!G71</f>
        <v>0.2208</v>
      </c>
      <c r="H71">
        <f>PEC_Info!H71</f>
        <v>400</v>
      </c>
      <c r="I71" s="372">
        <f xml:space="preserve"> IF(AND(D71 &lt;&gt; 2020, OR(A71 = "NATGAS", A71 = "STEAM_COAL", A71 = "COKING_COAL")), PEC_Info_Scen_assumptions!$C$5, 1) * PEC_Info!I71</f>
        <v>3130.5329553301558</v>
      </c>
      <c r="J71">
        <f>PEC_Info!J71</f>
        <v>0.15000000000000002</v>
      </c>
      <c r="K71">
        <f>PEC_Info!K71</f>
        <v>400</v>
      </c>
    </row>
    <row r="72" spans="1:11">
      <c r="A72" t="str">
        <f>PEC_Info!A72</f>
        <v>STEAM_COAL</v>
      </c>
      <c r="B72" t="str">
        <f>PEC_Info!B72</f>
        <v>INDIA</v>
      </c>
      <c r="C72" t="str">
        <f xml:space="preserve"> IF(ISBLANK(PEC_Info!C72), "", PEC_Info!C72)</f>
        <v>NR</v>
      </c>
      <c r="D72">
        <f>PEC_Info!D72</f>
        <v>2024</v>
      </c>
      <c r="E72">
        <f>PEC_Info!E72</f>
        <v>0</v>
      </c>
      <c r="F72" s="372">
        <f xml:space="preserve"> IF(AND(D72 &lt;&gt; 2020, OR(A72 = "NATGAS", A72 = "STEAM_COAL", A72 = "COKING_COAL")), PEC_Info_Scen_assumptions!$C$5, 1) * PEC_Info!F72</f>
        <v>1084.0882716659003</v>
      </c>
      <c r="G72">
        <f>PEC_Info!G72</f>
        <v>0.2208</v>
      </c>
      <c r="H72">
        <f>PEC_Info!H72</f>
        <v>400</v>
      </c>
      <c r="I72" s="372">
        <f xml:space="preserve"> IF(AND(D72 &lt;&gt; 2020, OR(A72 = "NATGAS", A72 = "STEAM_COAL", A72 = "COKING_COAL")), PEC_Info_Scen_assumptions!$C$5, 1) * PEC_Info!I72</f>
        <v>3130.5329553301558</v>
      </c>
      <c r="J72">
        <f>PEC_Info!J72</f>
        <v>0.15000000000000002</v>
      </c>
      <c r="K72">
        <f>PEC_Info!K72</f>
        <v>400</v>
      </c>
    </row>
    <row r="73" spans="1:11">
      <c r="A73" t="str">
        <f>PEC_Info!A73</f>
        <v>STEAM_COAL</v>
      </c>
      <c r="B73" t="str">
        <f>PEC_Info!B73</f>
        <v>INDIA</v>
      </c>
      <c r="C73" t="str">
        <f xml:space="preserve"> IF(ISBLANK(PEC_Info!C73), "", PEC_Info!C73)</f>
        <v>SR</v>
      </c>
      <c r="D73">
        <f>PEC_Info!D73</f>
        <v>2024</v>
      </c>
      <c r="E73">
        <f>PEC_Info!E73</f>
        <v>0</v>
      </c>
      <c r="F73" s="372">
        <f xml:space="preserve"> IF(AND(D73 &lt;&gt; 2020, OR(A73 = "NATGAS", A73 = "STEAM_COAL", A73 = "COKING_COAL")), PEC_Info_Scen_assumptions!$C$5, 1) * PEC_Info!F73</f>
        <v>1084.0882716659003</v>
      </c>
      <c r="G73">
        <f>PEC_Info!G73</f>
        <v>0.2208</v>
      </c>
      <c r="H73">
        <f>PEC_Info!H73</f>
        <v>400</v>
      </c>
      <c r="I73" s="372">
        <f xml:space="preserve"> IF(AND(D73 &lt;&gt; 2020, OR(A73 = "NATGAS", A73 = "STEAM_COAL", A73 = "COKING_COAL")), PEC_Info_Scen_assumptions!$C$5, 1) * PEC_Info!I73</f>
        <v>3130.5329553301558</v>
      </c>
      <c r="J73">
        <f>PEC_Info!J73</f>
        <v>0.15000000000000002</v>
      </c>
      <c r="K73">
        <f>PEC_Info!K73</f>
        <v>400</v>
      </c>
    </row>
    <row r="74" spans="1:11">
      <c r="A74" t="str">
        <f>PEC_Info!A74</f>
        <v>STEAM_COAL</v>
      </c>
      <c r="B74" t="str">
        <f>PEC_Info!B74</f>
        <v>INDIA</v>
      </c>
      <c r="C74" t="str">
        <f xml:space="preserve"> IF(ISBLANK(PEC_Info!C74), "", PEC_Info!C74)</f>
        <v>NER</v>
      </c>
      <c r="D74">
        <f>PEC_Info!D74</f>
        <v>2024</v>
      </c>
      <c r="E74">
        <f>PEC_Info!E74</f>
        <v>0</v>
      </c>
      <c r="F74" s="372">
        <f xml:space="preserve"> IF(AND(D74 &lt;&gt; 2020, OR(A74 = "NATGAS", A74 = "STEAM_COAL", A74 = "COKING_COAL")), PEC_Info_Scen_assumptions!$C$5, 1) * PEC_Info!F74</f>
        <v>1084.0882716659003</v>
      </c>
      <c r="G74">
        <f>PEC_Info!G74</f>
        <v>0.2208</v>
      </c>
      <c r="H74">
        <f>PEC_Info!H74</f>
        <v>400</v>
      </c>
      <c r="I74" s="372">
        <f xml:space="preserve"> IF(AND(D74 &lt;&gt; 2020, OR(A74 = "NATGAS", A74 = "STEAM_COAL", A74 = "COKING_COAL")), PEC_Info_Scen_assumptions!$C$5, 1) * PEC_Info!I74</f>
        <v>3130.5329553301558</v>
      </c>
      <c r="J74">
        <f>PEC_Info!J74</f>
        <v>0.15000000000000002</v>
      </c>
      <c r="K74">
        <f>PEC_Info!K74</f>
        <v>400</v>
      </c>
    </row>
    <row r="75" spans="1:11">
      <c r="A75" t="str">
        <f>PEC_Info!A75</f>
        <v>STEAM_COAL</v>
      </c>
      <c r="B75" t="str">
        <f>PEC_Info!B75</f>
        <v>INDIA</v>
      </c>
      <c r="C75" t="str">
        <f xml:space="preserve"> IF(ISBLANK(PEC_Info!C75), "", PEC_Info!C75)</f>
        <v>ER</v>
      </c>
      <c r="D75">
        <f>PEC_Info!D75</f>
        <v>2025</v>
      </c>
      <c r="E75">
        <f>PEC_Info!E75</f>
        <v>0</v>
      </c>
      <c r="F75" s="372">
        <f xml:space="preserve"> IF(AND(D75 &lt;&gt; 2020, OR(A75 = "NATGAS", A75 = "STEAM_COAL", A75 = "COKING_COAL")), PEC_Info_Scen_assumptions!$C$5, 1) * PEC_Info!F75</f>
        <v>1094.9291543825591</v>
      </c>
      <c r="G75">
        <f>PEC_Info!G75</f>
        <v>0.2208</v>
      </c>
      <c r="H75">
        <f>PEC_Info!H75</f>
        <v>400</v>
      </c>
      <c r="I75" s="372">
        <f xml:space="preserve"> IF(AND(D75 &lt;&gt; 2020, OR(A75 = "NATGAS", A75 = "STEAM_COAL", A75 = "COKING_COAL")), PEC_Info_Scen_assumptions!$C$5, 1) * PEC_Info!I75</f>
        <v>3153.2293192562993</v>
      </c>
      <c r="J75">
        <f>PEC_Info!J75</f>
        <v>0.15000000000000002</v>
      </c>
      <c r="K75">
        <f>PEC_Info!K75</f>
        <v>400</v>
      </c>
    </row>
    <row r="76" spans="1:11">
      <c r="A76" t="str">
        <f>PEC_Info!A76</f>
        <v>STEAM_COAL</v>
      </c>
      <c r="B76" t="str">
        <f>PEC_Info!B76</f>
        <v>INDIA</v>
      </c>
      <c r="C76" t="str">
        <f xml:space="preserve"> IF(ISBLANK(PEC_Info!C76), "", PEC_Info!C76)</f>
        <v>WR</v>
      </c>
      <c r="D76">
        <f>PEC_Info!D76</f>
        <v>2025</v>
      </c>
      <c r="E76">
        <f>PEC_Info!E76</f>
        <v>0</v>
      </c>
      <c r="F76" s="372">
        <f xml:space="preserve"> IF(AND(D76 &lt;&gt; 2020, OR(A76 = "NATGAS", A76 = "STEAM_COAL", A76 = "COKING_COAL")), PEC_Info_Scen_assumptions!$C$5, 1) * PEC_Info!F76</f>
        <v>1094.9291543825591</v>
      </c>
      <c r="G76">
        <f>PEC_Info!G76</f>
        <v>0.2208</v>
      </c>
      <c r="H76">
        <f>PEC_Info!H76</f>
        <v>400</v>
      </c>
      <c r="I76" s="372">
        <f xml:space="preserve"> IF(AND(D76 &lt;&gt; 2020, OR(A76 = "NATGAS", A76 = "STEAM_COAL", A76 = "COKING_COAL")), PEC_Info_Scen_assumptions!$C$5, 1) * PEC_Info!I76</f>
        <v>3153.2293192562993</v>
      </c>
      <c r="J76">
        <f>PEC_Info!J76</f>
        <v>0.15000000000000002</v>
      </c>
      <c r="K76">
        <f>PEC_Info!K76</f>
        <v>400</v>
      </c>
    </row>
    <row r="77" spans="1:11">
      <c r="A77" t="str">
        <f>PEC_Info!A77</f>
        <v>STEAM_COAL</v>
      </c>
      <c r="B77" t="str">
        <f>PEC_Info!B77</f>
        <v>INDIA</v>
      </c>
      <c r="C77" t="str">
        <f xml:space="preserve"> IF(ISBLANK(PEC_Info!C77), "", PEC_Info!C77)</f>
        <v>NR</v>
      </c>
      <c r="D77">
        <f>PEC_Info!D77</f>
        <v>2025</v>
      </c>
      <c r="E77">
        <f>PEC_Info!E77</f>
        <v>0</v>
      </c>
      <c r="F77" s="372">
        <f xml:space="preserve"> IF(AND(D77 &lt;&gt; 2020, OR(A77 = "NATGAS", A77 = "STEAM_COAL", A77 = "COKING_COAL")), PEC_Info_Scen_assumptions!$C$5, 1) * PEC_Info!F77</f>
        <v>1094.9291543825591</v>
      </c>
      <c r="G77">
        <f>PEC_Info!G77</f>
        <v>0.2208</v>
      </c>
      <c r="H77">
        <f>PEC_Info!H77</f>
        <v>400</v>
      </c>
      <c r="I77" s="372">
        <f xml:space="preserve"> IF(AND(D77 &lt;&gt; 2020, OR(A77 = "NATGAS", A77 = "STEAM_COAL", A77 = "COKING_COAL")), PEC_Info_Scen_assumptions!$C$5, 1) * PEC_Info!I77</f>
        <v>3153.2293192562993</v>
      </c>
      <c r="J77">
        <f>PEC_Info!J77</f>
        <v>0.15000000000000002</v>
      </c>
      <c r="K77">
        <f>PEC_Info!K77</f>
        <v>400</v>
      </c>
    </row>
    <row r="78" spans="1:11">
      <c r="A78" t="str">
        <f>PEC_Info!A78</f>
        <v>STEAM_COAL</v>
      </c>
      <c r="B78" t="str">
        <f>PEC_Info!B78</f>
        <v>INDIA</v>
      </c>
      <c r="C78" t="str">
        <f xml:space="preserve"> IF(ISBLANK(PEC_Info!C78), "", PEC_Info!C78)</f>
        <v>SR</v>
      </c>
      <c r="D78">
        <f>PEC_Info!D78</f>
        <v>2025</v>
      </c>
      <c r="E78">
        <f>PEC_Info!E78</f>
        <v>0</v>
      </c>
      <c r="F78" s="372">
        <f xml:space="preserve"> IF(AND(D78 &lt;&gt; 2020, OR(A78 = "NATGAS", A78 = "STEAM_COAL", A78 = "COKING_COAL")), PEC_Info_Scen_assumptions!$C$5, 1) * PEC_Info!F78</f>
        <v>1094.9291543825591</v>
      </c>
      <c r="G78">
        <f>PEC_Info!G78</f>
        <v>0.2208</v>
      </c>
      <c r="H78">
        <f>PEC_Info!H78</f>
        <v>400</v>
      </c>
      <c r="I78" s="372">
        <f xml:space="preserve"> IF(AND(D78 &lt;&gt; 2020, OR(A78 = "NATGAS", A78 = "STEAM_COAL", A78 = "COKING_COAL")), PEC_Info_Scen_assumptions!$C$5, 1) * PEC_Info!I78</f>
        <v>3153.2293192562993</v>
      </c>
      <c r="J78">
        <f>PEC_Info!J78</f>
        <v>0.15000000000000002</v>
      </c>
      <c r="K78">
        <f>PEC_Info!K78</f>
        <v>400</v>
      </c>
    </row>
    <row r="79" spans="1:11">
      <c r="A79" t="str">
        <f>PEC_Info!A79</f>
        <v>STEAM_COAL</v>
      </c>
      <c r="B79" t="str">
        <f>PEC_Info!B79</f>
        <v>INDIA</v>
      </c>
      <c r="C79" t="str">
        <f xml:space="preserve"> IF(ISBLANK(PEC_Info!C79), "", PEC_Info!C79)</f>
        <v>NER</v>
      </c>
      <c r="D79">
        <f>PEC_Info!D79</f>
        <v>2025</v>
      </c>
      <c r="E79">
        <f>PEC_Info!E79</f>
        <v>0</v>
      </c>
      <c r="F79" s="372">
        <f xml:space="preserve"> IF(AND(D79 &lt;&gt; 2020, OR(A79 = "NATGAS", A79 = "STEAM_COAL", A79 = "COKING_COAL")), PEC_Info_Scen_assumptions!$C$5, 1) * PEC_Info!F79</f>
        <v>1094.9291543825591</v>
      </c>
      <c r="G79">
        <f>PEC_Info!G79</f>
        <v>0.2208</v>
      </c>
      <c r="H79">
        <f>PEC_Info!H79</f>
        <v>400</v>
      </c>
      <c r="I79" s="372">
        <f xml:space="preserve"> IF(AND(D79 &lt;&gt; 2020, OR(A79 = "NATGAS", A79 = "STEAM_COAL", A79 = "COKING_COAL")), PEC_Info_Scen_assumptions!$C$5, 1) * PEC_Info!I79</f>
        <v>3153.2293192562993</v>
      </c>
      <c r="J79">
        <f>PEC_Info!J79</f>
        <v>0.15000000000000002</v>
      </c>
      <c r="K79">
        <f>PEC_Info!K79</f>
        <v>400</v>
      </c>
    </row>
    <row r="80" spans="1:11">
      <c r="A80" t="str">
        <f>PEC_Info!A80</f>
        <v>STEAM_COAL</v>
      </c>
      <c r="B80" t="str">
        <f>PEC_Info!B80</f>
        <v>INDIA</v>
      </c>
      <c r="C80" t="str">
        <f xml:space="preserve"> IF(ISBLANK(PEC_Info!C80), "", PEC_Info!C80)</f>
        <v>ER</v>
      </c>
      <c r="D80">
        <f>PEC_Info!D80</f>
        <v>2026</v>
      </c>
      <c r="E80">
        <f>PEC_Info!E80</f>
        <v>0</v>
      </c>
      <c r="F80" s="372">
        <f xml:space="preserve"> IF(AND(D80 &lt;&gt; 2020, OR(A80 = "NATGAS", A80 = "STEAM_COAL", A80 = "COKING_COAL")), PEC_Info_Scen_assumptions!$C$5, 1) * PEC_Info!F80</f>
        <v>1105.878445926385</v>
      </c>
      <c r="G80">
        <f>PEC_Info!G80</f>
        <v>0.2208</v>
      </c>
      <c r="H80">
        <f>PEC_Info!H80</f>
        <v>400</v>
      </c>
      <c r="I80" s="372">
        <f xml:space="preserve"> IF(AND(D80 &lt;&gt; 2020, OR(A80 = "NATGAS", A80 = "STEAM_COAL", A80 = "COKING_COAL")), PEC_Info_Scen_assumptions!$C$5, 1) * PEC_Info!I80</f>
        <v>3169.7652415453467</v>
      </c>
      <c r="J80">
        <f>PEC_Info!J80</f>
        <v>0.15000000000000002</v>
      </c>
      <c r="K80">
        <f>PEC_Info!K80</f>
        <v>400</v>
      </c>
    </row>
    <row r="81" spans="1:11">
      <c r="A81" t="str">
        <f>PEC_Info!A81</f>
        <v>STEAM_COAL</v>
      </c>
      <c r="B81" t="str">
        <f>PEC_Info!B81</f>
        <v>INDIA</v>
      </c>
      <c r="C81" t="str">
        <f xml:space="preserve"> IF(ISBLANK(PEC_Info!C81), "", PEC_Info!C81)</f>
        <v>WR</v>
      </c>
      <c r="D81">
        <f>PEC_Info!D81</f>
        <v>2026</v>
      </c>
      <c r="E81">
        <f>PEC_Info!E81</f>
        <v>0</v>
      </c>
      <c r="F81" s="372">
        <f xml:space="preserve"> IF(AND(D81 &lt;&gt; 2020, OR(A81 = "NATGAS", A81 = "STEAM_COAL", A81 = "COKING_COAL")), PEC_Info_Scen_assumptions!$C$5, 1) * PEC_Info!F81</f>
        <v>1105.878445926385</v>
      </c>
      <c r="G81">
        <f>PEC_Info!G81</f>
        <v>0.2208</v>
      </c>
      <c r="H81">
        <f>PEC_Info!H81</f>
        <v>400</v>
      </c>
      <c r="I81" s="372">
        <f xml:space="preserve"> IF(AND(D81 &lt;&gt; 2020, OR(A81 = "NATGAS", A81 = "STEAM_COAL", A81 = "COKING_COAL")), PEC_Info_Scen_assumptions!$C$5, 1) * PEC_Info!I81</f>
        <v>3169.7652415453467</v>
      </c>
      <c r="J81">
        <f>PEC_Info!J81</f>
        <v>0.15000000000000002</v>
      </c>
      <c r="K81">
        <f>PEC_Info!K81</f>
        <v>400</v>
      </c>
    </row>
    <row r="82" spans="1:11">
      <c r="A82" t="str">
        <f>PEC_Info!A82</f>
        <v>STEAM_COAL</v>
      </c>
      <c r="B82" t="str">
        <f>PEC_Info!B82</f>
        <v>INDIA</v>
      </c>
      <c r="C82" t="str">
        <f xml:space="preserve"> IF(ISBLANK(PEC_Info!C82), "", PEC_Info!C82)</f>
        <v>NR</v>
      </c>
      <c r="D82">
        <f>PEC_Info!D82</f>
        <v>2026</v>
      </c>
      <c r="E82">
        <f>PEC_Info!E82</f>
        <v>0</v>
      </c>
      <c r="F82" s="372">
        <f xml:space="preserve"> IF(AND(D82 &lt;&gt; 2020, OR(A82 = "NATGAS", A82 = "STEAM_COAL", A82 = "COKING_COAL")), PEC_Info_Scen_assumptions!$C$5, 1) * PEC_Info!F82</f>
        <v>1105.878445926385</v>
      </c>
      <c r="G82">
        <f>PEC_Info!G82</f>
        <v>0.2208</v>
      </c>
      <c r="H82">
        <f>PEC_Info!H82</f>
        <v>400</v>
      </c>
      <c r="I82" s="372">
        <f xml:space="preserve"> IF(AND(D82 &lt;&gt; 2020, OR(A82 = "NATGAS", A82 = "STEAM_COAL", A82 = "COKING_COAL")), PEC_Info_Scen_assumptions!$C$5, 1) * PEC_Info!I82</f>
        <v>3169.7652415453467</v>
      </c>
      <c r="J82">
        <f>PEC_Info!J82</f>
        <v>0.15000000000000002</v>
      </c>
      <c r="K82">
        <f>PEC_Info!K82</f>
        <v>400</v>
      </c>
    </row>
    <row r="83" spans="1:11">
      <c r="A83" t="str">
        <f>PEC_Info!A83</f>
        <v>STEAM_COAL</v>
      </c>
      <c r="B83" t="str">
        <f>PEC_Info!B83</f>
        <v>INDIA</v>
      </c>
      <c r="C83" t="str">
        <f xml:space="preserve"> IF(ISBLANK(PEC_Info!C83), "", PEC_Info!C83)</f>
        <v>SR</v>
      </c>
      <c r="D83">
        <f>PEC_Info!D83</f>
        <v>2026</v>
      </c>
      <c r="E83">
        <f>PEC_Info!E83</f>
        <v>0</v>
      </c>
      <c r="F83" s="372">
        <f xml:space="preserve"> IF(AND(D83 &lt;&gt; 2020, OR(A83 = "NATGAS", A83 = "STEAM_COAL", A83 = "COKING_COAL")), PEC_Info_Scen_assumptions!$C$5, 1) * PEC_Info!F83</f>
        <v>1105.878445926385</v>
      </c>
      <c r="G83">
        <f>PEC_Info!G83</f>
        <v>0.2208</v>
      </c>
      <c r="H83">
        <f>PEC_Info!H83</f>
        <v>400</v>
      </c>
      <c r="I83" s="372">
        <f xml:space="preserve"> IF(AND(D83 &lt;&gt; 2020, OR(A83 = "NATGAS", A83 = "STEAM_COAL", A83 = "COKING_COAL")), PEC_Info_Scen_assumptions!$C$5, 1) * PEC_Info!I83</f>
        <v>3169.7652415453467</v>
      </c>
      <c r="J83">
        <f>PEC_Info!J83</f>
        <v>0.15000000000000002</v>
      </c>
      <c r="K83">
        <f>PEC_Info!K83</f>
        <v>400</v>
      </c>
    </row>
    <row r="84" spans="1:11">
      <c r="A84" t="str">
        <f>PEC_Info!A84</f>
        <v>STEAM_COAL</v>
      </c>
      <c r="B84" t="str">
        <f>PEC_Info!B84</f>
        <v>INDIA</v>
      </c>
      <c r="C84" t="str">
        <f xml:space="preserve"> IF(ISBLANK(PEC_Info!C84), "", PEC_Info!C84)</f>
        <v>NER</v>
      </c>
      <c r="D84">
        <f>PEC_Info!D84</f>
        <v>2026</v>
      </c>
      <c r="E84">
        <f>PEC_Info!E84</f>
        <v>0</v>
      </c>
      <c r="F84" s="372">
        <f xml:space="preserve"> IF(AND(D84 &lt;&gt; 2020, OR(A84 = "NATGAS", A84 = "STEAM_COAL", A84 = "COKING_COAL")), PEC_Info_Scen_assumptions!$C$5, 1) * PEC_Info!F84</f>
        <v>1105.878445926385</v>
      </c>
      <c r="G84">
        <f>PEC_Info!G84</f>
        <v>0.2208</v>
      </c>
      <c r="H84">
        <f>PEC_Info!H84</f>
        <v>400</v>
      </c>
      <c r="I84" s="372">
        <f xml:space="preserve"> IF(AND(D84 &lt;&gt; 2020, OR(A84 = "NATGAS", A84 = "STEAM_COAL", A84 = "COKING_COAL")), PEC_Info_Scen_assumptions!$C$5, 1) * PEC_Info!I84</f>
        <v>3169.7652415453467</v>
      </c>
      <c r="J84">
        <f>PEC_Info!J84</f>
        <v>0.15000000000000002</v>
      </c>
      <c r="K84">
        <f>PEC_Info!K84</f>
        <v>400</v>
      </c>
    </row>
    <row r="85" spans="1:11">
      <c r="A85" t="str">
        <f>PEC_Info!A85</f>
        <v>STEAM_COAL</v>
      </c>
      <c r="B85" t="str">
        <f>PEC_Info!B85</f>
        <v>INDIA</v>
      </c>
      <c r="C85" t="str">
        <f xml:space="preserve"> IF(ISBLANK(PEC_Info!C85), "", PEC_Info!C85)</f>
        <v>ER</v>
      </c>
      <c r="D85">
        <f>PEC_Info!D85</f>
        <v>2027</v>
      </c>
      <c r="E85">
        <f>PEC_Info!E85</f>
        <v>0</v>
      </c>
      <c r="F85" s="372">
        <f xml:space="preserve"> IF(AND(D85 &lt;&gt; 2020, OR(A85 = "NATGAS", A85 = "STEAM_COAL", A85 = "COKING_COAL")), PEC_Info_Scen_assumptions!$C$5, 1) * PEC_Info!F85</f>
        <v>1116.9372303856487</v>
      </c>
      <c r="G85">
        <f>PEC_Info!G85</f>
        <v>0.2208</v>
      </c>
      <c r="H85">
        <f>PEC_Info!H85</f>
        <v>400</v>
      </c>
      <c r="I85" s="372">
        <f xml:space="preserve"> IF(AND(D85 &lt;&gt; 2020, OR(A85 = "NATGAS", A85 = "STEAM_COAL", A85 = "COKING_COAL")), PEC_Info_Scen_assumptions!$C$5, 1) * PEC_Info!I85</f>
        <v>3185.5034037043042</v>
      </c>
      <c r="J85">
        <f>PEC_Info!J85</f>
        <v>0.15000000000000002</v>
      </c>
      <c r="K85">
        <f>PEC_Info!K85</f>
        <v>400</v>
      </c>
    </row>
    <row r="86" spans="1:11">
      <c r="A86" t="str">
        <f>PEC_Info!A86</f>
        <v>STEAM_COAL</v>
      </c>
      <c r="B86" t="str">
        <f>PEC_Info!B86</f>
        <v>INDIA</v>
      </c>
      <c r="C86" t="str">
        <f xml:space="preserve"> IF(ISBLANK(PEC_Info!C86), "", PEC_Info!C86)</f>
        <v>WR</v>
      </c>
      <c r="D86">
        <f>PEC_Info!D86</f>
        <v>2027</v>
      </c>
      <c r="E86">
        <f>PEC_Info!E86</f>
        <v>0</v>
      </c>
      <c r="F86" s="372">
        <f xml:space="preserve"> IF(AND(D86 &lt;&gt; 2020, OR(A86 = "NATGAS", A86 = "STEAM_COAL", A86 = "COKING_COAL")), PEC_Info_Scen_assumptions!$C$5, 1) * PEC_Info!F86</f>
        <v>1116.9372303856487</v>
      </c>
      <c r="G86">
        <f>PEC_Info!G86</f>
        <v>0.2208</v>
      </c>
      <c r="H86">
        <f>PEC_Info!H86</f>
        <v>400</v>
      </c>
      <c r="I86" s="372">
        <f xml:space="preserve"> IF(AND(D86 &lt;&gt; 2020, OR(A86 = "NATGAS", A86 = "STEAM_COAL", A86 = "COKING_COAL")), PEC_Info_Scen_assumptions!$C$5, 1) * PEC_Info!I86</f>
        <v>3185.5034037043042</v>
      </c>
      <c r="J86">
        <f>PEC_Info!J86</f>
        <v>0.15000000000000002</v>
      </c>
      <c r="K86">
        <f>PEC_Info!K86</f>
        <v>400</v>
      </c>
    </row>
    <row r="87" spans="1:11">
      <c r="A87" t="str">
        <f>PEC_Info!A87</f>
        <v>STEAM_COAL</v>
      </c>
      <c r="B87" t="str">
        <f>PEC_Info!B87</f>
        <v>INDIA</v>
      </c>
      <c r="C87" t="str">
        <f xml:space="preserve"> IF(ISBLANK(PEC_Info!C87), "", PEC_Info!C87)</f>
        <v>NR</v>
      </c>
      <c r="D87">
        <f>PEC_Info!D87</f>
        <v>2027</v>
      </c>
      <c r="E87">
        <f>PEC_Info!E87</f>
        <v>0</v>
      </c>
      <c r="F87" s="372">
        <f xml:space="preserve"> IF(AND(D87 &lt;&gt; 2020, OR(A87 = "NATGAS", A87 = "STEAM_COAL", A87 = "COKING_COAL")), PEC_Info_Scen_assumptions!$C$5, 1) * PEC_Info!F87</f>
        <v>1116.9372303856487</v>
      </c>
      <c r="G87">
        <f>PEC_Info!G87</f>
        <v>0.2208</v>
      </c>
      <c r="H87">
        <f>PEC_Info!H87</f>
        <v>400</v>
      </c>
      <c r="I87" s="372">
        <f xml:space="preserve"> IF(AND(D87 &lt;&gt; 2020, OR(A87 = "NATGAS", A87 = "STEAM_COAL", A87 = "COKING_COAL")), PEC_Info_Scen_assumptions!$C$5, 1) * PEC_Info!I87</f>
        <v>3185.5034037043042</v>
      </c>
      <c r="J87">
        <f>PEC_Info!J87</f>
        <v>0.15000000000000002</v>
      </c>
      <c r="K87">
        <f>PEC_Info!K87</f>
        <v>400</v>
      </c>
    </row>
    <row r="88" spans="1:11">
      <c r="A88" t="str">
        <f>PEC_Info!A88</f>
        <v>STEAM_COAL</v>
      </c>
      <c r="B88" t="str">
        <f>PEC_Info!B88</f>
        <v>INDIA</v>
      </c>
      <c r="C88" t="str">
        <f xml:space="preserve"> IF(ISBLANK(PEC_Info!C88), "", PEC_Info!C88)</f>
        <v>SR</v>
      </c>
      <c r="D88">
        <f>PEC_Info!D88</f>
        <v>2027</v>
      </c>
      <c r="E88">
        <f>PEC_Info!E88</f>
        <v>0</v>
      </c>
      <c r="F88" s="372">
        <f xml:space="preserve"> IF(AND(D88 &lt;&gt; 2020, OR(A88 = "NATGAS", A88 = "STEAM_COAL", A88 = "COKING_COAL")), PEC_Info_Scen_assumptions!$C$5, 1) * PEC_Info!F88</f>
        <v>1116.9372303856487</v>
      </c>
      <c r="G88">
        <f>PEC_Info!G88</f>
        <v>0.2208</v>
      </c>
      <c r="H88">
        <f>PEC_Info!H88</f>
        <v>400</v>
      </c>
      <c r="I88" s="372">
        <f xml:space="preserve"> IF(AND(D88 &lt;&gt; 2020, OR(A88 = "NATGAS", A88 = "STEAM_COAL", A88 = "COKING_COAL")), PEC_Info_Scen_assumptions!$C$5, 1) * PEC_Info!I88</f>
        <v>3185.5034037043042</v>
      </c>
      <c r="J88">
        <f>PEC_Info!J88</f>
        <v>0.15000000000000002</v>
      </c>
      <c r="K88">
        <f>PEC_Info!K88</f>
        <v>400</v>
      </c>
    </row>
    <row r="89" spans="1:11">
      <c r="A89" t="str">
        <f>PEC_Info!A89</f>
        <v>STEAM_COAL</v>
      </c>
      <c r="B89" t="str">
        <f>PEC_Info!B89</f>
        <v>INDIA</v>
      </c>
      <c r="C89" t="str">
        <f xml:space="preserve"> IF(ISBLANK(PEC_Info!C89), "", PEC_Info!C89)</f>
        <v>NER</v>
      </c>
      <c r="D89">
        <f>PEC_Info!D89</f>
        <v>2027</v>
      </c>
      <c r="E89">
        <f>PEC_Info!E89</f>
        <v>0</v>
      </c>
      <c r="F89" s="372">
        <f xml:space="preserve"> IF(AND(D89 &lt;&gt; 2020, OR(A89 = "NATGAS", A89 = "STEAM_COAL", A89 = "COKING_COAL")), PEC_Info_Scen_assumptions!$C$5, 1) * PEC_Info!F89</f>
        <v>1116.9372303856487</v>
      </c>
      <c r="G89">
        <f>PEC_Info!G89</f>
        <v>0.2208</v>
      </c>
      <c r="H89">
        <f>PEC_Info!H89</f>
        <v>400</v>
      </c>
      <c r="I89" s="372">
        <f xml:space="preserve"> IF(AND(D89 &lt;&gt; 2020, OR(A89 = "NATGAS", A89 = "STEAM_COAL", A89 = "COKING_COAL")), PEC_Info_Scen_assumptions!$C$5, 1) * PEC_Info!I89</f>
        <v>3185.5034037043042</v>
      </c>
      <c r="J89">
        <f>PEC_Info!J89</f>
        <v>0.15000000000000002</v>
      </c>
      <c r="K89">
        <f>PEC_Info!K89</f>
        <v>400</v>
      </c>
    </row>
    <row r="90" spans="1:11">
      <c r="A90" t="str">
        <f>PEC_Info!A90</f>
        <v>STEAM_COAL</v>
      </c>
      <c r="B90" t="str">
        <f>PEC_Info!B90</f>
        <v>INDIA</v>
      </c>
      <c r="C90" t="str">
        <f xml:space="preserve"> IF(ISBLANK(PEC_Info!C90), "", PEC_Info!C90)</f>
        <v>ER</v>
      </c>
      <c r="D90">
        <f>PEC_Info!D90</f>
        <v>2028</v>
      </c>
      <c r="E90">
        <f>PEC_Info!E90</f>
        <v>0</v>
      </c>
      <c r="F90" s="372">
        <f xml:space="preserve"> IF(AND(D90 &lt;&gt; 2020, OR(A90 = "NATGAS", A90 = "STEAM_COAL", A90 = "COKING_COAL")), PEC_Info_Scen_assumptions!$C$5, 1) * PEC_Info!F90</f>
        <v>1128.1066026895053</v>
      </c>
      <c r="G90">
        <f>PEC_Info!G90</f>
        <v>0.2208</v>
      </c>
      <c r="H90">
        <f>PEC_Info!H90</f>
        <v>400</v>
      </c>
      <c r="I90" s="372">
        <f xml:space="preserve"> IF(AND(D90 &lt;&gt; 2020, OR(A90 = "NATGAS", A90 = "STEAM_COAL", A90 = "COKING_COAL")), PEC_Info_Scen_assumptions!$C$5, 1) * PEC_Info!I90</f>
        <v>3201.319707217358</v>
      </c>
      <c r="J90">
        <f>PEC_Info!J90</f>
        <v>0.15000000000000002</v>
      </c>
      <c r="K90">
        <f>PEC_Info!K90</f>
        <v>400</v>
      </c>
    </row>
    <row r="91" spans="1:11">
      <c r="A91" t="str">
        <f>PEC_Info!A91</f>
        <v>STEAM_COAL</v>
      </c>
      <c r="B91" t="str">
        <f>PEC_Info!B91</f>
        <v>INDIA</v>
      </c>
      <c r="C91" t="str">
        <f xml:space="preserve"> IF(ISBLANK(PEC_Info!C91), "", PEC_Info!C91)</f>
        <v>WR</v>
      </c>
      <c r="D91">
        <f>PEC_Info!D91</f>
        <v>2028</v>
      </c>
      <c r="E91">
        <f>PEC_Info!E91</f>
        <v>0</v>
      </c>
      <c r="F91" s="372">
        <f xml:space="preserve"> IF(AND(D91 &lt;&gt; 2020, OR(A91 = "NATGAS", A91 = "STEAM_COAL", A91 = "COKING_COAL")), PEC_Info_Scen_assumptions!$C$5, 1) * PEC_Info!F91</f>
        <v>1128.1066026895053</v>
      </c>
      <c r="G91">
        <f>PEC_Info!G91</f>
        <v>0.2208</v>
      </c>
      <c r="H91">
        <f>PEC_Info!H91</f>
        <v>400</v>
      </c>
      <c r="I91" s="372">
        <f xml:space="preserve"> IF(AND(D91 &lt;&gt; 2020, OR(A91 = "NATGAS", A91 = "STEAM_COAL", A91 = "COKING_COAL")), PEC_Info_Scen_assumptions!$C$5, 1) * PEC_Info!I91</f>
        <v>3201.319707217358</v>
      </c>
      <c r="J91">
        <f>PEC_Info!J91</f>
        <v>0.15000000000000002</v>
      </c>
      <c r="K91">
        <f>PEC_Info!K91</f>
        <v>400</v>
      </c>
    </row>
    <row r="92" spans="1:11">
      <c r="A92" t="str">
        <f>PEC_Info!A92</f>
        <v>STEAM_COAL</v>
      </c>
      <c r="B92" t="str">
        <f>PEC_Info!B92</f>
        <v>INDIA</v>
      </c>
      <c r="C92" t="str">
        <f xml:space="preserve"> IF(ISBLANK(PEC_Info!C92), "", PEC_Info!C92)</f>
        <v>NR</v>
      </c>
      <c r="D92">
        <f>PEC_Info!D92</f>
        <v>2028</v>
      </c>
      <c r="E92">
        <f>PEC_Info!E92</f>
        <v>0</v>
      </c>
      <c r="F92" s="372">
        <f xml:space="preserve"> IF(AND(D92 &lt;&gt; 2020, OR(A92 = "NATGAS", A92 = "STEAM_COAL", A92 = "COKING_COAL")), PEC_Info_Scen_assumptions!$C$5, 1) * PEC_Info!F92</f>
        <v>1128.1066026895053</v>
      </c>
      <c r="G92">
        <f>PEC_Info!G92</f>
        <v>0.2208</v>
      </c>
      <c r="H92">
        <f>PEC_Info!H92</f>
        <v>400</v>
      </c>
      <c r="I92" s="372">
        <f xml:space="preserve"> IF(AND(D92 &lt;&gt; 2020, OR(A92 = "NATGAS", A92 = "STEAM_COAL", A92 = "COKING_COAL")), PEC_Info_Scen_assumptions!$C$5, 1) * PEC_Info!I92</f>
        <v>3201.319707217358</v>
      </c>
      <c r="J92">
        <f>PEC_Info!J92</f>
        <v>0.15000000000000002</v>
      </c>
      <c r="K92">
        <f>PEC_Info!K92</f>
        <v>400</v>
      </c>
    </row>
    <row r="93" spans="1:11">
      <c r="A93" t="str">
        <f>PEC_Info!A93</f>
        <v>STEAM_COAL</v>
      </c>
      <c r="B93" t="str">
        <f>PEC_Info!B93</f>
        <v>INDIA</v>
      </c>
      <c r="C93" t="str">
        <f xml:space="preserve"> IF(ISBLANK(PEC_Info!C93), "", PEC_Info!C93)</f>
        <v>SR</v>
      </c>
      <c r="D93">
        <f>PEC_Info!D93</f>
        <v>2028</v>
      </c>
      <c r="E93">
        <f>PEC_Info!E93</f>
        <v>0</v>
      </c>
      <c r="F93" s="372">
        <f xml:space="preserve"> IF(AND(D93 &lt;&gt; 2020, OR(A93 = "NATGAS", A93 = "STEAM_COAL", A93 = "COKING_COAL")), PEC_Info_Scen_assumptions!$C$5, 1) * PEC_Info!F93</f>
        <v>1128.1066026895053</v>
      </c>
      <c r="G93">
        <f>PEC_Info!G93</f>
        <v>0.2208</v>
      </c>
      <c r="H93">
        <f>PEC_Info!H93</f>
        <v>400</v>
      </c>
      <c r="I93" s="372">
        <f xml:space="preserve"> IF(AND(D93 &lt;&gt; 2020, OR(A93 = "NATGAS", A93 = "STEAM_COAL", A93 = "COKING_COAL")), PEC_Info_Scen_assumptions!$C$5, 1) * PEC_Info!I93</f>
        <v>3201.319707217358</v>
      </c>
      <c r="J93">
        <f>PEC_Info!J93</f>
        <v>0.15000000000000002</v>
      </c>
      <c r="K93">
        <f>PEC_Info!K93</f>
        <v>400</v>
      </c>
    </row>
    <row r="94" spans="1:11">
      <c r="A94" t="str">
        <f>PEC_Info!A94</f>
        <v>STEAM_COAL</v>
      </c>
      <c r="B94" t="str">
        <f>PEC_Info!B94</f>
        <v>INDIA</v>
      </c>
      <c r="C94" t="str">
        <f xml:space="preserve"> IF(ISBLANK(PEC_Info!C94), "", PEC_Info!C94)</f>
        <v>NER</v>
      </c>
      <c r="D94">
        <f>PEC_Info!D94</f>
        <v>2028</v>
      </c>
      <c r="E94">
        <f>PEC_Info!E94</f>
        <v>0</v>
      </c>
      <c r="F94" s="372">
        <f xml:space="preserve"> IF(AND(D94 &lt;&gt; 2020, OR(A94 = "NATGAS", A94 = "STEAM_COAL", A94 = "COKING_COAL")), PEC_Info_Scen_assumptions!$C$5, 1) * PEC_Info!F94</f>
        <v>1128.1066026895053</v>
      </c>
      <c r="G94">
        <f>PEC_Info!G94</f>
        <v>0.2208</v>
      </c>
      <c r="H94">
        <f>PEC_Info!H94</f>
        <v>400</v>
      </c>
      <c r="I94" s="372">
        <f xml:space="preserve"> IF(AND(D94 &lt;&gt; 2020, OR(A94 = "NATGAS", A94 = "STEAM_COAL", A94 = "COKING_COAL")), PEC_Info_Scen_assumptions!$C$5, 1) * PEC_Info!I94</f>
        <v>3201.319707217358</v>
      </c>
      <c r="J94">
        <f>PEC_Info!J94</f>
        <v>0.15000000000000002</v>
      </c>
      <c r="K94">
        <f>PEC_Info!K94</f>
        <v>400</v>
      </c>
    </row>
    <row r="95" spans="1:11">
      <c r="A95" t="str">
        <f>PEC_Info!A95</f>
        <v>STEAM_COAL</v>
      </c>
      <c r="B95" t="str">
        <f>PEC_Info!B95</f>
        <v>INDIA</v>
      </c>
      <c r="C95" t="str">
        <f xml:space="preserve"> IF(ISBLANK(PEC_Info!C95), "", PEC_Info!C95)</f>
        <v>ER</v>
      </c>
      <c r="D95">
        <f>PEC_Info!D95</f>
        <v>2029</v>
      </c>
      <c r="E95">
        <f>PEC_Info!E95</f>
        <v>0</v>
      </c>
      <c r="F95" s="372">
        <f xml:space="preserve"> IF(AND(D95 &lt;&gt; 2020, OR(A95 = "NATGAS", A95 = "STEAM_COAL", A95 = "COKING_COAL")), PEC_Info_Scen_assumptions!$C$5, 1) * PEC_Info!F95</f>
        <v>1139.3876687164004</v>
      </c>
      <c r="G95">
        <f>PEC_Info!G95</f>
        <v>0.2208</v>
      </c>
      <c r="H95">
        <f>PEC_Info!H95</f>
        <v>400</v>
      </c>
      <c r="I95" s="372">
        <f xml:space="preserve"> IF(AND(D95 &lt;&gt; 2020, OR(A95 = "NATGAS", A95 = "STEAM_COAL", A95 = "COKING_COAL")), PEC_Info_Scen_assumptions!$C$5, 1) * PEC_Info!I95</f>
        <v>3217.2145400631771</v>
      </c>
      <c r="J95">
        <f>PEC_Info!J95</f>
        <v>0.15000000000000002</v>
      </c>
      <c r="K95">
        <f>PEC_Info!K95</f>
        <v>400</v>
      </c>
    </row>
    <row r="96" spans="1:11">
      <c r="A96" t="str">
        <f>PEC_Info!A96</f>
        <v>STEAM_COAL</v>
      </c>
      <c r="B96" t="str">
        <f>PEC_Info!B96</f>
        <v>INDIA</v>
      </c>
      <c r="C96" t="str">
        <f xml:space="preserve"> IF(ISBLANK(PEC_Info!C96), "", PEC_Info!C96)</f>
        <v>WR</v>
      </c>
      <c r="D96">
        <f>PEC_Info!D96</f>
        <v>2029</v>
      </c>
      <c r="E96">
        <f>PEC_Info!E96</f>
        <v>0</v>
      </c>
      <c r="F96" s="372">
        <f xml:space="preserve"> IF(AND(D96 &lt;&gt; 2020, OR(A96 = "NATGAS", A96 = "STEAM_COAL", A96 = "COKING_COAL")), PEC_Info_Scen_assumptions!$C$5, 1) * PEC_Info!F96</f>
        <v>1139.3876687164004</v>
      </c>
      <c r="G96">
        <f>PEC_Info!G96</f>
        <v>0.2208</v>
      </c>
      <c r="H96">
        <f>PEC_Info!H96</f>
        <v>400</v>
      </c>
      <c r="I96" s="372">
        <f xml:space="preserve"> IF(AND(D96 &lt;&gt; 2020, OR(A96 = "NATGAS", A96 = "STEAM_COAL", A96 = "COKING_COAL")), PEC_Info_Scen_assumptions!$C$5, 1) * PEC_Info!I96</f>
        <v>3217.2145400631771</v>
      </c>
      <c r="J96">
        <f>PEC_Info!J96</f>
        <v>0.15000000000000002</v>
      </c>
      <c r="K96">
        <f>PEC_Info!K96</f>
        <v>400</v>
      </c>
    </row>
    <row r="97" spans="1:11">
      <c r="A97" t="str">
        <f>PEC_Info!A97</f>
        <v>STEAM_COAL</v>
      </c>
      <c r="B97" t="str">
        <f>PEC_Info!B97</f>
        <v>INDIA</v>
      </c>
      <c r="C97" t="str">
        <f xml:space="preserve"> IF(ISBLANK(PEC_Info!C97), "", PEC_Info!C97)</f>
        <v>NR</v>
      </c>
      <c r="D97">
        <f>PEC_Info!D97</f>
        <v>2029</v>
      </c>
      <c r="E97">
        <f>PEC_Info!E97</f>
        <v>0</v>
      </c>
      <c r="F97" s="372">
        <f xml:space="preserve"> IF(AND(D97 &lt;&gt; 2020, OR(A97 = "NATGAS", A97 = "STEAM_COAL", A97 = "COKING_COAL")), PEC_Info_Scen_assumptions!$C$5, 1) * PEC_Info!F97</f>
        <v>1139.3876687164004</v>
      </c>
      <c r="G97">
        <f>PEC_Info!G97</f>
        <v>0.2208</v>
      </c>
      <c r="H97">
        <f>PEC_Info!H97</f>
        <v>400</v>
      </c>
      <c r="I97" s="372">
        <f xml:space="preserve"> IF(AND(D97 &lt;&gt; 2020, OR(A97 = "NATGAS", A97 = "STEAM_COAL", A97 = "COKING_COAL")), PEC_Info_Scen_assumptions!$C$5, 1) * PEC_Info!I97</f>
        <v>3217.2145400631771</v>
      </c>
      <c r="J97">
        <f>PEC_Info!J97</f>
        <v>0.15000000000000002</v>
      </c>
      <c r="K97">
        <f>PEC_Info!K97</f>
        <v>400</v>
      </c>
    </row>
    <row r="98" spans="1:11">
      <c r="A98" t="str">
        <f>PEC_Info!A98</f>
        <v>STEAM_COAL</v>
      </c>
      <c r="B98" t="str">
        <f>PEC_Info!B98</f>
        <v>INDIA</v>
      </c>
      <c r="C98" t="str">
        <f xml:space="preserve"> IF(ISBLANK(PEC_Info!C98), "", PEC_Info!C98)</f>
        <v>SR</v>
      </c>
      <c r="D98">
        <f>PEC_Info!D98</f>
        <v>2029</v>
      </c>
      <c r="E98">
        <f>PEC_Info!E98</f>
        <v>0</v>
      </c>
      <c r="F98" s="372">
        <f xml:space="preserve"> IF(AND(D98 &lt;&gt; 2020, OR(A98 = "NATGAS", A98 = "STEAM_COAL", A98 = "COKING_COAL")), PEC_Info_Scen_assumptions!$C$5, 1) * PEC_Info!F98</f>
        <v>1139.3876687164004</v>
      </c>
      <c r="G98">
        <f>PEC_Info!G98</f>
        <v>0.2208</v>
      </c>
      <c r="H98">
        <f>PEC_Info!H98</f>
        <v>400</v>
      </c>
      <c r="I98" s="372">
        <f xml:space="preserve"> IF(AND(D98 &lt;&gt; 2020, OR(A98 = "NATGAS", A98 = "STEAM_COAL", A98 = "COKING_COAL")), PEC_Info_Scen_assumptions!$C$5, 1) * PEC_Info!I98</f>
        <v>3217.2145400631771</v>
      </c>
      <c r="J98">
        <f>PEC_Info!J98</f>
        <v>0.15000000000000002</v>
      </c>
      <c r="K98">
        <f>PEC_Info!K98</f>
        <v>400</v>
      </c>
    </row>
    <row r="99" spans="1:11">
      <c r="A99" t="str">
        <f>PEC_Info!A99</f>
        <v>STEAM_COAL</v>
      </c>
      <c r="B99" t="str">
        <f>PEC_Info!B99</f>
        <v>INDIA</v>
      </c>
      <c r="C99" t="str">
        <f xml:space="preserve"> IF(ISBLANK(PEC_Info!C99), "", PEC_Info!C99)</f>
        <v>NER</v>
      </c>
      <c r="D99">
        <f>PEC_Info!D99</f>
        <v>2029</v>
      </c>
      <c r="E99">
        <f>PEC_Info!E99</f>
        <v>0</v>
      </c>
      <c r="F99" s="372">
        <f xml:space="preserve"> IF(AND(D99 &lt;&gt; 2020, OR(A99 = "NATGAS", A99 = "STEAM_COAL", A99 = "COKING_COAL")), PEC_Info_Scen_assumptions!$C$5, 1) * PEC_Info!F99</f>
        <v>1139.3876687164004</v>
      </c>
      <c r="G99">
        <f>PEC_Info!G99</f>
        <v>0.2208</v>
      </c>
      <c r="H99">
        <f>PEC_Info!H99</f>
        <v>400</v>
      </c>
      <c r="I99" s="372">
        <f xml:space="preserve"> IF(AND(D99 &lt;&gt; 2020, OR(A99 = "NATGAS", A99 = "STEAM_COAL", A99 = "COKING_COAL")), PEC_Info_Scen_assumptions!$C$5, 1) * PEC_Info!I99</f>
        <v>3217.2145400631771</v>
      </c>
      <c r="J99">
        <f>PEC_Info!J99</f>
        <v>0.15000000000000002</v>
      </c>
      <c r="K99">
        <f>PEC_Info!K99</f>
        <v>400</v>
      </c>
    </row>
    <row r="100" spans="1:11">
      <c r="A100" t="str">
        <f>PEC_Info!A100</f>
        <v>STEAM_COAL</v>
      </c>
      <c r="B100" t="str">
        <f>PEC_Info!B100</f>
        <v>INDIA</v>
      </c>
      <c r="C100" t="str">
        <f xml:space="preserve"> IF(ISBLANK(PEC_Info!C100), "", PEC_Info!C100)</f>
        <v>ER</v>
      </c>
      <c r="D100">
        <f>PEC_Info!D100</f>
        <v>2030</v>
      </c>
      <c r="E100">
        <f>PEC_Info!E100</f>
        <v>0</v>
      </c>
      <c r="F100" s="372">
        <f xml:space="preserve"> IF(AND(D100 &lt;&gt; 2020, OR(A100 = "NATGAS", A100 = "STEAM_COAL", A100 = "COKING_COAL")), PEC_Info_Scen_assumptions!$C$5, 1) * PEC_Info!F100</f>
        <v>1150.7815454035645</v>
      </c>
      <c r="G100">
        <f>PEC_Info!G100</f>
        <v>0.2208</v>
      </c>
      <c r="H100">
        <f>PEC_Info!H100</f>
        <v>400</v>
      </c>
      <c r="I100" s="372">
        <f xml:space="preserve"> IF(AND(D100 &lt;&gt; 2020, OR(A100 = "NATGAS", A100 = "STEAM_COAL", A100 = "COKING_COAL")), PEC_Info_Scen_assumptions!$C$5, 1) * PEC_Info!I100</f>
        <v>3233.1882921467809</v>
      </c>
      <c r="J100">
        <f>PEC_Info!J100</f>
        <v>0.15000000000000002</v>
      </c>
      <c r="K100">
        <f>PEC_Info!K100</f>
        <v>400</v>
      </c>
    </row>
    <row r="101" spans="1:11">
      <c r="A101" t="str">
        <f>PEC_Info!A101</f>
        <v>STEAM_COAL</v>
      </c>
      <c r="B101" t="str">
        <f>PEC_Info!B101</f>
        <v>INDIA</v>
      </c>
      <c r="C101" t="str">
        <f xml:space="preserve"> IF(ISBLANK(PEC_Info!C101), "", PEC_Info!C101)</f>
        <v>WR</v>
      </c>
      <c r="D101">
        <f>PEC_Info!D101</f>
        <v>2030</v>
      </c>
      <c r="E101">
        <f>PEC_Info!E101</f>
        <v>0</v>
      </c>
      <c r="F101" s="372">
        <f xml:space="preserve"> IF(AND(D101 &lt;&gt; 2020, OR(A101 = "NATGAS", A101 = "STEAM_COAL", A101 = "COKING_COAL")), PEC_Info_Scen_assumptions!$C$5, 1) * PEC_Info!F101</f>
        <v>1150.7815454035645</v>
      </c>
      <c r="G101">
        <f>PEC_Info!G101</f>
        <v>0.2208</v>
      </c>
      <c r="H101">
        <f>PEC_Info!H101</f>
        <v>400</v>
      </c>
      <c r="I101" s="372">
        <f xml:space="preserve"> IF(AND(D101 &lt;&gt; 2020, OR(A101 = "NATGAS", A101 = "STEAM_COAL", A101 = "COKING_COAL")), PEC_Info_Scen_assumptions!$C$5, 1) * PEC_Info!I101</f>
        <v>3233.1882921467809</v>
      </c>
      <c r="J101">
        <f>PEC_Info!J101</f>
        <v>0.15000000000000002</v>
      </c>
      <c r="K101">
        <f>PEC_Info!K101</f>
        <v>400</v>
      </c>
    </row>
    <row r="102" spans="1:11">
      <c r="A102" t="str">
        <f>PEC_Info!A102</f>
        <v>STEAM_COAL</v>
      </c>
      <c r="B102" t="str">
        <f>PEC_Info!B102</f>
        <v>INDIA</v>
      </c>
      <c r="C102" t="str">
        <f xml:space="preserve"> IF(ISBLANK(PEC_Info!C102), "", PEC_Info!C102)</f>
        <v>NR</v>
      </c>
      <c r="D102">
        <f>PEC_Info!D102</f>
        <v>2030</v>
      </c>
      <c r="E102">
        <f>PEC_Info!E102</f>
        <v>0</v>
      </c>
      <c r="F102" s="372">
        <f xml:space="preserve"> IF(AND(D102 &lt;&gt; 2020, OR(A102 = "NATGAS", A102 = "STEAM_COAL", A102 = "COKING_COAL")), PEC_Info_Scen_assumptions!$C$5, 1) * PEC_Info!F102</f>
        <v>1150.7815454035645</v>
      </c>
      <c r="G102">
        <f>PEC_Info!G102</f>
        <v>0.2208</v>
      </c>
      <c r="H102">
        <f>PEC_Info!H102</f>
        <v>400</v>
      </c>
      <c r="I102" s="372">
        <f xml:space="preserve"> IF(AND(D102 &lt;&gt; 2020, OR(A102 = "NATGAS", A102 = "STEAM_COAL", A102 = "COKING_COAL")), PEC_Info_Scen_assumptions!$C$5, 1) * PEC_Info!I102</f>
        <v>3233.1882921467809</v>
      </c>
      <c r="J102">
        <f>PEC_Info!J102</f>
        <v>0.15000000000000002</v>
      </c>
      <c r="K102">
        <f>PEC_Info!K102</f>
        <v>400</v>
      </c>
    </row>
    <row r="103" spans="1:11">
      <c r="A103" t="str">
        <f>PEC_Info!A103</f>
        <v>STEAM_COAL</v>
      </c>
      <c r="B103" t="str">
        <f>PEC_Info!B103</f>
        <v>INDIA</v>
      </c>
      <c r="C103" t="str">
        <f xml:space="preserve"> IF(ISBLANK(PEC_Info!C103), "", PEC_Info!C103)</f>
        <v>SR</v>
      </c>
      <c r="D103">
        <f>PEC_Info!D103</f>
        <v>2030</v>
      </c>
      <c r="E103">
        <f>PEC_Info!E103</f>
        <v>0</v>
      </c>
      <c r="F103" s="372">
        <f xml:space="preserve"> IF(AND(D103 &lt;&gt; 2020, OR(A103 = "NATGAS", A103 = "STEAM_COAL", A103 = "COKING_COAL")), PEC_Info_Scen_assumptions!$C$5, 1) * PEC_Info!F103</f>
        <v>1150.7815454035645</v>
      </c>
      <c r="G103">
        <f>PEC_Info!G103</f>
        <v>0.2208</v>
      </c>
      <c r="H103">
        <f>PEC_Info!H103</f>
        <v>400</v>
      </c>
      <c r="I103" s="372">
        <f xml:space="preserve"> IF(AND(D103 &lt;&gt; 2020, OR(A103 = "NATGAS", A103 = "STEAM_COAL", A103 = "COKING_COAL")), PEC_Info_Scen_assumptions!$C$5, 1) * PEC_Info!I103</f>
        <v>3233.1882921467809</v>
      </c>
      <c r="J103">
        <f>PEC_Info!J103</f>
        <v>0.15000000000000002</v>
      </c>
      <c r="K103">
        <f>PEC_Info!K103</f>
        <v>400</v>
      </c>
    </row>
    <row r="104" spans="1:11">
      <c r="A104" t="str">
        <f>PEC_Info!A104</f>
        <v>STEAM_COAL</v>
      </c>
      <c r="B104" t="str">
        <f>PEC_Info!B104</f>
        <v>INDIA</v>
      </c>
      <c r="C104" t="str">
        <f xml:space="preserve"> IF(ISBLANK(PEC_Info!C104), "", PEC_Info!C104)</f>
        <v>NER</v>
      </c>
      <c r="D104">
        <f>PEC_Info!D104</f>
        <v>2030</v>
      </c>
      <c r="E104">
        <f>PEC_Info!E104</f>
        <v>0</v>
      </c>
      <c r="F104" s="372">
        <f xml:space="preserve"> IF(AND(D104 &lt;&gt; 2020, OR(A104 = "NATGAS", A104 = "STEAM_COAL", A104 = "COKING_COAL")), PEC_Info_Scen_assumptions!$C$5, 1) * PEC_Info!F104</f>
        <v>1150.7815454035645</v>
      </c>
      <c r="G104">
        <f>PEC_Info!G104</f>
        <v>0.2208</v>
      </c>
      <c r="H104">
        <f>PEC_Info!H104</f>
        <v>400</v>
      </c>
      <c r="I104" s="372">
        <f xml:space="preserve"> IF(AND(D104 &lt;&gt; 2020, OR(A104 = "NATGAS", A104 = "STEAM_COAL", A104 = "COKING_COAL")), PEC_Info_Scen_assumptions!$C$5, 1) * PEC_Info!I104</f>
        <v>3233.1882921467809</v>
      </c>
      <c r="J104">
        <f>PEC_Info!J104</f>
        <v>0.15000000000000002</v>
      </c>
      <c r="K104">
        <f>PEC_Info!K104</f>
        <v>400</v>
      </c>
    </row>
    <row r="105" spans="1:11">
      <c r="A105" t="str">
        <f>PEC_Info!A105</f>
        <v>STEAM_COAL</v>
      </c>
      <c r="B105" t="str">
        <f>PEC_Info!B105</f>
        <v>INDIA</v>
      </c>
      <c r="C105" t="str">
        <f xml:space="preserve"> IF(ISBLANK(PEC_Info!C105), "", PEC_Info!C105)</f>
        <v>ER</v>
      </c>
      <c r="D105">
        <f>PEC_Info!D105</f>
        <v>2031</v>
      </c>
      <c r="E105">
        <f>PEC_Info!E105</f>
        <v>0</v>
      </c>
      <c r="F105" s="372">
        <f xml:space="preserve"> IF(AND(D105 &lt;&gt; 2020, OR(A105 = "NATGAS", A105 = "STEAM_COAL", A105 = "COKING_COAL")), PEC_Info_Scen_assumptions!$C$5, 1) * PEC_Info!F105</f>
        <v>1162.2893608576003</v>
      </c>
      <c r="G105">
        <f>PEC_Info!G105</f>
        <v>0.2208</v>
      </c>
      <c r="H105">
        <f>PEC_Info!H105</f>
        <v>400</v>
      </c>
      <c r="I105" s="372">
        <f xml:space="preserve"> IF(AND(D105 &lt;&gt; 2020, OR(A105 = "NATGAS", A105 = "STEAM_COAL", A105 = "COKING_COAL")), PEC_Info_Scen_assumptions!$C$5, 1) * PEC_Info!I105</f>
        <v>3249.2413553090992</v>
      </c>
      <c r="J105">
        <f>PEC_Info!J105</f>
        <v>0.15000000000000002</v>
      </c>
      <c r="K105">
        <f>PEC_Info!K105</f>
        <v>400</v>
      </c>
    </row>
    <row r="106" spans="1:11">
      <c r="A106" t="str">
        <f>PEC_Info!A106</f>
        <v>STEAM_COAL</v>
      </c>
      <c r="B106" t="str">
        <f>PEC_Info!B106</f>
        <v>INDIA</v>
      </c>
      <c r="C106" t="str">
        <f xml:space="preserve"> IF(ISBLANK(PEC_Info!C106), "", PEC_Info!C106)</f>
        <v>WR</v>
      </c>
      <c r="D106">
        <f>PEC_Info!D106</f>
        <v>2031</v>
      </c>
      <c r="E106">
        <f>PEC_Info!E106</f>
        <v>0</v>
      </c>
      <c r="F106" s="372">
        <f xml:space="preserve"> IF(AND(D106 &lt;&gt; 2020, OR(A106 = "NATGAS", A106 = "STEAM_COAL", A106 = "COKING_COAL")), PEC_Info_Scen_assumptions!$C$5, 1) * PEC_Info!F106</f>
        <v>1162.2893608576003</v>
      </c>
      <c r="G106">
        <f>PEC_Info!G106</f>
        <v>0.2208</v>
      </c>
      <c r="H106">
        <f>PEC_Info!H106</f>
        <v>400</v>
      </c>
      <c r="I106" s="372">
        <f xml:space="preserve"> IF(AND(D106 &lt;&gt; 2020, OR(A106 = "NATGAS", A106 = "STEAM_COAL", A106 = "COKING_COAL")), PEC_Info_Scen_assumptions!$C$5, 1) * PEC_Info!I106</f>
        <v>3249.2413553090992</v>
      </c>
      <c r="J106">
        <f>PEC_Info!J106</f>
        <v>0.15000000000000002</v>
      </c>
      <c r="K106">
        <f>PEC_Info!K106</f>
        <v>400</v>
      </c>
    </row>
    <row r="107" spans="1:11">
      <c r="A107" t="str">
        <f>PEC_Info!A107</f>
        <v>STEAM_COAL</v>
      </c>
      <c r="B107" t="str">
        <f>PEC_Info!B107</f>
        <v>INDIA</v>
      </c>
      <c r="C107" t="str">
        <f xml:space="preserve"> IF(ISBLANK(PEC_Info!C107), "", PEC_Info!C107)</f>
        <v>NR</v>
      </c>
      <c r="D107">
        <f>PEC_Info!D107</f>
        <v>2031</v>
      </c>
      <c r="E107">
        <f>PEC_Info!E107</f>
        <v>0</v>
      </c>
      <c r="F107" s="372">
        <f xml:space="preserve"> IF(AND(D107 &lt;&gt; 2020, OR(A107 = "NATGAS", A107 = "STEAM_COAL", A107 = "COKING_COAL")), PEC_Info_Scen_assumptions!$C$5, 1) * PEC_Info!F107</f>
        <v>1162.2893608576003</v>
      </c>
      <c r="G107">
        <f>PEC_Info!G107</f>
        <v>0.2208</v>
      </c>
      <c r="H107">
        <f>PEC_Info!H107</f>
        <v>400</v>
      </c>
      <c r="I107" s="372">
        <f xml:space="preserve"> IF(AND(D107 &lt;&gt; 2020, OR(A107 = "NATGAS", A107 = "STEAM_COAL", A107 = "COKING_COAL")), PEC_Info_Scen_assumptions!$C$5, 1) * PEC_Info!I107</f>
        <v>3249.2413553090992</v>
      </c>
      <c r="J107">
        <f>PEC_Info!J107</f>
        <v>0.15000000000000002</v>
      </c>
      <c r="K107">
        <f>PEC_Info!K107</f>
        <v>400</v>
      </c>
    </row>
    <row r="108" spans="1:11">
      <c r="A108" t="str">
        <f>PEC_Info!A108</f>
        <v>STEAM_COAL</v>
      </c>
      <c r="B108" t="str">
        <f>PEC_Info!B108</f>
        <v>INDIA</v>
      </c>
      <c r="C108" t="str">
        <f xml:space="preserve"> IF(ISBLANK(PEC_Info!C108), "", PEC_Info!C108)</f>
        <v>SR</v>
      </c>
      <c r="D108">
        <f>PEC_Info!D108</f>
        <v>2031</v>
      </c>
      <c r="E108">
        <f>PEC_Info!E108</f>
        <v>0</v>
      </c>
      <c r="F108" s="372">
        <f xml:space="preserve"> IF(AND(D108 &lt;&gt; 2020, OR(A108 = "NATGAS", A108 = "STEAM_COAL", A108 = "COKING_COAL")), PEC_Info_Scen_assumptions!$C$5, 1) * PEC_Info!F108</f>
        <v>1162.2893608576003</v>
      </c>
      <c r="G108">
        <f>PEC_Info!G108</f>
        <v>0.2208</v>
      </c>
      <c r="H108">
        <f>PEC_Info!H108</f>
        <v>400</v>
      </c>
      <c r="I108" s="372">
        <f xml:space="preserve"> IF(AND(D108 &lt;&gt; 2020, OR(A108 = "NATGAS", A108 = "STEAM_COAL", A108 = "COKING_COAL")), PEC_Info_Scen_assumptions!$C$5, 1) * PEC_Info!I108</f>
        <v>3249.2413553090992</v>
      </c>
      <c r="J108">
        <f>PEC_Info!J108</f>
        <v>0.15000000000000002</v>
      </c>
      <c r="K108">
        <f>PEC_Info!K108</f>
        <v>400</v>
      </c>
    </row>
    <row r="109" spans="1:11">
      <c r="A109" t="str">
        <f>PEC_Info!A109</f>
        <v>STEAM_COAL</v>
      </c>
      <c r="B109" t="str">
        <f>PEC_Info!B109</f>
        <v>INDIA</v>
      </c>
      <c r="C109" t="str">
        <f xml:space="preserve"> IF(ISBLANK(PEC_Info!C109), "", PEC_Info!C109)</f>
        <v>NER</v>
      </c>
      <c r="D109">
        <f>PEC_Info!D109</f>
        <v>2031</v>
      </c>
      <c r="E109">
        <f>PEC_Info!E109</f>
        <v>0</v>
      </c>
      <c r="F109" s="372">
        <f xml:space="preserve"> IF(AND(D109 &lt;&gt; 2020, OR(A109 = "NATGAS", A109 = "STEAM_COAL", A109 = "COKING_COAL")), PEC_Info_Scen_assumptions!$C$5, 1) * PEC_Info!F109</f>
        <v>1162.2893608576003</v>
      </c>
      <c r="G109">
        <f>PEC_Info!G109</f>
        <v>0.2208</v>
      </c>
      <c r="H109">
        <f>PEC_Info!H109</f>
        <v>400</v>
      </c>
      <c r="I109" s="372">
        <f xml:space="preserve"> IF(AND(D109 &lt;&gt; 2020, OR(A109 = "NATGAS", A109 = "STEAM_COAL", A109 = "COKING_COAL")), PEC_Info_Scen_assumptions!$C$5, 1) * PEC_Info!I109</f>
        <v>3249.2413553090992</v>
      </c>
      <c r="J109">
        <f>PEC_Info!J109</f>
        <v>0.15000000000000002</v>
      </c>
      <c r="K109">
        <f>PEC_Info!K109</f>
        <v>400</v>
      </c>
    </row>
    <row r="110" spans="1:11">
      <c r="A110" t="str">
        <f>PEC_Info!A110</f>
        <v>COKING_COAL</v>
      </c>
      <c r="B110" t="str">
        <f>PEC_Info!B110</f>
        <v>INDIA</v>
      </c>
      <c r="C110" t="str">
        <f xml:space="preserve"> IF(ISBLANK(PEC_Info!C110), "", PEC_Info!C110)</f>
        <v>ER</v>
      </c>
      <c r="D110">
        <f>PEC_Info!D110</f>
        <v>2020</v>
      </c>
      <c r="E110">
        <f>PEC_Info!E110</f>
        <v>0</v>
      </c>
      <c r="F110" s="372">
        <f xml:space="preserve"> IF(AND(D110 &lt;&gt; 2020, OR(A110 = "NATGAS", A110 = "STEAM_COAL", A110 = "COKING_COAL")), PEC_Info_Scen_assumptions!$C$5, 1) * PEC_Info!F110</f>
        <v>0</v>
      </c>
      <c r="G110">
        <f>PEC_Info!G110</f>
        <v>0</v>
      </c>
      <c r="H110">
        <f>PEC_Info!H110</f>
        <v>0</v>
      </c>
      <c r="I110" s="372">
        <f xml:space="preserve"> IF(AND(D110 &lt;&gt; 2020, OR(A110 = "NATGAS", A110 = "STEAM_COAL", A110 = "COKING_COAL")), PEC_Info_Scen_assumptions!$C$5, 1) * PEC_Info!I110</f>
        <v>11421.596419149811</v>
      </c>
      <c r="J110">
        <f>PEC_Info!J110</f>
        <v>0.15000000000000002</v>
      </c>
      <c r="K110">
        <f>PEC_Info!K110</f>
        <v>400</v>
      </c>
    </row>
    <row r="111" spans="1:11">
      <c r="A111" t="str">
        <f>PEC_Info!A111</f>
        <v>COKING_COAL</v>
      </c>
      <c r="B111" t="str">
        <f>PEC_Info!B111</f>
        <v>INDIA</v>
      </c>
      <c r="C111" t="str">
        <f xml:space="preserve"> IF(ISBLANK(PEC_Info!C111), "", PEC_Info!C111)</f>
        <v>WR</v>
      </c>
      <c r="D111">
        <f>PEC_Info!D111</f>
        <v>2020</v>
      </c>
      <c r="E111">
        <f>PEC_Info!E111</f>
        <v>0</v>
      </c>
      <c r="F111" s="372">
        <f xml:space="preserve"> IF(AND(D111 &lt;&gt; 2020, OR(A111 = "NATGAS", A111 = "STEAM_COAL", A111 = "COKING_COAL")), PEC_Info_Scen_assumptions!$C$5, 1) * PEC_Info!F111</f>
        <v>0</v>
      </c>
      <c r="G111">
        <f>PEC_Info!G111</f>
        <v>0</v>
      </c>
      <c r="H111">
        <f>PEC_Info!H111</f>
        <v>0</v>
      </c>
      <c r="I111" s="372">
        <f xml:space="preserve"> IF(AND(D111 &lt;&gt; 2020, OR(A111 = "NATGAS", A111 = "STEAM_COAL", A111 = "COKING_COAL")), PEC_Info_Scen_assumptions!$C$5, 1) * PEC_Info!I111</f>
        <v>11421.596419149811</v>
      </c>
      <c r="J111">
        <f>PEC_Info!J111</f>
        <v>0.15000000000000002</v>
      </c>
      <c r="K111">
        <f>PEC_Info!K111</f>
        <v>400</v>
      </c>
    </row>
    <row r="112" spans="1:11">
      <c r="A112" t="str">
        <f>PEC_Info!A112</f>
        <v>COKING_COAL</v>
      </c>
      <c r="B112" t="str">
        <f>PEC_Info!B112</f>
        <v>INDIA</v>
      </c>
      <c r="C112" t="str">
        <f xml:space="preserve"> IF(ISBLANK(PEC_Info!C112), "", PEC_Info!C112)</f>
        <v>NR</v>
      </c>
      <c r="D112">
        <f>PEC_Info!D112</f>
        <v>2020</v>
      </c>
      <c r="E112">
        <f>PEC_Info!E112</f>
        <v>0</v>
      </c>
      <c r="F112" s="372">
        <f xml:space="preserve"> IF(AND(D112 &lt;&gt; 2020, OR(A112 = "NATGAS", A112 = "STEAM_COAL", A112 = "COKING_COAL")), PEC_Info_Scen_assumptions!$C$5, 1) * PEC_Info!F112</f>
        <v>0</v>
      </c>
      <c r="G112">
        <f>PEC_Info!G112</f>
        <v>0</v>
      </c>
      <c r="H112">
        <f>PEC_Info!H112</f>
        <v>0</v>
      </c>
      <c r="I112" s="372">
        <f xml:space="preserve"> IF(AND(D112 &lt;&gt; 2020, OR(A112 = "NATGAS", A112 = "STEAM_COAL", A112 = "COKING_COAL")), PEC_Info_Scen_assumptions!$C$5, 1) * PEC_Info!I112</f>
        <v>11421.596419149811</v>
      </c>
      <c r="J112">
        <f>PEC_Info!J112</f>
        <v>0.15000000000000002</v>
      </c>
      <c r="K112">
        <f>PEC_Info!K112</f>
        <v>400</v>
      </c>
    </row>
    <row r="113" spans="1:11">
      <c r="A113" t="str">
        <f>PEC_Info!A113</f>
        <v>COKING_COAL</v>
      </c>
      <c r="B113" t="str">
        <f>PEC_Info!B113</f>
        <v>INDIA</v>
      </c>
      <c r="C113" t="str">
        <f xml:space="preserve"> IF(ISBLANK(PEC_Info!C113), "", PEC_Info!C113)</f>
        <v>SR</v>
      </c>
      <c r="D113">
        <f>PEC_Info!D113</f>
        <v>2020</v>
      </c>
      <c r="E113">
        <f>PEC_Info!E113</f>
        <v>0</v>
      </c>
      <c r="F113" s="372">
        <f xml:space="preserve"> IF(AND(D113 &lt;&gt; 2020, OR(A113 = "NATGAS", A113 = "STEAM_COAL", A113 = "COKING_COAL")), PEC_Info_Scen_assumptions!$C$5, 1) * PEC_Info!F113</f>
        <v>0</v>
      </c>
      <c r="G113">
        <f>PEC_Info!G113</f>
        <v>0</v>
      </c>
      <c r="H113">
        <f>PEC_Info!H113</f>
        <v>0</v>
      </c>
      <c r="I113" s="372">
        <f xml:space="preserve"> IF(AND(D113 &lt;&gt; 2020, OR(A113 = "NATGAS", A113 = "STEAM_COAL", A113 = "COKING_COAL")), PEC_Info_Scen_assumptions!$C$5, 1) * PEC_Info!I113</f>
        <v>11421.596419149811</v>
      </c>
      <c r="J113">
        <f>PEC_Info!J113</f>
        <v>0.15000000000000002</v>
      </c>
      <c r="K113">
        <f>PEC_Info!K113</f>
        <v>400</v>
      </c>
    </row>
    <row r="114" spans="1:11">
      <c r="A114" t="str">
        <f>PEC_Info!A114</f>
        <v>COKING_COAL</v>
      </c>
      <c r="B114" t="str">
        <f>PEC_Info!B114</f>
        <v>INDIA</v>
      </c>
      <c r="C114" t="str">
        <f xml:space="preserve"> IF(ISBLANK(PEC_Info!C114), "", PEC_Info!C114)</f>
        <v>NER</v>
      </c>
      <c r="D114">
        <f>PEC_Info!D114</f>
        <v>2020</v>
      </c>
      <c r="E114">
        <f>PEC_Info!E114</f>
        <v>0</v>
      </c>
      <c r="F114" s="372">
        <f xml:space="preserve"> IF(AND(D114 &lt;&gt; 2020, OR(A114 = "NATGAS", A114 = "STEAM_COAL", A114 = "COKING_COAL")), PEC_Info_Scen_assumptions!$C$5, 1) * PEC_Info!F114</f>
        <v>0</v>
      </c>
      <c r="G114">
        <f>PEC_Info!G114</f>
        <v>0</v>
      </c>
      <c r="H114">
        <f>PEC_Info!H114</f>
        <v>0</v>
      </c>
      <c r="I114" s="372">
        <f xml:space="preserve"> IF(AND(D114 &lt;&gt; 2020, OR(A114 = "NATGAS", A114 = "STEAM_COAL", A114 = "COKING_COAL")), PEC_Info_Scen_assumptions!$C$5, 1) * PEC_Info!I114</f>
        <v>11421.596419149811</v>
      </c>
      <c r="J114">
        <f>PEC_Info!J114</f>
        <v>0.15000000000000002</v>
      </c>
      <c r="K114">
        <f>PEC_Info!K114</f>
        <v>400</v>
      </c>
    </row>
    <row r="115" spans="1:11">
      <c r="A115" t="str">
        <f>PEC_Info!A115</f>
        <v>COKING_COAL</v>
      </c>
      <c r="B115" t="str">
        <f>PEC_Info!B115</f>
        <v>INDIA</v>
      </c>
      <c r="C115" t="str">
        <f xml:space="preserve"> IF(ISBLANK(PEC_Info!C115), "", PEC_Info!C115)</f>
        <v>ER</v>
      </c>
      <c r="D115">
        <f>PEC_Info!D115</f>
        <v>2021</v>
      </c>
      <c r="E115">
        <f>PEC_Info!E115</f>
        <v>0</v>
      </c>
      <c r="F115" s="372">
        <f xml:space="preserve"> IF(AND(D115 &lt;&gt; 2020, OR(A115 = "NATGAS", A115 = "STEAM_COAL", A115 = "COKING_COAL")), PEC_Info_Scen_assumptions!$C$5, 1) * PEC_Info!F115</f>
        <v>0</v>
      </c>
      <c r="G115">
        <f>PEC_Info!G115</f>
        <v>0</v>
      </c>
      <c r="H115">
        <f>PEC_Info!H115</f>
        <v>0</v>
      </c>
      <c r="I115" s="372">
        <f xml:space="preserve"> IF(AND(D115 &lt;&gt; 2020, OR(A115 = "NATGAS", A115 = "STEAM_COAL", A115 = "COKING_COAL")), PEC_Info_Scen_assumptions!$C$5, 1) * PEC_Info!I115</f>
        <v>7739.903890659727</v>
      </c>
      <c r="J115">
        <f>PEC_Info!J115</f>
        <v>0.15000000000000002</v>
      </c>
      <c r="K115">
        <f>PEC_Info!K115</f>
        <v>400</v>
      </c>
    </row>
    <row r="116" spans="1:11">
      <c r="A116" t="str">
        <f>PEC_Info!A116</f>
        <v>COKING_COAL</v>
      </c>
      <c r="B116" t="str">
        <f>PEC_Info!B116</f>
        <v>INDIA</v>
      </c>
      <c r="C116" t="str">
        <f xml:space="preserve"> IF(ISBLANK(PEC_Info!C116), "", PEC_Info!C116)</f>
        <v>WR</v>
      </c>
      <c r="D116">
        <f>PEC_Info!D116</f>
        <v>2021</v>
      </c>
      <c r="E116">
        <f>PEC_Info!E116</f>
        <v>0</v>
      </c>
      <c r="F116" s="372">
        <f xml:space="preserve"> IF(AND(D116 &lt;&gt; 2020, OR(A116 = "NATGAS", A116 = "STEAM_COAL", A116 = "COKING_COAL")), PEC_Info_Scen_assumptions!$C$5, 1) * PEC_Info!F116</f>
        <v>0</v>
      </c>
      <c r="G116">
        <f>PEC_Info!G116</f>
        <v>0</v>
      </c>
      <c r="H116">
        <f>PEC_Info!H116</f>
        <v>0</v>
      </c>
      <c r="I116" s="372">
        <f xml:space="preserve"> IF(AND(D116 &lt;&gt; 2020, OR(A116 = "NATGAS", A116 = "STEAM_COAL", A116 = "COKING_COAL")), PEC_Info_Scen_assumptions!$C$5, 1) * PEC_Info!I116</f>
        <v>7739.903890659727</v>
      </c>
      <c r="J116">
        <f>PEC_Info!J116</f>
        <v>0.15000000000000002</v>
      </c>
      <c r="K116">
        <f>PEC_Info!K116</f>
        <v>400</v>
      </c>
    </row>
    <row r="117" spans="1:11">
      <c r="A117" t="str">
        <f>PEC_Info!A117</f>
        <v>COKING_COAL</v>
      </c>
      <c r="B117" t="str">
        <f>PEC_Info!B117</f>
        <v>INDIA</v>
      </c>
      <c r="C117" t="str">
        <f xml:space="preserve"> IF(ISBLANK(PEC_Info!C117), "", PEC_Info!C117)</f>
        <v>NR</v>
      </c>
      <c r="D117">
        <f>PEC_Info!D117</f>
        <v>2021</v>
      </c>
      <c r="E117">
        <f>PEC_Info!E117</f>
        <v>0</v>
      </c>
      <c r="F117" s="372">
        <f xml:space="preserve"> IF(AND(D117 &lt;&gt; 2020, OR(A117 = "NATGAS", A117 = "STEAM_COAL", A117 = "COKING_COAL")), PEC_Info_Scen_assumptions!$C$5, 1) * PEC_Info!F117</f>
        <v>0</v>
      </c>
      <c r="G117">
        <f>PEC_Info!G117</f>
        <v>0</v>
      </c>
      <c r="H117">
        <f>PEC_Info!H117</f>
        <v>0</v>
      </c>
      <c r="I117" s="372">
        <f xml:space="preserve"> IF(AND(D117 &lt;&gt; 2020, OR(A117 = "NATGAS", A117 = "STEAM_COAL", A117 = "COKING_COAL")), PEC_Info_Scen_assumptions!$C$5, 1) * PEC_Info!I117</f>
        <v>7739.903890659727</v>
      </c>
      <c r="J117">
        <f>PEC_Info!J117</f>
        <v>0.15000000000000002</v>
      </c>
      <c r="K117">
        <f>PEC_Info!K117</f>
        <v>400</v>
      </c>
    </row>
    <row r="118" spans="1:11">
      <c r="A118" t="str">
        <f>PEC_Info!A118</f>
        <v>COKING_COAL</v>
      </c>
      <c r="B118" t="str">
        <f>PEC_Info!B118</f>
        <v>INDIA</v>
      </c>
      <c r="C118" t="str">
        <f xml:space="preserve"> IF(ISBLANK(PEC_Info!C118), "", PEC_Info!C118)</f>
        <v>SR</v>
      </c>
      <c r="D118">
        <f>PEC_Info!D118</f>
        <v>2021</v>
      </c>
      <c r="E118">
        <f>PEC_Info!E118</f>
        <v>0</v>
      </c>
      <c r="F118" s="372">
        <f xml:space="preserve"> IF(AND(D118 &lt;&gt; 2020, OR(A118 = "NATGAS", A118 = "STEAM_COAL", A118 = "COKING_COAL")), PEC_Info_Scen_assumptions!$C$5, 1) * PEC_Info!F118</f>
        <v>0</v>
      </c>
      <c r="G118">
        <f>PEC_Info!G118</f>
        <v>0</v>
      </c>
      <c r="H118">
        <f>PEC_Info!H118</f>
        <v>0</v>
      </c>
      <c r="I118" s="372">
        <f xml:space="preserve"> IF(AND(D118 &lt;&gt; 2020, OR(A118 = "NATGAS", A118 = "STEAM_COAL", A118 = "COKING_COAL")), PEC_Info_Scen_assumptions!$C$5, 1) * PEC_Info!I118</f>
        <v>7739.903890659727</v>
      </c>
      <c r="J118">
        <f>PEC_Info!J118</f>
        <v>0.15000000000000002</v>
      </c>
      <c r="K118">
        <f>PEC_Info!K118</f>
        <v>400</v>
      </c>
    </row>
    <row r="119" spans="1:11">
      <c r="A119" t="str">
        <f>PEC_Info!A119</f>
        <v>COKING_COAL</v>
      </c>
      <c r="B119" t="str">
        <f>PEC_Info!B119</f>
        <v>INDIA</v>
      </c>
      <c r="C119" t="str">
        <f xml:space="preserve"> IF(ISBLANK(PEC_Info!C119), "", PEC_Info!C119)</f>
        <v>NER</v>
      </c>
      <c r="D119">
        <f>PEC_Info!D119</f>
        <v>2021</v>
      </c>
      <c r="E119">
        <f>PEC_Info!E119</f>
        <v>0</v>
      </c>
      <c r="F119" s="372">
        <f xml:space="preserve"> IF(AND(D119 &lt;&gt; 2020, OR(A119 = "NATGAS", A119 = "STEAM_COAL", A119 = "COKING_COAL")), PEC_Info_Scen_assumptions!$C$5, 1) * PEC_Info!F119</f>
        <v>0</v>
      </c>
      <c r="G119">
        <f>PEC_Info!G119</f>
        <v>0</v>
      </c>
      <c r="H119">
        <f>PEC_Info!H119</f>
        <v>0</v>
      </c>
      <c r="I119" s="372">
        <f xml:space="preserve"> IF(AND(D119 &lt;&gt; 2020, OR(A119 = "NATGAS", A119 = "STEAM_COAL", A119 = "COKING_COAL")), PEC_Info_Scen_assumptions!$C$5, 1) * PEC_Info!I119</f>
        <v>7739.903890659727</v>
      </c>
      <c r="J119">
        <f>PEC_Info!J119</f>
        <v>0.15000000000000002</v>
      </c>
      <c r="K119">
        <f>PEC_Info!K119</f>
        <v>400</v>
      </c>
    </row>
    <row r="120" spans="1:11">
      <c r="A120" t="str">
        <f>PEC_Info!A120</f>
        <v>COKING_COAL</v>
      </c>
      <c r="B120" t="str">
        <f>PEC_Info!B120</f>
        <v>INDIA</v>
      </c>
      <c r="C120" t="str">
        <f xml:space="preserve"> IF(ISBLANK(PEC_Info!C120), "", PEC_Info!C120)</f>
        <v>ER</v>
      </c>
      <c r="D120">
        <f>PEC_Info!D120</f>
        <v>2022</v>
      </c>
      <c r="E120">
        <f>PEC_Info!E120</f>
        <v>0</v>
      </c>
      <c r="F120" s="372">
        <f xml:space="preserve"> IF(AND(D120 &lt;&gt; 2020, OR(A120 = "NATGAS", A120 = "STEAM_COAL", A120 = "COKING_COAL")), PEC_Info_Scen_assumptions!$C$5, 1) * PEC_Info!F120</f>
        <v>0</v>
      </c>
      <c r="G120">
        <f>PEC_Info!G120</f>
        <v>0</v>
      </c>
      <c r="H120">
        <f>PEC_Info!H120</f>
        <v>0</v>
      </c>
      <c r="I120" s="372">
        <f xml:space="preserve"> IF(AND(D120 &lt;&gt; 2020, OR(A120 = "NATGAS", A120 = "STEAM_COAL", A120 = "COKING_COAL")), PEC_Info_Scen_assumptions!$C$5, 1) * PEC_Info!I120</f>
        <v>7853.7260066988383</v>
      </c>
      <c r="J120">
        <f>PEC_Info!J120</f>
        <v>0.15000000000000002</v>
      </c>
      <c r="K120">
        <f>PEC_Info!K120</f>
        <v>400</v>
      </c>
    </row>
    <row r="121" spans="1:11">
      <c r="A121" t="str">
        <f>PEC_Info!A121</f>
        <v>COKING_COAL</v>
      </c>
      <c r="B121" t="str">
        <f>PEC_Info!B121</f>
        <v>INDIA</v>
      </c>
      <c r="C121" t="str">
        <f xml:space="preserve"> IF(ISBLANK(PEC_Info!C121), "", PEC_Info!C121)</f>
        <v>WR</v>
      </c>
      <c r="D121">
        <f>PEC_Info!D121</f>
        <v>2022</v>
      </c>
      <c r="E121">
        <f>PEC_Info!E121</f>
        <v>0</v>
      </c>
      <c r="F121" s="372">
        <f xml:space="preserve"> IF(AND(D121 &lt;&gt; 2020, OR(A121 = "NATGAS", A121 = "STEAM_COAL", A121 = "COKING_COAL")), PEC_Info_Scen_assumptions!$C$5, 1) * PEC_Info!F121</f>
        <v>0</v>
      </c>
      <c r="G121">
        <f>PEC_Info!G121</f>
        <v>0</v>
      </c>
      <c r="H121">
        <f>PEC_Info!H121</f>
        <v>0</v>
      </c>
      <c r="I121" s="372">
        <f xml:space="preserve"> IF(AND(D121 &lt;&gt; 2020, OR(A121 = "NATGAS", A121 = "STEAM_COAL", A121 = "COKING_COAL")), PEC_Info_Scen_assumptions!$C$5, 1) * PEC_Info!I121</f>
        <v>7853.7260066988383</v>
      </c>
      <c r="J121">
        <f>PEC_Info!J121</f>
        <v>0.15000000000000002</v>
      </c>
      <c r="K121">
        <f>PEC_Info!K121</f>
        <v>400</v>
      </c>
    </row>
    <row r="122" spans="1:11">
      <c r="A122" t="str">
        <f>PEC_Info!A122</f>
        <v>COKING_COAL</v>
      </c>
      <c r="B122" t="str">
        <f>PEC_Info!B122</f>
        <v>INDIA</v>
      </c>
      <c r="C122" t="str">
        <f xml:space="preserve"> IF(ISBLANK(PEC_Info!C122), "", PEC_Info!C122)</f>
        <v>NR</v>
      </c>
      <c r="D122">
        <f>PEC_Info!D122</f>
        <v>2022</v>
      </c>
      <c r="E122">
        <f>PEC_Info!E122</f>
        <v>0</v>
      </c>
      <c r="F122" s="372">
        <f xml:space="preserve"> IF(AND(D122 &lt;&gt; 2020, OR(A122 = "NATGAS", A122 = "STEAM_COAL", A122 = "COKING_COAL")), PEC_Info_Scen_assumptions!$C$5, 1) * PEC_Info!F122</f>
        <v>0</v>
      </c>
      <c r="G122">
        <f>PEC_Info!G122</f>
        <v>0</v>
      </c>
      <c r="H122">
        <f>PEC_Info!H122</f>
        <v>0</v>
      </c>
      <c r="I122" s="372">
        <f xml:space="preserve"> IF(AND(D122 &lt;&gt; 2020, OR(A122 = "NATGAS", A122 = "STEAM_COAL", A122 = "COKING_COAL")), PEC_Info_Scen_assumptions!$C$5, 1) * PEC_Info!I122</f>
        <v>7853.7260066988383</v>
      </c>
      <c r="J122">
        <f>PEC_Info!J122</f>
        <v>0.15000000000000002</v>
      </c>
      <c r="K122">
        <f>PEC_Info!K122</f>
        <v>400</v>
      </c>
    </row>
    <row r="123" spans="1:11">
      <c r="A123" t="str">
        <f>PEC_Info!A123</f>
        <v>COKING_COAL</v>
      </c>
      <c r="B123" t="str">
        <f>PEC_Info!B123</f>
        <v>INDIA</v>
      </c>
      <c r="C123" t="str">
        <f xml:space="preserve"> IF(ISBLANK(PEC_Info!C123), "", PEC_Info!C123)</f>
        <v>SR</v>
      </c>
      <c r="D123">
        <f>PEC_Info!D123</f>
        <v>2022</v>
      </c>
      <c r="E123">
        <f>PEC_Info!E123</f>
        <v>0</v>
      </c>
      <c r="F123" s="372">
        <f xml:space="preserve"> IF(AND(D123 &lt;&gt; 2020, OR(A123 = "NATGAS", A123 = "STEAM_COAL", A123 = "COKING_COAL")), PEC_Info_Scen_assumptions!$C$5, 1) * PEC_Info!F123</f>
        <v>0</v>
      </c>
      <c r="G123">
        <f>PEC_Info!G123</f>
        <v>0</v>
      </c>
      <c r="H123">
        <f>PEC_Info!H123</f>
        <v>0</v>
      </c>
      <c r="I123" s="372">
        <f xml:space="preserve"> IF(AND(D123 &lt;&gt; 2020, OR(A123 = "NATGAS", A123 = "STEAM_COAL", A123 = "COKING_COAL")), PEC_Info_Scen_assumptions!$C$5, 1) * PEC_Info!I123</f>
        <v>7853.7260066988383</v>
      </c>
      <c r="J123">
        <f>PEC_Info!J123</f>
        <v>0.15000000000000002</v>
      </c>
      <c r="K123">
        <f>PEC_Info!K123</f>
        <v>400</v>
      </c>
    </row>
    <row r="124" spans="1:11">
      <c r="A124" t="str">
        <f>PEC_Info!A124</f>
        <v>COKING_COAL</v>
      </c>
      <c r="B124" t="str">
        <f>PEC_Info!B124</f>
        <v>INDIA</v>
      </c>
      <c r="C124" t="str">
        <f xml:space="preserve"> IF(ISBLANK(PEC_Info!C124), "", PEC_Info!C124)</f>
        <v>NER</v>
      </c>
      <c r="D124">
        <f>PEC_Info!D124</f>
        <v>2022</v>
      </c>
      <c r="E124">
        <f>PEC_Info!E124</f>
        <v>0</v>
      </c>
      <c r="F124" s="372">
        <f xml:space="preserve"> IF(AND(D124 &lt;&gt; 2020, OR(A124 = "NATGAS", A124 = "STEAM_COAL", A124 = "COKING_COAL")), PEC_Info_Scen_assumptions!$C$5, 1) * PEC_Info!F124</f>
        <v>0</v>
      </c>
      <c r="G124">
        <f>PEC_Info!G124</f>
        <v>0</v>
      </c>
      <c r="H124">
        <f>PEC_Info!H124</f>
        <v>0</v>
      </c>
      <c r="I124" s="372">
        <f xml:space="preserve"> IF(AND(D124 &lt;&gt; 2020, OR(A124 = "NATGAS", A124 = "STEAM_COAL", A124 = "COKING_COAL")), PEC_Info_Scen_assumptions!$C$5, 1) * PEC_Info!I124</f>
        <v>7853.7260066988383</v>
      </c>
      <c r="J124">
        <f>PEC_Info!J124</f>
        <v>0.15000000000000002</v>
      </c>
      <c r="K124">
        <f>PEC_Info!K124</f>
        <v>400</v>
      </c>
    </row>
    <row r="125" spans="1:11">
      <c r="A125" t="str">
        <f>PEC_Info!A125</f>
        <v>COKING_COAL</v>
      </c>
      <c r="B125" t="str">
        <f>PEC_Info!B125</f>
        <v>INDIA</v>
      </c>
      <c r="C125" t="str">
        <f xml:space="preserve"> IF(ISBLANK(PEC_Info!C125), "", PEC_Info!C125)</f>
        <v>ER</v>
      </c>
      <c r="D125">
        <f>PEC_Info!D125</f>
        <v>2023</v>
      </c>
      <c r="E125">
        <f>PEC_Info!E125</f>
        <v>0</v>
      </c>
      <c r="F125" s="372">
        <f xml:space="preserve"> IF(AND(D125 &lt;&gt; 2020, OR(A125 = "NATGAS", A125 = "STEAM_COAL", A125 = "COKING_COAL")), PEC_Info_Scen_assumptions!$C$5, 1) * PEC_Info!F125</f>
        <v>0</v>
      </c>
      <c r="G125">
        <f>PEC_Info!G125</f>
        <v>0</v>
      </c>
      <c r="H125">
        <f>PEC_Info!H125</f>
        <v>0</v>
      </c>
      <c r="I125" s="372">
        <f xml:space="preserve"> IF(AND(D125 &lt;&gt; 2020, OR(A125 = "NATGAS", A125 = "STEAM_COAL", A125 = "COKING_COAL")), PEC_Info_Scen_assumptions!$C$5, 1) * PEC_Info!I125</f>
        <v>7913.2777378105056</v>
      </c>
      <c r="J125">
        <f>PEC_Info!J125</f>
        <v>0.15000000000000002</v>
      </c>
      <c r="K125">
        <f>PEC_Info!K125</f>
        <v>400</v>
      </c>
    </row>
    <row r="126" spans="1:11">
      <c r="A126" t="str">
        <f>PEC_Info!A126</f>
        <v>COKING_COAL</v>
      </c>
      <c r="B126" t="str">
        <f>PEC_Info!B126</f>
        <v>INDIA</v>
      </c>
      <c r="C126" t="str">
        <f xml:space="preserve"> IF(ISBLANK(PEC_Info!C126), "", PEC_Info!C126)</f>
        <v>WR</v>
      </c>
      <c r="D126">
        <f>PEC_Info!D126</f>
        <v>2023</v>
      </c>
      <c r="E126">
        <f>PEC_Info!E126</f>
        <v>0</v>
      </c>
      <c r="F126" s="372">
        <f xml:space="preserve"> IF(AND(D126 &lt;&gt; 2020, OR(A126 = "NATGAS", A126 = "STEAM_COAL", A126 = "COKING_COAL")), PEC_Info_Scen_assumptions!$C$5, 1) * PEC_Info!F126</f>
        <v>0</v>
      </c>
      <c r="G126">
        <f>PEC_Info!G126</f>
        <v>0</v>
      </c>
      <c r="H126">
        <f>PEC_Info!H126</f>
        <v>0</v>
      </c>
      <c r="I126" s="372">
        <f xml:space="preserve"> IF(AND(D126 &lt;&gt; 2020, OR(A126 = "NATGAS", A126 = "STEAM_COAL", A126 = "COKING_COAL")), PEC_Info_Scen_assumptions!$C$5, 1) * PEC_Info!I126</f>
        <v>7913.2777378105056</v>
      </c>
      <c r="J126">
        <f>PEC_Info!J126</f>
        <v>0.15000000000000002</v>
      </c>
      <c r="K126">
        <f>PEC_Info!K126</f>
        <v>400</v>
      </c>
    </row>
    <row r="127" spans="1:11">
      <c r="A127" t="str">
        <f>PEC_Info!A127</f>
        <v>COKING_COAL</v>
      </c>
      <c r="B127" t="str">
        <f>PEC_Info!B127</f>
        <v>INDIA</v>
      </c>
      <c r="C127" t="str">
        <f xml:space="preserve"> IF(ISBLANK(PEC_Info!C127), "", PEC_Info!C127)</f>
        <v>NR</v>
      </c>
      <c r="D127">
        <f>PEC_Info!D127</f>
        <v>2023</v>
      </c>
      <c r="E127">
        <f>PEC_Info!E127</f>
        <v>0</v>
      </c>
      <c r="F127" s="372">
        <f xml:space="preserve"> IF(AND(D127 &lt;&gt; 2020, OR(A127 = "NATGAS", A127 = "STEAM_COAL", A127 = "COKING_COAL")), PEC_Info_Scen_assumptions!$C$5, 1) * PEC_Info!F127</f>
        <v>0</v>
      </c>
      <c r="G127">
        <f>PEC_Info!G127</f>
        <v>0</v>
      </c>
      <c r="H127">
        <f>PEC_Info!H127</f>
        <v>0</v>
      </c>
      <c r="I127" s="372">
        <f xml:space="preserve"> IF(AND(D127 &lt;&gt; 2020, OR(A127 = "NATGAS", A127 = "STEAM_COAL", A127 = "COKING_COAL")), PEC_Info_Scen_assumptions!$C$5, 1) * PEC_Info!I127</f>
        <v>7913.2777378105056</v>
      </c>
      <c r="J127">
        <f>PEC_Info!J127</f>
        <v>0.15000000000000002</v>
      </c>
      <c r="K127">
        <f>PEC_Info!K127</f>
        <v>400</v>
      </c>
    </row>
    <row r="128" spans="1:11">
      <c r="A128" t="str">
        <f>PEC_Info!A128</f>
        <v>COKING_COAL</v>
      </c>
      <c r="B128" t="str">
        <f>PEC_Info!B128</f>
        <v>INDIA</v>
      </c>
      <c r="C128" t="str">
        <f xml:space="preserve"> IF(ISBLANK(PEC_Info!C128), "", PEC_Info!C128)</f>
        <v>SR</v>
      </c>
      <c r="D128">
        <f>PEC_Info!D128</f>
        <v>2023</v>
      </c>
      <c r="E128">
        <f>PEC_Info!E128</f>
        <v>0</v>
      </c>
      <c r="F128" s="372">
        <f xml:space="preserve"> IF(AND(D128 &lt;&gt; 2020, OR(A128 = "NATGAS", A128 = "STEAM_COAL", A128 = "COKING_COAL")), PEC_Info_Scen_assumptions!$C$5, 1) * PEC_Info!F128</f>
        <v>0</v>
      </c>
      <c r="G128">
        <f>PEC_Info!G128</f>
        <v>0</v>
      </c>
      <c r="H128">
        <f>PEC_Info!H128</f>
        <v>0</v>
      </c>
      <c r="I128" s="372">
        <f xml:space="preserve"> IF(AND(D128 &lt;&gt; 2020, OR(A128 = "NATGAS", A128 = "STEAM_COAL", A128 = "COKING_COAL")), PEC_Info_Scen_assumptions!$C$5, 1) * PEC_Info!I128</f>
        <v>7913.2777378105056</v>
      </c>
      <c r="J128">
        <f>PEC_Info!J128</f>
        <v>0.15000000000000002</v>
      </c>
      <c r="K128">
        <f>PEC_Info!K128</f>
        <v>400</v>
      </c>
    </row>
    <row r="129" spans="1:11">
      <c r="A129" t="str">
        <f>PEC_Info!A129</f>
        <v>COKING_COAL</v>
      </c>
      <c r="B129" t="str">
        <f>PEC_Info!B129</f>
        <v>INDIA</v>
      </c>
      <c r="C129" t="str">
        <f xml:space="preserve"> IF(ISBLANK(PEC_Info!C129), "", PEC_Info!C129)</f>
        <v>NER</v>
      </c>
      <c r="D129">
        <f>PEC_Info!D129</f>
        <v>2023</v>
      </c>
      <c r="E129">
        <f>PEC_Info!E129</f>
        <v>0</v>
      </c>
      <c r="F129" s="372">
        <f xml:space="preserve"> IF(AND(D129 &lt;&gt; 2020, OR(A129 = "NATGAS", A129 = "STEAM_COAL", A129 = "COKING_COAL")), PEC_Info_Scen_assumptions!$C$5, 1) * PEC_Info!F129</f>
        <v>0</v>
      </c>
      <c r="G129">
        <f>PEC_Info!G129</f>
        <v>0</v>
      </c>
      <c r="H129">
        <f>PEC_Info!H129</f>
        <v>0</v>
      </c>
      <c r="I129" s="372">
        <f xml:space="preserve"> IF(AND(D129 &lt;&gt; 2020, OR(A129 = "NATGAS", A129 = "STEAM_COAL", A129 = "COKING_COAL")), PEC_Info_Scen_assumptions!$C$5, 1) * PEC_Info!I129</f>
        <v>7913.2777378105056</v>
      </c>
      <c r="J129">
        <f>PEC_Info!J129</f>
        <v>0.15000000000000002</v>
      </c>
      <c r="K129">
        <f>PEC_Info!K129</f>
        <v>400</v>
      </c>
    </row>
    <row r="130" spans="1:11">
      <c r="A130" t="str">
        <f>PEC_Info!A130</f>
        <v>COKING_COAL</v>
      </c>
      <c r="B130" t="str">
        <f>PEC_Info!B130</f>
        <v>INDIA</v>
      </c>
      <c r="C130" t="str">
        <f xml:space="preserve"> IF(ISBLANK(PEC_Info!C130), "", PEC_Info!C130)</f>
        <v>ER</v>
      </c>
      <c r="D130">
        <f>PEC_Info!D130</f>
        <v>2024</v>
      </c>
      <c r="E130">
        <f>PEC_Info!E130</f>
        <v>0</v>
      </c>
      <c r="F130" s="372">
        <f xml:space="preserve"> IF(AND(D130 &lt;&gt; 2020, OR(A130 = "NATGAS", A130 = "STEAM_COAL", A130 = "COKING_COAL")), PEC_Info_Scen_assumptions!$C$5, 1) * PEC_Info!F130</f>
        <v>0</v>
      </c>
      <c r="G130">
        <f>PEC_Info!G130</f>
        <v>0</v>
      </c>
      <c r="H130">
        <f>PEC_Info!H130</f>
        <v>0</v>
      </c>
      <c r="I130" s="372">
        <f xml:space="preserve"> IF(AND(D130 &lt;&gt; 2020, OR(A130 = "NATGAS", A130 = "STEAM_COAL", A130 = "COKING_COAL")), PEC_Info_Scen_assumptions!$C$5, 1) * PEC_Info!I130</f>
        <v>7957.8595842207051</v>
      </c>
      <c r="J130">
        <f>PEC_Info!J130</f>
        <v>0.15000000000000002</v>
      </c>
      <c r="K130">
        <f>PEC_Info!K130</f>
        <v>400</v>
      </c>
    </row>
    <row r="131" spans="1:11">
      <c r="A131" t="str">
        <f>PEC_Info!A131</f>
        <v>COKING_COAL</v>
      </c>
      <c r="B131" t="str">
        <f>PEC_Info!B131</f>
        <v>INDIA</v>
      </c>
      <c r="C131" t="str">
        <f xml:space="preserve"> IF(ISBLANK(PEC_Info!C131), "", PEC_Info!C131)</f>
        <v>WR</v>
      </c>
      <c r="D131">
        <f>PEC_Info!D131</f>
        <v>2024</v>
      </c>
      <c r="E131">
        <f>PEC_Info!E131</f>
        <v>0</v>
      </c>
      <c r="F131" s="372">
        <f xml:space="preserve"> IF(AND(D131 &lt;&gt; 2020, OR(A131 = "NATGAS", A131 = "STEAM_COAL", A131 = "COKING_COAL")), PEC_Info_Scen_assumptions!$C$5, 1) * PEC_Info!F131</f>
        <v>0</v>
      </c>
      <c r="G131">
        <f>PEC_Info!G131</f>
        <v>0</v>
      </c>
      <c r="H131">
        <f>PEC_Info!H131</f>
        <v>0</v>
      </c>
      <c r="I131" s="372">
        <f xml:space="preserve"> IF(AND(D131 &lt;&gt; 2020, OR(A131 = "NATGAS", A131 = "STEAM_COAL", A131 = "COKING_COAL")), PEC_Info_Scen_assumptions!$C$5, 1) * PEC_Info!I131</f>
        <v>7957.8595842207051</v>
      </c>
      <c r="J131">
        <f>PEC_Info!J131</f>
        <v>0.15000000000000002</v>
      </c>
      <c r="K131">
        <f>PEC_Info!K131</f>
        <v>400</v>
      </c>
    </row>
    <row r="132" spans="1:11">
      <c r="A132" t="str">
        <f>PEC_Info!A132</f>
        <v>COKING_COAL</v>
      </c>
      <c r="B132" t="str">
        <f>PEC_Info!B132</f>
        <v>INDIA</v>
      </c>
      <c r="C132" t="str">
        <f xml:space="preserve"> IF(ISBLANK(PEC_Info!C132), "", PEC_Info!C132)</f>
        <v>NR</v>
      </c>
      <c r="D132">
        <f>PEC_Info!D132</f>
        <v>2024</v>
      </c>
      <c r="E132">
        <f>PEC_Info!E132</f>
        <v>0</v>
      </c>
      <c r="F132" s="372">
        <f xml:space="preserve"> IF(AND(D132 &lt;&gt; 2020, OR(A132 = "NATGAS", A132 = "STEAM_COAL", A132 = "COKING_COAL")), PEC_Info_Scen_assumptions!$C$5, 1) * PEC_Info!F132</f>
        <v>0</v>
      </c>
      <c r="G132">
        <f>PEC_Info!G132</f>
        <v>0</v>
      </c>
      <c r="H132">
        <f>PEC_Info!H132</f>
        <v>0</v>
      </c>
      <c r="I132" s="372">
        <f xml:space="preserve"> IF(AND(D132 &lt;&gt; 2020, OR(A132 = "NATGAS", A132 = "STEAM_COAL", A132 = "COKING_COAL")), PEC_Info_Scen_assumptions!$C$5, 1) * PEC_Info!I132</f>
        <v>7957.8595842207051</v>
      </c>
      <c r="J132">
        <f>PEC_Info!J132</f>
        <v>0.15000000000000002</v>
      </c>
      <c r="K132">
        <f>PEC_Info!K132</f>
        <v>400</v>
      </c>
    </row>
    <row r="133" spans="1:11">
      <c r="A133" t="str">
        <f>PEC_Info!A133</f>
        <v>COKING_COAL</v>
      </c>
      <c r="B133" t="str">
        <f>PEC_Info!B133</f>
        <v>INDIA</v>
      </c>
      <c r="C133" t="str">
        <f xml:space="preserve"> IF(ISBLANK(PEC_Info!C133), "", PEC_Info!C133)</f>
        <v>SR</v>
      </c>
      <c r="D133">
        <f>PEC_Info!D133</f>
        <v>2024</v>
      </c>
      <c r="E133">
        <f>PEC_Info!E133</f>
        <v>0</v>
      </c>
      <c r="F133" s="372">
        <f xml:space="preserve"> IF(AND(D133 &lt;&gt; 2020, OR(A133 = "NATGAS", A133 = "STEAM_COAL", A133 = "COKING_COAL")), PEC_Info_Scen_assumptions!$C$5, 1) * PEC_Info!F133</f>
        <v>0</v>
      </c>
      <c r="G133">
        <f>PEC_Info!G133</f>
        <v>0</v>
      </c>
      <c r="H133">
        <f>PEC_Info!H133</f>
        <v>0</v>
      </c>
      <c r="I133" s="372">
        <f xml:space="preserve"> IF(AND(D133 &lt;&gt; 2020, OR(A133 = "NATGAS", A133 = "STEAM_COAL", A133 = "COKING_COAL")), PEC_Info_Scen_assumptions!$C$5, 1) * PEC_Info!I133</f>
        <v>7957.8595842207051</v>
      </c>
      <c r="J133">
        <f>PEC_Info!J133</f>
        <v>0.15000000000000002</v>
      </c>
      <c r="K133">
        <f>PEC_Info!K133</f>
        <v>400</v>
      </c>
    </row>
    <row r="134" spans="1:11">
      <c r="A134" t="str">
        <f>PEC_Info!A134</f>
        <v>COKING_COAL</v>
      </c>
      <c r="B134" t="str">
        <f>PEC_Info!B134</f>
        <v>INDIA</v>
      </c>
      <c r="C134" t="str">
        <f xml:space="preserve"> IF(ISBLANK(PEC_Info!C134), "", PEC_Info!C134)</f>
        <v>NER</v>
      </c>
      <c r="D134">
        <f>PEC_Info!D134</f>
        <v>2024</v>
      </c>
      <c r="E134">
        <f>PEC_Info!E134</f>
        <v>0</v>
      </c>
      <c r="F134" s="372">
        <f xml:space="preserve"> IF(AND(D134 &lt;&gt; 2020, OR(A134 = "NATGAS", A134 = "STEAM_COAL", A134 = "COKING_COAL")), PEC_Info_Scen_assumptions!$C$5, 1) * PEC_Info!F134</f>
        <v>0</v>
      </c>
      <c r="G134">
        <f>PEC_Info!G134</f>
        <v>0</v>
      </c>
      <c r="H134">
        <f>PEC_Info!H134</f>
        <v>0</v>
      </c>
      <c r="I134" s="372">
        <f xml:space="preserve"> IF(AND(D134 &lt;&gt; 2020, OR(A134 = "NATGAS", A134 = "STEAM_COAL", A134 = "COKING_COAL")), PEC_Info_Scen_assumptions!$C$5, 1) * PEC_Info!I134</f>
        <v>7957.8595842207051</v>
      </c>
      <c r="J134">
        <f>PEC_Info!J134</f>
        <v>0.15000000000000002</v>
      </c>
      <c r="K134">
        <f>PEC_Info!K134</f>
        <v>400</v>
      </c>
    </row>
    <row r="135" spans="1:11">
      <c r="A135" t="str">
        <f>PEC_Info!A135</f>
        <v>COKING_COAL</v>
      </c>
      <c r="B135" t="str">
        <f>PEC_Info!B135</f>
        <v>INDIA</v>
      </c>
      <c r="C135" t="str">
        <f xml:space="preserve"> IF(ISBLANK(PEC_Info!C135), "", PEC_Info!C135)</f>
        <v>ER</v>
      </c>
      <c r="D135">
        <f>PEC_Info!D135</f>
        <v>2025</v>
      </c>
      <c r="E135">
        <f>PEC_Info!E135</f>
        <v>0</v>
      </c>
      <c r="F135" s="372">
        <f xml:space="preserve"> IF(AND(D135 &lt;&gt; 2020, OR(A135 = "NATGAS", A135 = "STEAM_COAL", A135 = "COKING_COAL")), PEC_Info_Scen_assumptions!$C$5, 1) * PEC_Info!F135</f>
        <v>0</v>
      </c>
      <c r="G135">
        <f>PEC_Info!G135</f>
        <v>0</v>
      </c>
      <c r="H135">
        <f>PEC_Info!H135</f>
        <v>0</v>
      </c>
      <c r="I135" s="372">
        <f xml:space="preserve"> IF(AND(D135 &lt;&gt; 2020, OR(A135 = "NATGAS", A135 = "STEAM_COAL", A135 = "COKING_COAL")), PEC_Info_Scen_assumptions!$C$5, 1) * PEC_Info!I135</f>
        <v>8015.5540662063058</v>
      </c>
      <c r="J135">
        <f>PEC_Info!J135</f>
        <v>0.15000000000000002</v>
      </c>
      <c r="K135">
        <f>PEC_Info!K135</f>
        <v>400</v>
      </c>
    </row>
    <row r="136" spans="1:11">
      <c r="A136" t="str">
        <f>PEC_Info!A136</f>
        <v>COKING_COAL</v>
      </c>
      <c r="B136" t="str">
        <f>PEC_Info!B136</f>
        <v>INDIA</v>
      </c>
      <c r="C136" t="str">
        <f xml:space="preserve"> IF(ISBLANK(PEC_Info!C136), "", PEC_Info!C136)</f>
        <v>WR</v>
      </c>
      <c r="D136">
        <f>PEC_Info!D136</f>
        <v>2025</v>
      </c>
      <c r="E136">
        <f>PEC_Info!E136</f>
        <v>0</v>
      </c>
      <c r="F136" s="372">
        <f xml:space="preserve"> IF(AND(D136 &lt;&gt; 2020, OR(A136 = "NATGAS", A136 = "STEAM_COAL", A136 = "COKING_COAL")), PEC_Info_Scen_assumptions!$C$5, 1) * PEC_Info!F136</f>
        <v>0</v>
      </c>
      <c r="G136">
        <f>PEC_Info!G136</f>
        <v>0</v>
      </c>
      <c r="H136">
        <f>PEC_Info!H136</f>
        <v>0</v>
      </c>
      <c r="I136" s="372">
        <f xml:space="preserve"> IF(AND(D136 &lt;&gt; 2020, OR(A136 = "NATGAS", A136 = "STEAM_COAL", A136 = "COKING_COAL")), PEC_Info_Scen_assumptions!$C$5, 1) * PEC_Info!I136</f>
        <v>8015.5540662063058</v>
      </c>
      <c r="J136">
        <f>PEC_Info!J136</f>
        <v>0.15000000000000002</v>
      </c>
      <c r="K136">
        <f>PEC_Info!K136</f>
        <v>400</v>
      </c>
    </row>
    <row r="137" spans="1:11">
      <c r="A137" t="str">
        <f>PEC_Info!A137</f>
        <v>COKING_COAL</v>
      </c>
      <c r="B137" t="str">
        <f>PEC_Info!B137</f>
        <v>INDIA</v>
      </c>
      <c r="C137" t="str">
        <f xml:space="preserve"> IF(ISBLANK(PEC_Info!C137), "", PEC_Info!C137)</f>
        <v>NR</v>
      </c>
      <c r="D137">
        <f>PEC_Info!D137</f>
        <v>2025</v>
      </c>
      <c r="E137">
        <f>PEC_Info!E137</f>
        <v>0</v>
      </c>
      <c r="F137" s="372">
        <f xml:space="preserve"> IF(AND(D137 &lt;&gt; 2020, OR(A137 = "NATGAS", A137 = "STEAM_COAL", A137 = "COKING_COAL")), PEC_Info_Scen_assumptions!$C$5, 1) * PEC_Info!F137</f>
        <v>0</v>
      </c>
      <c r="G137">
        <f>PEC_Info!G137</f>
        <v>0</v>
      </c>
      <c r="H137">
        <f>PEC_Info!H137</f>
        <v>0</v>
      </c>
      <c r="I137" s="372">
        <f xml:space="preserve"> IF(AND(D137 &lt;&gt; 2020, OR(A137 = "NATGAS", A137 = "STEAM_COAL", A137 = "COKING_COAL")), PEC_Info_Scen_assumptions!$C$5, 1) * PEC_Info!I137</f>
        <v>8015.5540662063058</v>
      </c>
      <c r="J137">
        <f>PEC_Info!J137</f>
        <v>0.15000000000000002</v>
      </c>
      <c r="K137">
        <f>PEC_Info!K137</f>
        <v>400</v>
      </c>
    </row>
    <row r="138" spans="1:11">
      <c r="A138" t="str">
        <f>PEC_Info!A138</f>
        <v>COKING_COAL</v>
      </c>
      <c r="B138" t="str">
        <f>PEC_Info!B138</f>
        <v>INDIA</v>
      </c>
      <c r="C138" t="str">
        <f xml:space="preserve"> IF(ISBLANK(PEC_Info!C138), "", PEC_Info!C138)</f>
        <v>SR</v>
      </c>
      <c r="D138">
        <f>PEC_Info!D138</f>
        <v>2025</v>
      </c>
      <c r="E138">
        <f>PEC_Info!E138</f>
        <v>0</v>
      </c>
      <c r="F138" s="372">
        <f xml:space="preserve"> IF(AND(D138 &lt;&gt; 2020, OR(A138 = "NATGAS", A138 = "STEAM_COAL", A138 = "COKING_COAL")), PEC_Info_Scen_assumptions!$C$5, 1) * PEC_Info!F138</f>
        <v>0</v>
      </c>
      <c r="G138">
        <f>PEC_Info!G138</f>
        <v>0</v>
      </c>
      <c r="H138">
        <f>PEC_Info!H138</f>
        <v>0</v>
      </c>
      <c r="I138" s="372">
        <f xml:space="preserve"> IF(AND(D138 &lt;&gt; 2020, OR(A138 = "NATGAS", A138 = "STEAM_COAL", A138 = "COKING_COAL")), PEC_Info_Scen_assumptions!$C$5, 1) * PEC_Info!I138</f>
        <v>8015.5540662063058</v>
      </c>
      <c r="J138">
        <f>PEC_Info!J138</f>
        <v>0.15000000000000002</v>
      </c>
      <c r="K138">
        <f>PEC_Info!K138</f>
        <v>400</v>
      </c>
    </row>
    <row r="139" spans="1:11">
      <c r="A139" t="str">
        <f>PEC_Info!A139</f>
        <v>COKING_COAL</v>
      </c>
      <c r="B139" t="str">
        <f>PEC_Info!B139</f>
        <v>INDIA</v>
      </c>
      <c r="C139" t="str">
        <f xml:space="preserve"> IF(ISBLANK(PEC_Info!C139), "", PEC_Info!C139)</f>
        <v>NER</v>
      </c>
      <c r="D139">
        <f>PEC_Info!D139</f>
        <v>2025</v>
      </c>
      <c r="E139">
        <f>PEC_Info!E139</f>
        <v>0</v>
      </c>
      <c r="F139" s="372">
        <f xml:space="preserve"> IF(AND(D139 &lt;&gt; 2020, OR(A139 = "NATGAS", A139 = "STEAM_COAL", A139 = "COKING_COAL")), PEC_Info_Scen_assumptions!$C$5, 1) * PEC_Info!F139</f>
        <v>0</v>
      </c>
      <c r="G139">
        <f>PEC_Info!G139</f>
        <v>0</v>
      </c>
      <c r="H139">
        <f>PEC_Info!H139</f>
        <v>0</v>
      </c>
      <c r="I139" s="372">
        <f xml:space="preserve"> IF(AND(D139 &lt;&gt; 2020, OR(A139 = "NATGAS", A139 = "STEAM_COAL", A139 = "COKING_COAL")), PEC_Info_Scen_assumptions!$C$5, 1) * PEC_Info!I139</f>
        <v>8015.5540662063058</v>
      </c>
      <c r="J139">
        <f>PEC_Info!J139</f>
        <v>0.15000000000000002</v>
      </c>
      <c r="K139">
        <f>PEC_Info!K139</f>
        <v>400</v>
      </c>
    </row>
    <row r="140" spans="1:11">
      <c r="A140" t="str">
        <f>PEC_Info!A140</f>
        <v>COKING_COAL</v>
      </c>
      <c r="B140" t="str">
        <f>PEC_Info!B140</f>
        <v>INDIA</v>
      </c>
      <c r="C140" t="str">
        <f xml:space="preserve"> IF(ISBLANK(PEC_Info!C140), "", PEC_Info!C140)</f>
        <v>ER</v>
      </c>
      <c r="D140">
        <f>PEC_Info!D140</f>
        <v>2026</v>
      </c>
      <c r="E140">
        <f>PEC_Info!E140</f>
        <v>0</v>
      </c>
      <c r="F140" s="372">
        <f xml:space="preserve"> IF(AND(D140 &lt;&gt; 2020, OR(A140 = "NATGAS", A140 = "STEAM_COAL", A140 = "COKING_COAL")), PEC_Info_Scen_assumptions!$C$5, 1) * PEC_Info!F140</f>
        <v>0</v>
      </c>
      <c r="G140">
        <f>PEC_Info!G140</f>
        <v>0</v>
      </c>
      <c r="H140">
        <f>PEC_Info!H140</f>
        <v>0</v>
      </c>
      <c r="I140" s="372">
        <f xml:space="preserve"> IF(AND(D140 &lt;&gt; 2020, OR(A140 = "NATGAS", A140 = "STEAM_COAL", A140 = "COKING_COAL")), PEC_Info_Scen_assumptions!$C$5, 1) * PEC_Info!I140</f>
        <v>8057.5886173672425</v>
      </c>
      <c r="J140">
        <f>PEC_Info!J140</f>
        <v>0.15000000000000002</v>
      </c>
      <c r="K140">
        <f>PEC_Info!K140</f>
        <v>400</v>
      </c>
    </row>
    <row r="141" spans="1:11">
      <c r="A141" t="str">
        <f>PEC_Info!A141</f>
        <v>COKING_COAL</v>
      </c>
      <c r="B141" t="str">
        <f>PEC_Info!B141</f>
        <v>INDIA</v>
      </c>
      <c r="C141" t="str">
        <f xml:space="preserve"> IF(ISBLANK(PEC_Info!C141), "", PEC_Info!C141)</f>
        <v>WR</v>
      </c>
      <c r="D141">
        <f>PEC_Info!D141</f>
        <v>2026</v>
      </c>
      <c r="E141">
        <f>PEC_Info!E141</f>
        <v>0</v>
      </c>
      <c r="F141" s="372">
        <f xml:space="preserve"> IF(AND(D141 &lt;&gt; 2020, OR(A141 = "NATGAS", A141 = "STEAM_COAL", A141 = "COKING_COAL")), PEC_Info_Scen_assumptions!$C$5, 1) * PEC_Info!F141</f>
        <v>0</v>
      </c>
      <c r="G141">
        <f>PEC_Info!G141</f>
        <v>0</v>
      </c>
      <c r="H141">
        <f>PEC_Info!H141</f>
        <v>0</v>
      </c>
      <c r="I141" s="372">
        <f xml:space="preserve"> IF(AND(D141 &lt;&gt; 2020, OR(A141 = "NATGAS", A141 = "STEAM_COAL", A141 = "COKING_COAL")), PEC_Info_Scen_assumptions!$C$5, 1) * PEC_Info!I141</f>
        <v>8057.5886173672425</v>
      </c>
      <c r="J141">
        <f>PEC_Info!J141</f>
        <v>0.15000000000000002</v>
      </c>
      <c r="K141">
        <f>PEC_Info!K141</f>
        <v>400</v>
      </c>
    </row>
    <row r="142" spans="1:11">
      <c r="A142" t="str">
        <f>PEC_Info!A142</f>
        <v>COKING_COAL</v>
      </c>
      <c r="B142" t="str">
        <f>PEC_Info!B142</f>
        <v>INDIA</v>
      </c>
      <c r="C142" t="str">
        <f xml:space="preserve"> IF(ISBLANK(PEC_Info!C142), "", PEC_Info!C142)</f>
        <v>NR</v>
      </c>
      <c r="D142">
        <f>PEC_Info!D142</f>
        <v>2026</v>
      </c>
      <c r="E142">
        <f>PEC_Info!E142</f>
        <v>0</v>
      </c>
      <c r="F142" s="372">
        <f xml:space="preserve"> IF(AND(D142 &lt;&gt; 2020, OR(A142 = "NATGAS", A142 = "STEAM_COAL", A142 = "COKING_COAL")), PEC_Info_Scen_assumptions!$C$5, 1) * PEC_Info!F142</f>
        <v>0</v>
      </c>
      <c r="G142">
        <f>PEC_Info!G142</f>
        <v>0</v>
      </c>
      <c r="H142">
        <f>PEC_Info!H142</f>
        <v>0</v>
      </c>
      <c r="I142" s="372">
        <f xml:space="preserve"> IF(AND(D142 &lt;&gt; 2020, OR(A142 = "NATGAS", A142 = "STEAM_COAL", A142 = "COKING_COAL")), PEC_Info_Scen_assumptions!$C$5, 1) * PEC_Info!I142</f>
        <v>8057.5886173672425</v>
      </c>
      <c r="J142">
        <f>PEC_Info!J142</f>
        <v>0.15000000000000002</v>
      </c>
      <c r="K142">
        <f>PEC_Info!K142</f>
        <v>400</v>
      </c>
    </row>
    <row r="143" spans="1:11">
      <c r="A143" t="str">
        <f>PEC_Info!A143</f>
        <v>COKING_COAL</v>
      </c>
      <c r="B143" t="str">
        <f>PEC_Info!B143</f>
        <v>INDIA</v>
      </c>
      <c r="C143" t="str">
        <f xml:space="preserve"> IF(ISBLANK(PEC_Info!C143), "", PEC_Info!C143)</f>
        <v>SR</v>
      </c>
      <c r="D143">
        <f>PEC_Info!D143</f>
        <v>2026</v>
      </c>
      <c r="E143">
        <f>PEC_Info!E143</f>
        <v>0</v>
      </c>
      <c r="F143" s="372">
        <f xml:space="preserve"> IF(AND(D143 &lt;&gt; 2020, OR(A143 = "NATGAS", A143 = "STEAM_COAL", A143 = "COKING_COAL")), PEC_Info_Scen_assumptions!$C$5, 1) * PEC_Info!F143</f>
        <v>0</v>
      </c>
      <c r="G143">
        <f>PEC_Info!G143</f>
        <v>0</v>
      </c>
      <c r="H143">
        <f>PEC_Info!H143</f>
        <v>0</v>
      </c>
      <c r="I143" s="372">
        <f xml:space="preserve"> IF(AND(D143 &lt;&gt; 2020, OR(A143 = "NATGAS", A143 = "STEAM_COAL", A143 = "COKING_COAL")), PEC_Info_Scen_assumptions!$C$5, 1) * PEC_Info!I143</f>
        <v>8057.5886173672425</v>
      </c>
      <c r="J143">
        <f>PEC_Info!J143</f>
        <v>0.15000000000000002</v>
      </c>
      <c r="K143">
        <f>PEC_Info!K143</f>
        <v>400</v>
      </c>
    </row>
    <row r="144" spans="1:11">
      <c r="A144" t="str">
        <f>PEC_Info!A144</f>
        <v>COKING_COAL</v>
      </c>
      <c r="B144" t="str">
        <f>PEC_Info!B144</f>
        <v>INDIA</v>
      </c>
      <c r="C144" t="str">
        <f xml:space="preserve"> IF(ISBLANK(PEC_Info!C144), "", PEC_Info!C144)</f>
        <v>NER</v>
      </c>
      <c r="D144">
        <f>PEC_Info!D144</f>
        <v>2026</v>
      </c>
      <c r="E144">
        <f>PEC_Info!E144</f>
        <v>0</v>
      </c>
      <c r="F144" s="372">
        <f xml:space="preserve"> IF(AND(D144 &lt;&gt; 2020, OR(A144 = "NATGAS", A144 = "STEAM_COAL", A144 = "COKING_COAL")), PEC_Info_Scen_assumptions!$C$5, 1) * PEC_Info!F144</f>
        <v>0</v>
      </c>
      <c r="G144">
        <f>PEC_Info!G144</f>
        <v>0</v>
      </c>
      <c r="H144">
        <f>PEC_Info!H144</f>
        <v>0</v>
      </c>
      <c r="I144" s="372">
        <f xml:space="preserve"> IF(AND(D144 &lt;&gt; 2020, OR(A144 = "NATGAS", A144 = "STEAM_COAL", A144 = "COKING_COAL")), PEC_Info_Scen_assumptions!$C$5, 1) * PEC_Info!I144</f>
        <v>8057.5886173672425</v>
      </c>
      <c r="J144">
        <f>PEC_Info!J144</f>
        <v>0.15000000000000002</v>
      </c>
      <c r="K144">
        <f>PEC_Info!K144</f>
        <v>400</v>
      </c>
    </row>
    <row r="145" spans="1:11">
      <c r="A145" t="str">
        <f>PEC_Info!A145</f>
        <v>COKING_COAL</v>
      </c>
      <c r="B145" t="str">
        <f>PEC_Info!B145</f>
        <v>INDIA</v>
      </c>
      <c r="C145" t="str">
        <f xml:space="preserve"> IF(ISBLANK(PEC_Info!C145), "", PEC_Info!C145)</f>
        <v>ER</v>
      </c>
      <c r="D145">
        <f>PEC_Info!D145</f>
        <v>2027</v>
      </c>
      <c r="E145">
        <f>PEC_Info!E145</f>
        <v>0</v>
      </c>
      <c r="F145" s="372">
        <f xml:space="preserve"> IF(AND(D145 &lt;&gt; 2020, OR(A145 = "NATGAS", A145 = "STEAM_COAL", A145 = "COKING_COAL")), PEC_Info_Scen_assumptions!$C$5, 1) * PEC_Info!F145</f>
        <v>0</v>
      </c>
      <c r="G145">
        <f>PEC_Info!G145</f>
        <v>0</v>
      </c>
      <c r="H145">
        <f>PEC_Info!H145</f>
        <v>0</v>
      </c>
      <c r="I145" s="372">
        <f xml:space="preserve"> IF(AND(D145 &lt;&gt; 2020, OR(A145 = "NATGAS", A145 = "STEAM_COAL", A145 = "COKING_COAL")), PEC_Info_Scen_assumptions!$C$5, 1) * PEC_Info!I145</f>
        <v>8097.5952508580158</v>
      </c>
      <c r="J145">
        <f>PEC_Info!J145</f>
        <v>0.15000000000000002</v>
      </c>
      <c r="K145">
        <f>PEC_Info!K145</f>
        <v>400</v>
      </c>
    </row>
    <row r="146" spans="1:11">
      <c r="A146" t="str">
        <f>PEC_Info!A146</f>
        <v>COKING_COAL</v>
      </c>
      <c r="B146" t="str">
        <f>PEC_Info!B146</f>
        <v>INDIA</v>
      </c>
      <c r="C146" t="str">
        <f xml:space="preserve"> IF(ISBLANK(PEC_Info!C146), "", PEC_Info!C146)</f>
        <v>WR</v>
      </c>
      <c r="D146">
        <f>PEC_Info!D146</f>
        <v>2027</v>
      </c>
      <c r="E146">
        <f>PEC_Info!E146</f>
        <v>0</v>
      </c>
      <c r="F146" s="372">
        <f xml:space="preserve"> IF(AND(D146 &lt;&gt; 2020, OR(A146 = "NATGAS", A146 = "STEAM_COAL", A146 = "COKING_COAL")), PEC_Info_Scen_assumptions!$C$5, 1) * PEC_Info!F146</f>
        <v>0</v>
      </c>
      <c r="G146">
        <f>PEC_Info!G146</f>
        <v>0</v>
      </c>
      <c r="H146">
        <f>PEC_Info!H146</f>
        <v>0</v>
      </c>
      <c r="I146" s="372">
        <f xml:space="preserve"> IF(AND(D146 &lt;&gt; 2020, OR(A146 = "NATGAS", A146 = "STEAM_COAL", A146 = "COKING_COAL")), PEC_Info_Scen_assumptions!$C$5, 1) * PEC_Info!I146</f>
        <v>8097.5952508580158</v>
      </c>
      <c r="J146">
        <f>PEC_Info!J146</f>
        <v>0.15000000000000002</v>
      </c>
      <c r="K146">
        <f>PEC_Info!K146</f>
        <v>400</v>
      </c>
    </row>
    <row r="147" spans="1:11">
      <c r="A147" t="str">
        <f>PEC_Info!A147</f>
        <v>COKING_COAL</v>
      </c>
      <c r="B147" t="str">
        <f>PEC_Info!B147</f>
        <v>INDIA</v>
      </c>
      <c r="C147" t="str">
        <f xml:space="preserve"> IF(ISBLANK(PEC_Info!C147), "", PEC_Info!C147)</f>
        <v>NR</v>
      </c>
      <c r="D147">
        <f>PEC_Info!D147</f>
        <v>2027</v>
      </c>
      <c r="E147">
        <f>PEC_Info!E147</f>
        <v>0</v>
      </c>
      <c r="F147" s="372">
        <f xml:space="preserve"> IF(AND(D147 &lt;&gt; 2020, OR(A147 = "NATGAS", A147 = "STEAM_COAL", A147 = "COKING_COAL")), PEC_Info_Scen_assumptions!$C$5, 1) * PEC_Info!F147</f>
        <v>0</v>
      </c>
      <c r="G147">
        <f>PEC_Info!G147</f>
        <v>0</v>
      </c>
      <c r="H147">
        <f>PEC_Info!H147</f>
        <v>0</v>
      </c>
      <c r="I147" s="372">
        <f xml:space="preserve"> IF(AND(D147 &lt;&gt; 2020, OR(A147 = "NATGAS", A147 = "STEAM_COAL", A147 = "COKING_COAL")), PEC_Info_Scen_assumptions!$C$5, 1) * PEC_Info!I147</f>
        <v>8097.5952508580158</v>
      </c>
      <c r="J147">
        <f>PEC_Info!J147</f>
        <v>0.15000000000000002</v>
      </c>
      <c r="K147">
        <f>PEC_Info!K147</f>
        <v>400</v>
      </c>
    </row>
    <row r="148" spans="1:11">
      <c r="A148" t="str">
        <f>PEC_Info!A148</f>
        <v>COKING_COAL</v>
      </c>
      <c r="B148" t="str">
        <f>PEC_Info!B148</f>
        <v>INDIA</v>
      </c>
      <c r="C148" t="str">
        <f xml:space="preserve"> IF(ISBLANK(PEC_Info!C148), "", PEC_Info!C148)</f>
        <v>SR</v>
      </c>
      <c r="D148">
        <f>PEC_Info!D148</f>
        <v>2027</v>
      </c>
      <c r="E148">
        <f>PEC_Info!E148</f>
        <v>0</v>
      </c>
      <c r="F148" s="372">
        <f xml:space="preserve"> IF(AND(D148 &lt;&gt; 2020, OR(A148 = "NATGAS", A148 = "STEAM_COAL", A148 = "COKING_COAL")), PEC_Info_Scen_assumptions!$C$5, 1) * PEC_Info!F148</f>
        <v>0</v>
      </c>
      <c r="G148">
        <f>PEC_Info!G148</f>
        <v>0</v>
      </c>
      <c r="H148">
        <f>PEC_Info!H148</f>
        <v>0</v>
      </c>
      <c r="I148" s="372">
        <f xml:space="preserve"> IF(AND(D148 &lt;&gt; 2020, OR(A148 = "NATGAS", A148 = "STEAM_COAL", A148 = "COKING_COAL")), PEC_Info_Scen_assumptions!$C$5, 1) * PEC_Info!I148</f>
        <v>8097.5952508580158</v>
      </c>
      <c r="J148">
        <f>PEC_Info!J148</f>
        <v>0.15000000000000002</v>
      </c>
      <c r="K148">
        <f>PEC_Info!K148</f>
        <v>400</v>
      </c>
    </row>
    <row r="149" spans="1:11">
      <c r="A149" t="str">
        <f>PEC_Info!A149</f>
        <v>COKING_COAL</v>
      </c>
      <c r="B149" t="str">
        <f>PEC_Info!B149</f>
        <v>INDIA</v>
      </c>
      <c r="C149" t="str">
        <f xml:space="preserve"> IF(ISBLANK(PEC_Info!C149), "", PEC_Info!C149)</f>
        <v>NER</v>
      </c>
      <c r="D149">
        <f>PEC_Info!D149</f>
        <v>2027</v>
      </c>
      <c r="E149">
        <f>PEC_Info!E149</f>
        <v>0</v>
      </c>
      <c r="F149" s="372">
        <f xml:space="preserve"> IF(AND(D149 &lt;&gt; 2020, OR(A149 = "NATGAS", A149 = "STEAM_COAL", A149 = "COKING_COAL")), PEC_Info_Scen_assumptions!$C$5, 1) * PEC_Info!F149</f>
        <v>0</v>
      </c>
      <c r="G149">
        <f>PEC_Info!G149</f>
        <v>0</v>
      </c>
      <c r="H149">
        <f>PEC_Info!H149</f>
        <v>0</v>
      </c>
      <c r="I149" s="372">
        <f xml:space="preserve"> IF(AND(D149 &lt;&gt; 2020, OR(A149 = "NATGAS", A149 = "STEAM_COAL", A149 = "COKING_COAL")), PEC_Info_Scen_assumptions!$C$5, 1) * PEC_Info!I149</f>
        <v>8097.5952508580158</v>
      </c>
      <c r="J149">
        <f>PEC_Info!J149</f>
        <v>0.15000000000000002</v>
      </c>
      <c r="K149">
        <f>PEC_Info!K149</f>
        <v>400</v>
      </c>
    </row>
    <row r="150" spans="1:11">
      <c r="A150" t="str">
        <f>PEC_Info!A150</f>
        <v>COKING_COAL</v>
      </c>
      <c r="B150" t="str">
        <f>PEC_Info!B150</f>
        <v>INDIA</v>
      </c>
      <c r="C150" t="str">
        <f xml:space="preserve"> IF(ISBLANK(PEC_Info!C150), "", PEC_Info!C150)</f>
        <v>ER</v>
      </c>
      <c r="D150">
        <f>PEC_Info!D150</f>
        <v>2028</v>
      </c>
      <c r="E150">
        <f>PEC_Info!E150</f>
        <v>0</v>
      </c>
      <c r="F150" s="372">
        <f xml:space="preserve"> IF(AND(D150 &lt;&gt; 2020, OR(A150 = "NATGAS", A150 = "STEAM_COAL", A150 = "COKING_COAL")), PEC_Info_Scen_assumptions!$C$5, 1) * PEC_Info!F150</f>
        <v>0</v>
      </c>
      <c r="G150">
        <f>PEC_Info!G150</f>
        <v>0</v>
      </c>
      <c r="H150">
        <f>PEC_Info!H150</f>
        <v>0</v>
      </c>
      <c r="I150" s="372">
        <f xml:space="preserve"> IF(AND(D150 &lt;&gt; 2020, OR(A150 = "NATGAS", A150 = "STEAM_COAL", A150 = "COKING_COAL")), PEC_Info_Scen_assumptions!$C$5, 1) * PEC_Info!I150</f>
        <v>8137.8005207894485</v>
      </c>
      <c r="J150">
        <f>PEC_Info!J150</f>
        <v>0.15000000000000002</v>
      </c>
      <c r="K150">
        <f>PEC_Info!K150</f>
        <v>400</v>
      </c>
    </row>
    <row r="151" spans="1:11">
      <c r="A151" t="str">
        <f>PEC_Info!A151</f>
        <v>COKING_COAL</v>
      </c>
      <c r="B151" t="str">
        <f>PEC_Info!B151</f>
        <v>INDIA</v>
      </c>
      <c r="C151" t="str">
        <f xml:space="preserve"> IF(ISBLANK(PEC_Info!C151), "", PEC_Info!C151)</f>
        <v>WR</v>
      </c>
      <c r="D151">
        <f>PEC_Info!D151</f>
        <v>2028</v>
      </c>
      <c r="E151">
        <f>PEC_Info!E151</f>
        <v>0</v>
      </c>
      <c r="F151" s="372">
        <f xml:space="preserve"> IF(AND(D151 &lt;&gt; 2020, OR(A151 = "NATGAS", A151 = "STEAM_COAL", A151 = "COKING_COAL")), PEC_Info_Scen_assumptions!$C$5, 1) * PEC_Info!F151</f>
        <v>0</v>
      </c>
      <c r="G151">
        <f>PEC_Info!G151</f>
        <v>0</v>
      </c>
      <c r="H151">
        <f>PEC_Info!H151</f>
        <v>0</v>
      </c>
      <c r="I151" s="372">
        <f xml:space="preserve"> IF(AND(D151 &lt;&gt; 2020, OR(A151 = "NATGAS", A151 = "STEAM_COAL", A151 = "COKING_COAL")), PEC_Info_Scen_assumptions!$C$5, 1) * PEC_Info!I151</f>
        <v>8137.8005207894485</v>
      </c>
      <c r="J151">
        <f>PEC_Info!J151</f>
        <v>0.15000000000000002</v>
      </c>
      <c r="K151">
        <f>PEC_Info!K151</f>
        <v>400</v>
      </c>
    </row>
    <row r="152" spans="1:11">
      <c r="A152" t="str">
        <f>PEC_Info!A152</f>
        <v>COKING_COAL</v>
      </c>
      <c r="B152" t="str">
        <f>PEC_Info!B152</f>
        <v>INDIA</v>
      </c>
      <c r="C152" t="str">
        <f xml:space="preserve"> IF(ISBLANK(PEC_Info!C152), "", PEC_Info!C152)</f>
        <v>NR</v>
      </c>
      <c r="D152">
        <f>PEC_Info!D152</f>
        <v>2028</v>
      </c>
      <c r="E152">
        <f>PEC_Info!E152</f>
        <v>0</v>
      </c>
      <c r="F152" s="372">
        <f xml:space="preserve"> IF(AND(D152 &lt;&gt; 2020, OR(A152 = "NATGAS", A152 = "STEAM_COAL", A152 = "COKING_COAL")), PEC_Info_Scen_assumptions!$C$5, 1) * PEC_Info!F152</f>
        <v>0</v>
      </c>
      <c r="G152">
        <f>PEC_Info!G152</f>
        <v>0</v>
      </c>
      <c r="H152">
        <f>PEC_Info!H152</f>
        <v>0</v>
      </c>
      <c r="I152" s="372">
        <f xml:space="preserve"> IF(AND(D152 &lt;&gt; 2020, OR(A152 = "NATGAS", A152 = "STEAM_COAL", A152 = "COKING_COAL")), PEC_Info_Scen_assumptions!$C$5, 1) * PEC_Info!I152</f>
        <v>8137.8005207894485</v>
      </c>
      <c r="J152">
        <f>PEC_Info!J152</f>
        <v>0.15000000000000002</v>
      </c>
      <c r="K152">
        <f>PEC_Info!K152</f>
        <v>400</v>
      </c>
    </row>
    <row r="153" spans="1:11">
      <c r="A153" t="str">
        <f>PEC_Info!A153</f>
        <v>COKING_COAL</v>
      </c>
      <c r="B153" t="str">
        <f>PEC_Info!B153</f>
        <v>INDIA</v>
      </c>
      <c r="C153" t="str">
        <f xml:space="preserve"> IF(ISBLANK(PEC_Info!C153), "", PEC_Info!C153)</f>
        <v>SR</v>
      </c>
      <c r="D153">
        <f>PEC_Info!D153</f>
        <v>2028</v>
      </c>
      <c r="E153">
        <f>PEC_Info!E153</f>
        <v>0</v>
      </c>
      <c r="F153" s="372">
        <f xml:space="preserve"> IF(AND(D153 &lt;&gt; 2020, OR(A153 = "NATGAS", A153 = "STEAM_COAL", A153 = "COKING_COAL")), PEC_Info_Scen_assumptions!$C$5, 1) * PEC_Info!F153</f>
        <v>0</v>
      </c>
      <c r="G153">
        <f>PEC_Info!G153</f>
        <v>0</v>
      </c>
      <c r="H153">
        <f>PEC_Info!H153</f>
        <v>0</v>
      </c>
      <c r="I153" s="372">
        <f xml:space="preserve"> IF(AND(D153 &lt;&gt; 2020, OR(A153 = "NATGAS", A153 = "STEAM_COAL", A153 = "COKING_COAL")), PEC_Info_Scen_assumptions!$C$5, 1) * PEC_Info!I153</f>
        <v>8137.8005207894485</v>
      </c>
      <c r="J153">
        <f>PEC_Info!J153</f>
        <v>0.15000000000000002</v>
      </c>
      <c r="K153">
        <f>PEC_Info!K153</f>
        <v>400</v>
      </c>
    </row>
    <row r="154" spans="1:11">
      <c r="A154" t="str">
        <f>PEC_Info!A154</f>
        <v>COKING_COAL</v>
      </c>
      <c r="B154" t="str">
        <f>PEC_Info!B154</f>
        <v>INDIA</v>
      </c>
      <c r="C154" t="str">
        <f xml:space="preserve"> IF(ISBLANK(PEC_Info!C154), "", PEC_Info!C154)</f>
        <v>NER</v>
      </c>
      <c r="D154">
        <f>PEC_Info!D154</f>
        <v>2028</v>
      </c>
      <c r="E154">
        <f>PEC_Info!E154</f>
        <v>0</v>
      </c>
      <c r="F154" s="372">
        <f xml:space="preserve"> IF(AND(D154 &lt;&gt; 2020, OR(A154 = "NATGAS", A154 = "STEAM_COAL", A154 = "COKING_COAL")), PEC_Info_Scen_assumptions!$C$5, 1) * PEC_Info!F154</f>
        <v>0</v>
      </c>
      <c r="G154">
        <f>PEC_Info!G154</f>
        <v>0</v>
      </c>
      <c r="H154">
        <f>PEC_Info!H154</f>
        <v>0</v>
      </c>
      <c r="I154" s="372">
        <f xml:space="preserve"> IF(AND(D154 &lt;&gt; 2020, OR(A154 = "NATGAS", A154 = "STEAM_COAL", A154 = "COKING_COAL")), PEC_Info_Scen_assumptions!$C$5, 1) * PEC_Info!I154</f>
        <v>8137.8005207894485</v>
      </c>
      <c r="J154">
        <f>PEC_Info!J154</f>
        <v>0.15000000000000002</v>
      </c>
      <c r="K154">
        <f>PEC_Info!K154</f>
        <v>400</v>
      </c>
    </row>
    <row r="155" spans="1:11">
      <c r="A155" t="str">
        <f>PEC_Info!A155</f>
        <v>COKING_COAL</v>
      </c>
      <c r="B155" t="str">
        <f>PEC_Info!B155</f>
        <v>INDIA</v>
      </c>
      <c r="C155" t="str">
        <f xml:space="preserve"> IF(ISBLANK(PEC_Info!C155), "", PEC_Info!C155)</f>
        <v>ER</v>
      </c>
      <c r="D155">
        <f>PEC_Info!D155</f>
        <v>2029</v>
      </c>
      <c r="E155">
        <f>PEC_Info!E155</f>
        <v>0</v>
      </c>
      <c r="F155" s="372">
        <f xml:space="preserve"> IF(AND(D155 &lt;&gt; 2020, OR(A155 = "NATGAS", A155 = "STEAM_COAL", A155 = "COKING_COAL")), PEC_Info_Scen_assumptions!$C$5, 1) * PEC_Info!F155</f>
        <v>0</v>
      </c>
      <c r="G155">
        <f>PEC_Info!G155</f>
        <v>0</v>
      </c>
      <c r="H155">
        <f>PEC_Info!H155</f>
        <v>0</v>
      </c>
      <c r="I155" s="372">
        <f xml:space="preserve"> IF(AND(D155 &lt;&gt; 2020, OR(A155 = "NATGAS", A155 = "STEAM_COAL", A155 = "COKING_COAL")), PEC_Info_Scen_assumptions!$C$5, 1) * PEC_Info!I155</f>
        <v>8178.2054134088758</v>
      </c>
      <c r="J155">
        <f>PEC_Info!J155</f>
        <v>0.15000000000000002</v>
      </c>
      <c r="K155">
        <f>PEC_Info!K155</f>
        <v>400</v>
      </c>
    </row>
    <row r="156" spans="1:11">
      <c r="A156" t="str">
        <f>PEC_Info!A156</f>
        <v>COKING_COAL</v>
      </c>
      <c r="B156" t="str">
        <f>PEC_Info!B156</f>
        <v>INDIA</v>
      </c>
      <c r="C156" t="str">
        <f xml:space="preserve"> IF(ISBLANK(PEC_Info!C156), "", PEC_Info!C156)</f>
        <v>WR</v>
      </c>
      <c r="D156">
        <f>PEC_Info!D156</f>
        <v>2029</v>
      </c>
      <c r="E156">
        <f>PEC_Info!E156</f>
        <v>0</v>
      </c>
      <c r="F156" s="372">
        <f xml:space="preserve"> IF(AND(D156 &lt;&gt; 2020, OR(A156 = "NATGAS", A156 = "STEAM_COAL", A156 = "COKING_COAL")), PEC_Info_Scen_assumptions!$C$5, 1) * PEC_Info!F156</f>
        <v>0</v>
      </c>
      <c r="G156">
        <f>PEC_Info!G156</f>
        <v>0</v>
      </c>
      <c r="H156">
        <f>PEC_Info!H156</f>
        <v>0</v>
      </c>
      <c r="I156" s="372">
        <f xml:space="preserve"> IF(AND(D156 &lt;&gt; 2020, OR(A156 = "NATGAS", A156 = "STEAM_COAL", A156 = "COKING_COAL")), PEC_Info_Scen_assumptions!$C$5, 1) * PEC_Info!I156</f>
        <v>8178.2054134088758</v>
      </c>
      <c r="J156">
        <f>PEC_Info!J156</f>
        <v>0.15000000000000002</v>
      </c>
      <c r="K156">
        <f>PEC_Info!K156</f>
        <v>400</v>
      </c>
    </row>
    <row r="157" spans="1:11">
      <c r="A157" t="str">
        <f>PEC_Info!A157</f>
        <v>COKING_COAL</v>
      </c>
      <c r="B157" t="str">
        <f>PEC_Info!B157</f>
        <v>INDIA</v>
      </c>
      <c r="C157" t="str">
        <f xml:space="preserve"> IF(ISBLANK(PEC_Info!C157), "", PEC_Info!C157)</f>
        <v>NR</v>
      </c>
      <c r="D157">
        <f>PEC_Info!D157</f>
        <v>2029</v>
      </c>
      <c r="E157">
        <f>PEC_Info!E157</f>
        <v>0</v>
      </c>
      <c r="F157" s="372">
        <f xml:space="preserve"> IF(AND(D157 &lt;&gt; 2020, OR(A157 = "NATGAS", A157 = "STEAM_COAL", A157 = "COKING_COAL")), PEC_Info_Scen_assumptions!$C$5, 1) * PEC_Info!F157</f>
        <v>0</v>
      </c>
      <c r="G157">
        <f>PEC_Info!G157</f>
        <v>0</v>
      </c>
      <c r="H157">
        <f>PEC_Info!H157</f>
        <v>0</v>
      </c>
      <c r="I157" s="372">
        <f xml:space="preserve"> IF(AND(D157 &lt;&gt; 2020, OR(A157 = "NATGAS", A157 = "STEAM_COAL", A157 = "COKING_COAL")), PEC_Info_Scen_assumptions!$C$5, 1) * PEC_Info!I157</f>
        <v>8178.2054134088758</v>
      </c>
      <c r="J157">
        <f>PEC_Info!J157</f>
        <v>0.15000000000000002</v>
      </c>
      <c r="K157">
        <f>PEC_Info!K157</f>
        <v>400</v>
      </c>
    </row>
    <row r="158" spans="1:11">
      <c r="A158" t="str">
        <f>PEC_Info!A158</f>
        <v>COKING_COAL</v>
      </c>
      <c r="B158" t="str">
        <f>PEC_Info!B158</f>
        <v>INDIA</v>
      </c>
      <c r="C158" t="str">
        <f xml:space="preserve"> IF(ISBLANK(PEC_Info!C158), "", PEC_Info!C158)</f>
        <v>SR</v>
      </c>
      <c r="D158">
        <f>PEC_Info!D158</f>
        <v>2029</v>
      </c>
      <c r="E158">
        <f>PEC_Info!E158</f>
        <v>0</v>
      </c>
      <c r="F158" s="372">
        <f xml:space="preserve"> IF(AND(D158 &lt;&gt; 2020, OR(A158 = "NATGAS", A158 = "STEAM_COAL", A158 = "COKING_COAL")), PEC_Info_Scen_assumptions!$C$5, 1) * PEC_Info!F158</f>
        <v>0</v>
      </c>
      <c r="G158">
        <f>PEC_Info!G158</f>
        <v>0</v>
      </c>
      <c r="H158">
        <f>PEC_Info!H158</f>
        <v>0</v>
      </c>
      <c r="I158" s="372">
        <f xml:space="preserve"> IF(AND(D158 &lt;&gt; 2020, OR(A158 = "NATGAS", A158 = "STEAM_COAL", A158 = "COKING_COAL")), PEC_Info_Scen_assumptions!$C$5, 1) * PEC_Info!I158</f>
        <v>8178.2054134088758</v>
      </c>
      <c r="J158">
        <f>PEC_Info!J158</f>
        <v>0.15000000000000002</v>
      </c>
      <c r="K158">
        <f>PEC_Info!K158</f>
        <v>400</v>
      </c>
    </row>
    <row r="159" spans="1:11">
      <c r="A159" t="str">
        <f>PEC_Info!A159</f>
        <v>COKING_COAL</v>
      </c>
      <c r="B159" t="str">
        <f>PEC_Info!B159</f>
        <v>INDIA</v>
      </c>
      <c r="C159" t="str">
        <f xml:space="preserve"> IF(ISBLANK(PEC_Info!C159), "", PEC_Info!C159)</f>
        <v>NER</v>
      </c>
      <c r="D159">
        <f>PEC_Info!D159</f>
        <v>2029</v>
      </c>
      <c r="E159">
        <f>PEC_Info!E159</f>
        <v>0</v>
      </c>
      <c r="F159" s="372">
        <f xml:space="preserve"> IF(AND(D159 &lt;&gt; 2020, OR(A159 = "NATGAS", A159 = "STEAM_COAL", A159 = "COKING_COAL")), PEC_Info_Scen_assumptions!$C$5, 1) * PEC_Info!F159</f>
        <v>0</v>
      </c>
      <c r="G159">
        <f>PEC_Info!G159</f>
        <v>0</v>
      </c>
      <c r="H159">
        <f>PEC_Info!H159</f>
        <v>0</v>
      </c>
      <c r="I159" s="372">
        <f xml:space="preserve"> IF(AND(D159 &lt;&gt; 2020, OR(A159 = "NATGAS", A159 = "STEAM_COAL", A159 = "COKING_COAL")), PEC_Info_Scen_assumptions!$C$5, 1) * PEC_Info!I159</f>
        <v>8178.2054134088758</v>
      </c>
      <c r="J159">
        <f>PEC_Info!J159</f>
        <v>0.15000000000000002</v>
      </c>
      <c r="K159">
        <f>PEC_Info!K159</f>
        <v>400</v>
      </c>
    </row>
    <row r="160" spans="1:11">
      <c r="A160" t="str">
        <f>PEC_Info!A160</f>
        <v>COKING_COAL</v>
      </c>
      <c r="B160" t="str">
        <f>PEC_Info!B160</f>
        <v>INDIA</v>
      </c>
      <c r="C160" t="str">
        <f xml:space="preserve"> IF(ISBLANK(PEC_Info!C160), "", PEC_Info!C160)</f>
        <v>ER</v>
      </c>
      <c r="D160">
        <f>PEC_Info!D160</f>
        <v>2030</v>
      </c>
      <c r="E160">
        <f>PEC_Info!E160</f>
        <v>0</v>
      </c>
      <c r="F160" s="372">
        <f xml:space="preserve"> IF(AND(D160 &lt;&gt; 2020, OR(A160 = "NATGAS", A160 = "STEAM_COAL", A160 = "COKING_COAL")), PEC_Info_Scen_assumptions!$C$5, 1) * PEC_Info!F160</f>
        <v>0</v>
      </c>
      <c r="G160">
        <f>PEC_Info!G160</f>
        <v>0</v>
      </c>
      <c r="H160">
        <f>PEC_Info!H160</f>
        <v>0</v>
      </c>
      <c r="I160" s="372">
        <f xml:space="preserve"> IF(AND(D160 &lt;&gt; 2020, OR(A160 = "NATGAS", A160 = "STEAM_COAL", A160 = "COKING_COAL")), PEC_Info_Scen_assumptions!$C$5, 1) * PEC_Info!I160</f>
        <v>8218.8109198604343</v>
      </c>
      <c r="J160">
        <f>PEC_Info!J160</f>
        <v>0.15000000000000002</v>
      </c>
      <c r="K160">
        <f>PEC_Info!K160</f>
        <v>400</v>
      </c>
    </row>
    <row r="161" spans="1:11">
      <c r="A161" t="str">
        <f>PEC_Info!A161</f>
        <v>COKING_COAL</v>
      </c>
      <c r="B161" t="str">
        <f>PEC_Info!B161</f>
        <v>INDIA</v>
      </c>
      <c r="C161" t="str">
        <f xml:space="preserve"> IF(ISBLANK(PEC_Info!C161), "", PEC_Info!C161)</f>
        <v>WR</v>
      </c>
      <c r="D161">
        <f>PEC_Info!D161</f>
        <v>2030</v>
      </c>
      <c r="E161">
        <f>PEC_Info!E161</f>
        <v>0</v>
      </c>
      <c r="F161" s="372">
        <f xml:space="preserve"> IF(AND(D161 &lt;&gt; 2020, OR(A161 = "NATGAS", A161 = "STEAM_COAL", A161 = "COKING_COAL")), PEC_Info_Scen_assumptions!$C$5, 1) * PEC_Info!F161</f>
        <v>0</v>
      </c>
      <c r="G161">
        <f>PEC_Info!G161</f>
        <v>0</v>
      </c>
      <c r="H161">
        <f>PEC_Info!H161</f>
        <v>0</v>
      </c>
      <c r="I161" s="372">
        <f xml:space="preserve"> IF(AND(D161 &lt;&gt; 2020, OR(A161 = "NATGAS", A161 = "STEAM_COAL", A161 = "COKING_COAL")), PEC_Info_Scen_assumptions!$C$5, 1) * PEC_Info!I161</f>
        <v>8218.8109198604343</v>
      </c>
      <c r="J161">
        <f>PEC_Info!J161</f>
        <v>0.15000000000000002</v>
      </c>
      <c r="K161">
        <f>PEC_Info!K161</f>
        <v>400</v>
      </c>
    </row>
    <row r="162" spans="1:11">
      <c r="A162" t="str">
        <f>PEC_Info!A162</f>
        <v>COKING_COAL</v>
      </c>
      <c r="B162" t="str">
        <f>PEC_Info!B162</f>
        <v>INDIA</v>
      </c>
      <c r="C162" t="str">
        <f xml:space="preserve"> IF(ISBLANK(PEC_Info!C162), "", PEC_Info!C162)</f>
        <v>NR</v>
      </c>
      <c r="D162">
        <f>PEC_Info!D162</f>
        <v>2030</v>
      </c>
      <c r="E162">
        <f>PEC_Info!E162</f>
        <v>0</v>
      </c>
      <c r="F162" s="372">
        <f xml:space="preserve"> IF(AND(D162 &lt;&gt; 2020, OR(A162 = "NATGAS", A162 = "STEAM_COAL", A162 = "COKING_COAL")), PEC_Info_Scen_assumptions!$C$5, 1) * PEC_Info!F162</f>
        <v>0</v>
      </c>
      <c r="G162">
        <f>PEC_Info!G162</f>
        <v>0</v>
      </c>
      <c r="H162">
        <f>PEC_Info!H162</f>
        <v>0</v>
      </c>
      <c r="I162" s="372">
        <f xml:space="preserve"> IF(AND(D162 &lt;&gt; 2020, OR(A162 = "NATGAS", A162 = "STEAM_COAL", A162 = "COKING_COAL")), PEC_Info_Scen_assumptions!$C$5, 1) * PEC_Info!I162</f>
        <v>8218.8109198604343</v>
      </c>
      <c r="J162">
        <f>PEC_Info!J162</f>
        <v>0.15000000000000002</v>
      </c>
      <c r="K162">
        <f>PEC_Info!K162</f>
        <v>400</v>
      </c>
    </row>
    <row r="163" spans="1:11">
      <c r="A163" t="str">
        <f>PEC_Info!A163</f>
        <v>COKING_COAL</v>
      </c>
      <c r="B163" t="str">
        <f>PEC_Info!B163</f>
        <v>INDIA</v>
      </c>
      <c r="C163" t="str">
        <f xml:space="preserve"> IF(ISBLANK(PEC_Info!C163), "", PEC_Info!C163)</f>
        <v>SR</v>
      </c>
      <c r="D163">
        <f>PEC_Info!D163</f>
        <v>2030</v>
      </c>
      <c r="E163">
        <f>PEC_Info!E163</f>
        <v>0</v>
      </c>
      <c r="F163" s="372">
        <f xml:space="preserve"> IF(AND(D163 &lt;&gt; 2020, OR(A163 = "NATGAS", A163 = "STEAM_COAL", A163 = "COKING_COAL")), PEC_Info_Scen_assumptions!$C$5, 1) * PEC_Info!F163</f>
        <v>0</v>
      </c>
      <c r="G163">
        <f>PEC_Info!G163</f>
        <v>0</v>
      </c>
      <c r="H163">
        <f>PEC_Info!H163</f>
        <v>0</v>
      </c>
      <c r="I163" s="372">
        <f xml:space="preserve"> IF(AND(D163 &lt;&gt; 2020, OR(A163 = "NATGAS", A163 = "STEAM_COAL", A163 = "COKING_COAL")), PEC_Info_Scen_assumptions!$C$5, 1) * PEC_Info!I163</f>
        <v>8218.8109198604343</v>
      </c>
      <c r="J163">
        <f>PEC_Info!J163</f>
        <v>0.15000000000000002</v>
      </c>
      <c r="K163">
        <f>PEC_Info!K163</f>
        <v>400</v>
      </c>
    </row>
    <row r="164" spans="1:11">
      <c r="A164" t="str">
        <f>PEC_Info!A164</f>
        <v>COKING_COAL</v>
      </c>
      <c r="B164" t="str">
        <f>PEC_Info!B164</f>
        <v>INDIA</v>
      </c>
      <c r="C164" t="str">
        <f xml:space="preserve"> IF(ISBLANK(PEC_Info!C164), "", PEC_Info!C164)</f>
        <v>NER</v>
      </c>
      <c r="D164">
        <f>PEC_Info!D164</f>
        <v>2030</v>
      </c>
      <c r="E164">
        <f>PEC_Info!E164</f>
        <v>0</v>
      </c>
      <c r="F164" s="372">
        <f xml:space="preserve"> IF(AND(D164 &lt;&gt; 2020, OR(A164 = "NATGAS", A164 = "STEAM_COAL", A164 = "COKING_COAL")), PEC_Info_Scen_assumptions!$C$5, 1) * PEC_Info!F164</f>
        <v>0</v>
      </c>
      <c r="G164">
        <f>PEC_Info!G164</f>
        <v>0</v>
      </c>
      <c r="H164">
        <f>PEC_Info!H164</f>
        <v>0</v>
      </c>
      <c r="I164" s="372">
        <f xml:space="preserve"> IF(AND(D164 &lt;&gt; 2020, OR(A164 = "NATGAS", A164 = "STEAM_COAL", A164 = "COKING_COAL")), PEC_Info_Scen_assumptions!$C$5, 1) * PEC_Info!I164</f>
        <v>8218.8109198604343</v>
      </c>
      <c r="J164">
        <f>PEC_Info!J164</f>
        <v>0.15000000000000002</v>
      </c>
      <c r="K164">
        <f>PEC_Info!K164</f>
        <v>400</v>
      </c>
    </row>
    <row r="165" spans="1:11">
      <c r="A165" t="str">
        <f>PEC_Info!A165</f>
        <v>COKING_COAL</v>
      </c>
      <c r="B165" t="str">
        <f>PEC_Info!B165</f>
        <v>INDIA</v>
      </c>
      <c r="C165" t="str">
        <f xml:space="preserve"> IF(ISBLANK(PEC_Info!C165), "", PEC_Info!C165)</f>
        <v>ER</v>
      </c>
      <c r="D165">
        <f>PEC_Info!D165</f>
        <v>2031</v>
      </c>
      <c r="E165">
        <f>PEC_Info!E165</f>
        <v>0</v>
      </c>
      <c r="F165" s="372">
        <f xml:space="preserve"> IF(AND(D165 &lt;&gt; 2020, OR(A165 = "NATGAS", A165 = "STEAM_COAL", A165 = "COKING_COAL")), PEC_Info_Scen_assumptions!$C$5, 1) * PEC_Info!F165</f>
        <v>0</v>
      </c>
      <c r="G165">
        <f>PEC_Info!G165</f>
        <v>0</v>
      </c>
      <c r="H165">
        <f>PEC_Info!H165</f>
        <v>0</v>
      </c>
      <c r="I165" s="372">
        <f xml:space="preserve"> IF(AND(D165 &lt;&gt; 2020, OR(A165 = "NATGAS", A165 = "STEAM_COAL", A165 = "COKING_COAL")), PEC_Info_Scen_assumptions!$C$5, 1) * PEC_Info!I165</f>
        <v>8259.6180362093764</v>
      </c>
      <c r="J165">
        <f>PEC_Info!J165</f>
        <v>0.15000000000000002</v>
      </c>
      <c r="K165">
        <f>PEC_Info!K165</f>
        <v>400</v>
      </c>
    </row>
    <row r="166" spans="1:11">
      <c r="A166" t="str">
        <f>PEC_Info!A166</f>
        <v>COKING_COAL</v>
      </c>
      <c r="B166" t="str">
        <f>PEC_Info!B166</f>
        <v>INDIA</v>
      </c>
      <c r="C166" t="str">
        <f xml:space="preserve"> IF(ISBLANK(PEC_Info!C166), "", PEC_Info!C166)</f>
        <v>WR</v>
      </c>
      <c r="D166">
        <f>PEC_Info!D166</f>
        <v>2031</v>
      </c>
      <c r="E166">
        <f>PEC_Info!E166</f>
        <v>0</v>
      </c>
      <c r="F166" s="372">
        <f xml:space="preserve"> IF(AND(D166 &lt;&gt; 2020, OR(A166 = "NATGAS", A166 = "STEAM_COAL", A166 = "COKING_COAL")), PEC_Info_Scen_assumptions!$C$5, 1) * PEC_Info!F166</f>
        <v>0</v>
      </c>
      <c r="G166">
        <f>PEC_Info!G166</f>
        <v>0</v>
      </c>
      <c r="H166">
        <f>PEC_Info!H166</f>
        <v>0</v>
      </c>
      <c r="I166" s="372">
        <f xml:space="preserve"> IF(AND(D166 &lt;&gt; 2020, OR(A166 = "NATGAS", A166 = "STEAM_COAL", A166 = "COKING_COAL")), PEC_Info_Scen_assumptions!$C$5, 1) * PEC_Info!I166</f>
        <v>8259.6180362093764</v>
      </c>
      <c r="J166">
        <f>PEC_Info!J166</f>
        <v>0.15000000000000002</v>
      </c>
      <c r="K166">
        <f>PEC_Info!K166</f>
        <v>400</v>
      </c>
    </row>
    <row r="167" spans="1:11">
      <c r="A167" t="str">
        <f>PEC_Info!A167</f>
        <v>COKING_COAL</v>
      </c>
      <c r="B167" t="str">
        <f>PEC_Info!B167</f>
        <v>INDIA</v>
      </c>
      <c r="C167" t="str">
        <f xml:space="preserve"> IF(ISBLANK(PEC_Info!C167), "", PEC_Info!C167)</f>
        <v>NR</v>
      </c>
      <c r="D167">
        <f>PEC_Info!D167</f>
        <v>2031</v>
      </c>
      <c r="E167">
        <f>PEC_Info!E167</f>
        <v>0</v>
      </c>
      <c r="F167" s="372">
        <f xml:space="preserve"> IF(AND(D167 &lt;&gt; 2020, OR(A167 = "NATGAS", A167 = "STEAM_COAL", A167 = "COKING_COAL")), PEC_Info_Scen_assumptions!$C$5, 1) * PEC_Info!F167</f>
        <v>0</v>
      </c>
      <c r="G167">
        <f>PEC_Info!G167</f>
        <v>0</v>
      </c>
      <c r="H167">
        <f>PEC_Info!H167</f>
        <v>0</v>
      </c>
      <c r="I167" s="372">
        <f xml:space="preserve"> IF(AND(D167 &lt;&gt; 2020, OR(A167 = "NATGAS", A167 = "STEAM_COAL", A167 = "COKING_COAL")), PEC_Info_Scen_assumptions!$C$5, 1) * PEC_Info!I167</f>
        <v>8259.6180362093764</v>
      </c>
      <c r="J167">
        <f>PEC_Info!J167</f>
        <v>0.15000000000000002</v>
      </c>
      <c r="K167">
        <f>PEC_Info!K167</f>
        <v>400</v>
      </c>
    </row>
    <row r="168" spans="1:11">
      <c r="A168" t="str">
        <f>PEC_Info!A168</f>
        <v>COKING_COAL</v>
      </c>
      <c r="B168" t="str">
        <f>PEC_Info!B168</f>
        <v>INDIA</v>
      </c>
      <c r="C168" t="str">
        <f xml:space="preserve"> IF(ISBLANK(PEC_Info!C168), "", PEC_Info!C168)</f>
        <v>SR</v>
      </c>
      <c r="D168">
        <f>PEC_Info!D168</f>
        <v>2031</v>
      </c>
      <c r="E168">
        <f>PEC_Info!E168</f>
        <v>0</v>
      </c>
      <c r="F168" s="372">
        <f xml:space="preserve"> IF(AND(D168 &lt;&gt; 2020, OR(A168 = "NATGAS", A168 = "STEAM_COAL", A168 = "COKING_COAL")), PEC_Info_Scen_assumptions!$C$5, 1) * PEC_Info!F168</f>
        <v>0</v>
      </c>
      <c r="G168">
        <f>PEC_Info!G168</f>
        <v>0</v>
      </c>
      <c r="H168">
        <f>PEC_Info!H168</f>
        <v>0</v>
      </c>
      <c r="I168" s="372">
        <f xml:space="preserve"> IF(AND(D168 &lt;&gt; 2020, OR(A168 = "NATGAS", A168 = "STEAM_COAL", A168 = "COKING_COAL")), PEC_Info_Scen_assumptions!$C$5, 1) * PEC_Info!I168</f>
        <v>8259.6180362093764</v>
      </c>
      <c r="J168">
        <f>PEC_Info!J168</f>
        <v>0.15000000000000002</v>
      </c>
      <c r="K168">
        <f>PEC_Info!K168</f>
        <v>400</v>
      </c>
    </row>
    <row r="169" spans="1:11">
      <c r="A169" t="str">
        <f>PEC_Info!A169</f>
        <v>COKING_COAL</v>
      </c>
      <c r="B169" t="str">
        <f>PEC_Info!B169</f>
        <v>INDIA</v>
      </c>
      <c r="C169" t="str">
        <f xml:space="preserve"> IF(ISBLANK(PEC_Info!C169), "", PEC_Info!C169)</f>
        <v>NER</v>
      </c>
      <c r="D169">
        <f>PEC_Info!D169</f>
        <v>2031</v>
      </c>
      <c r="E169">
        <f>PEC_Info!E169</f>
        <v>0</v>
      </c>
      <c r="F169" s="372">
        <f xml:space="preserve"> IF(AND(D169 &lt;&gt; 2020, OR(A169 = "NATGAS", A169 = "STEAM_COAL", A169 = "COKING_COAL")), PEC_Info_Scen_assumptions!$C$5, 1) * PEC_Info!F169</f>
        <v>0</v>
      </c>
      <c r="G169">
        <f>PEC_Info!G169</f>
        <v>0</v>
      </c>
      <c r="H169">
        <f>PEC_Info!H169</f>
        <v>0</v>
      </c>
      <c r="I169" s="372">
        <f xml:space="preserve"> IF(AND(D169 &lt;&gt; 2020, OR(A169 = "NATGAS", A169 = "STEAM_COAL", A169 = "COKING_COAL")), PEC_Info_Scen_assumptions!$C$5, 1) * PEC_Info!I169</f>
        <v>8259.6180362093764</v>
      </c>
      <c r="J169">
        <f>PEC_Info!J169</f>
        <v>0.15000000000000002</v>
      </c>
      <c r="K169">
        <f>PEC_Info!K169</f>
        <v>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zoomScaleNormal="100" workbookViewId="0"/>
  </sheetViews>
  <sheetFormatPr defaultRowHeight="15"/>
  <cols>
    <col min="1" max="1" width="15.42578125" bestFit="1" customWidth="1"/>
    <col min="2" max="2" width="23.85546875" bestFit="1" customWidth="1"/>
    <col min="3" max="3" width="13.140625" customWidth="1"/>
    <col min="4" max="4" width="17" customWidth="1"/>
    <col min="5" max="5" width="15" bestFit="1" customWidth="1"/>
    <col min="6" max="6" width="7.140625" customWidth="1"/>
    <col min="7" max="7" width="14.140625" customWidth="1"/>
    <col min="8" max="8" width="39.85546875" customWidth="1"/>
    <col min="9" max="9" width="10.5703125" customWidth="1"/>
    <col min="10" max="10" width="21" bestFit="1" customWidth="1"/>
    <col min="11" max="11" width="18.28515625" customWidth="1"/>
    <col min="12" max="12" width="11.7109375" customWidth="1"/>
    <col min="13" max="13" width="11.42578125" customWidth="1"/>
    <col min="14" max="14" width="11.7109375" customWidth="1"/>
    <col min="15" max="15" width="4.7109375" customWidth="1"/>
    <col min="16" max="16" width="40.28515625" bestFit="1" customWidth="1"/>
    <col min="17" max="17" width="21" bestFit="1" customWidth="1"/>
    <col min="19" max="20" width="11" bestFit="1" customWidth="1"/>
    <col min="21" max="21" width="10.28515625" bestFit="1" customWidth="1"/>
  </cols>
  <sheetData>
    <row r="1" spans="1:21">
      <c r="A1" t="s">
        <v>23</v>
      </c>
      <c r="E1" s="292" t="s">
        <v>432</v>
      </c>
      <c r="F1" s="6"/>
      <c r="G1" s="193" t="s">
        <v>452</v>
      </c>
      <c r="H1" s="193"/>
      <c r="I1" s="193"/>
      <c r="J1" s="193"/>
      <c r="K1" s="193"/>
      <c r="L1" s="193"/>
      <c r="M1" s="193"/>
      <c r="N1" s="193"/>
      <c r="O1" s="193"/>
    </row>
    <row r="2" spans="1:21">
      <c r="A2" t="s">
        <v>0</v>
      </c>
      <c r="B2" s="127" t="s">
        <v>1</v>
      </c>
      <c r="C2" s="4" t="s">
        <v>178</v>
      </c>
      <c r="D2" t="s">
        <v>24</v>
      </c>
      <c r="E2" t="s">
        <v>203</v>
      </c>
      <c r="F2" s="6"/>
      <c r="G2" s="193"/>
      <c r="H2" s="193"/>
      <c r="I2" s="193"/>
      <c r="J2" s="193"/>
      <c r="K2" s="193"/>
      <c r="L2" s="193"/>
      <c r="M2" s="193"/>
      <c r="N2" s="193"/>
      <c r="O2" s="193"/>
    </row>
    <row r="3" spans="1:21">
      <c r="A3" t="s">
        <v>11</v>
      </c>
      <c r="B3" s="3" t="str">
        <f>VLOOKUP(A3,Maps!$A$1:$C$13,2,FALSE)</f>
        <v>SUBGEOGRAPHY1</v>
      </c>
      <c r="C3" t="s">
        <v>18</v>
      </c>
      <c r="D3">
        <v>2019</v>
      </c>
      <c r="E3" s="53">
        <f>SUMIF($I$57:$I$61,C3,$L$57:$L$61)</f>
        <v>0.58306818967242036</v>
      </c>
      <c r="F3" s="6"/>
      <c r="G3" s="194"/>
      <c r="H3" s="194"/>
      <c r="I3" s="194"/>
      <c r="J3" s="194"/>
      <c r="K3" s="194"/>
      <c r="L3" s="194"/>
      <c r="M3" s="194"/>
      <c r="N3" s="194"/>
      <c r="O3" s="194"/>
    </row>
    <row r="4" spans="1:21">
      <c r="A4" t="s">
        <v>11</v>
      </c>
      <c r="B4" s="3" t="str">
        <f>VLOOKUP(A4,Maps!$A$1:$C$13,2,FALSE)</f>
        <v>SUBGEOGRAPHY1</v>
      </c>
      <c r="C4" t="s">
        <v>19</v>
      </c>
      <c r="D4">
        <v>2019</v>
      </c>
      <c r="E4" s="53">
        <f t="shared" ref="E4:E7" si="0">SUMIF($I$57:$I$61,C4,$L$57:$L$61)</f>
        <v>0.69053688959995951</v>
      </c>
      <c r="F4" s="6"/>
      <c r="G4" s="193"/>
      <c r="H4" s="193"/>
      <c r="I4" s="193"/>
      <c r="J4" s="193"/>
      <c r="K4" s="193"/>
      <c r="L4" s="193"/>
      <c r="M4" s="193"/>
      <c r="N4" s="193"/>
      <c r="O4" s="193"/>
    </row>
    <row r="5" spans="1:21">
      <c r="A5" t="s">
        <v>11</v>
      </c>
      <c r="B5" s="3" t="str">
        <f>VLOOKUP(A5,Maps!$A$1:$C$13,2,FALSE)</f>
        <v>SUBGEOGRAPHY1</v>
      </c>
      <c r="C5" t="s">
        <v>20</v>
      </c>
      <c r="D5">
        <v>2019</v>
      </c>
      <c r="E5" s="53">
        <f t="shared" si="0"/>
        <v>0.32705279250715208</v>
      </c>
      <c r="F5" s="6"/>
      <c r="G5" s="193"/>
      <c r="H5" s="193"/>
      <c r="I5" s="193"/>
      <c r="J5" s="193"/>
      <c r="K5" s="193"/>
      <c r="L5" s="193"/>
      <c r="M5" s="193"/>
      <c r="N5" s="193"/>
      <c r="O5" s="193"/>
    </row>
    <row r="6" spans="1:21">
      <c r="A6" t="s">
        <v>11</v>
      </c>
      <c r="B6" s="3" t="str">
        <f>VLOOKUP(A6,Maps!$A$1:$C$13,2,FALSE)</f>
        <v>SUBGEOGRAPHY1</v>
      </c>
      <c r="C6" t="s">
        <v>21</v>
      </c>
      <c r="D6">
        <v>2019</v>
      </c>
      <c r="E6" s="53">
        <f t="shared" si="0"/>
        <v>0.10520240557787922</v>
      </c>
      <c r="F6" s="6"/>
      <c r="G6" s="193"/>
      <c r="H6" s="1" t="s">
        <v>292</v>
      </c>
      <c r="I6" s="1"/>
      <c r="J6" s="193"/>
      <c r="K6" s="193"/>
      <c r="L6" s="193"/>
      <c r="M6" s="193"/>
      <c r="N6" s="193"/>
      <c r="O6" s="193"/>
    </row>
    <row r="7" spans="1:21">
      <c r="A7" t="s">
        <v>11</v>
      </c>
      <c r="B7" t="str">
        <f>VLOOKUP(A7,Maps!$A$1:$C$13,2,FALSE)</f>
        <v>SUBGEOGRAPHY1</v>
      </c>
      <c r="C7" t="s">
        <v>22</v>
      </c>
      <c r="D7">
        <v>2019</v>
      </c>
      <c r="E7" s="53">
        <f t="shared" si="0"/>
        <v>7.1004707654646435E-2</v>
      </c>
      <c r="F7" s="6"/>
      <c r="G7" s="193"/>
      <c r="H7" s="193"/>
      <c r="I7" s="193"/>
      <c r="J7" s="193"/>
      <c r="K7" s="193"/>
      <c r="L7" s="193"/>
      <c r="M7" s="193"/>
      <c r="N7" s="193"/>
      <c r="O7" s="193"/>
    </row>
    <row r="8" spans="1:21">
      <c r="A8" t="s">
        <v>11</v>
      </c>
      <c r="B8" s="266" t="str">
        <f>VLOOKUP(A8,Maps!$A$1:$C$13,2,FALSE)</f>
        <v>SUBGEOGRAPHY1</v>
      </c>
      <c r="C8" t="s">
        <v>18</v>
      </c>
      <c r="D8">
        <f>D3+1</f>
        <v>2020</v>
      </c>
      <c r="E8" s="53">
        <f>E3</f>
        <v>0.58306818967242036</v>
      </c>
      <c r="F8" s="6"/>
      <c r="G8" s="193"/>
      <c r="H8" s="1" t="s">
        <v>248</v>
      </c>
      <c r="I8" s="1"/>
      <c r="J8" s="193"/>
      <c r="K8" s="193"/>
      <c r="L8" s="193"/>
      <c r="M8" s="193"/>
      <c r="N8" s="193"/>
      <c r="O8" s="193"/>
    </row>
    <row r="9" spans="1:21">
      <c r="A9" t="s">
        <v>11</v>
      </c>
      <c r="B9" s="266" t="str">
        <f>VLOOKUP(A9,Maps!$A$1:$C$13,2,FALSE)</f>
        <v>SUBGEOGRAPHY1</v>
      </c>
      <c r="C9" t="s">
        <v>19</v>
      </c>
      <c r="D9">
        <f t="shared" ref="D9:D67" si="1">D4+1</f>
        <v>2020</v>
      </c>
      <c r="E9" s="53">
        <f t="shared" ref="E9:E67" si="2">E4</f>
        <v>0.69053688959995951</v>
      </c>
      <c r="F9" s="6"/>
      <c r="G9" s="193"/>
      <c r="H9" s="195" t="s">
        <v>249</v>
      </c>
      <c r="I9" s="195"/>
      <c r="J9" s="193"/>
      <c r="K9" s="193"/>
      <c r="L9" s="193"/>
      <c r="M9" s="193"/>
      <c r="N9" s="193"/>
      <c r="O9" s="193"/>
    </row>
    <row r="10" spans="1:21">
      <c r="A10" t="s">
        <v>11</v>
      </c>
      <c r="B10" s="266" t="str">
        <f>VLOOKUP(A10,Maps!$A$1:$C$13,2,FALSE)</f>
        <v>SUBGEOGRAPHY1</v>
      </c>
      <c r="C10" t="s">
        <v>20</v>
      </c>
      <c r="D10">
        <f t="shared" si="1"/>
        <v>2020</v>
      </c>
      <c r="E10" s="53">
        <f t="shared" si="2"/>
        <v>0.32705279250715208</v>
      </c>
      <c r="F10" s="6"/>
      <c r="G10" s="193"/>
      <c r="H10" s="1" t="s">
        <v>250</v>
      </c>
      <c r="I10" s="1"/>
      <c r="J10" s="193"/>
      <c r="K10" s="193"/>
      <c r="L10" s="193"/>
      <c r="M10" s="193"/>
      <c r="N10" s="193"/>
      <c r="O10" s="193"/>
    </row>
    <row r="11" spans="1:21">
      <c r="A11" t="s">
        <v>11</v>
      </c>
      <c r="B11" s="266" t="str">
        <f>VLOOKUP(A11,Maps!$A$1:$C$13,2,FALSE)</f>
        <v>SUBGEOGRAPHY1</v>
      </c>
      <c r="C11" t="s">
        <v>21</v>
      </c>
      <c r="D11">
        <f t="shared" si="1"/>
        <v>2020</v>
      </c>
      <c r="E11" s="53">
        <f t="shared" si="2"/>
        <v>0.10520240557787922</v>
      </c>
      <c r="F11" s="6"/>
      <c r="G11" s="193"/>
      <c r="H11" s="1" t="s">
        <v>251</v>
      </c>
      <c r="I11" s="1"/>
      <c r="J11" s="193"/>
      <c r="K11" s="193"/>
      <c r="L11" s="193"/>
      <c r="M11" s="193"/>
      <c r="N11" s="193"/>
      <c r="O11" s="193"/>
    </row>
    <row r="12" spans="1:21">
      <c r="A12" s="28" t="s">
        <v>11</v>
      </c>
      <c r="B12" s="270" t="str">
        <f>VLOOKUP(A12,Maps!$A$1:$C$13,2,FALSE)</f>
        <v>SUBGEOGRAPHY1</v>
      </c>
      <c r="C12" s="28" t="s">
        <v>22</v>
      </c>
      <c r="D12">
        <f t="shared" si="1"/>
        <v>2020</v>
      </c>
      <c r="E12" s="53">
        <f t="shared" si="2"/>
        <v>7.1004707654646435E-2</v>
      </c>
      <c r="F12" s="6"/>
      <c r="G12" s="193"/>
      <c r="H12" s="1" t="s">
        <v>252</v>
      </c>
      <c r="I12" s="1"/>
      <c r="J12" s="193"/>
      <c r="K12" s="193"/>
      <c r="L12" s="193"/>
      <c r="M12" s="193"/>
      <c r="N12" s="193"/>
      <c r="O12" s="193"/>
    </row>
    <row r="13" spans="1:21">
      <c r="A13" t="s">
        <v>11</v>
      </c>
      <c r="B13" s="266" t="str">
        <f>VLOOKUP(A13,Maps!$A$1:$C$13,2,FALSE)</f>
        <v>SUBGEOGRAPHY1</v>
      </c>
      <c r="C13" t="s">
        <v>18</v>
      </c>
      <c r="D13">
        <f>D8+1</f>
        <v>2021</v>
      </c>
      <c r="E13" s="53">
        <f t="shared" si="2"/>
        <v>0.58306818967242036</v>
      </c>
      <c r="F13" s="6"/>
      <c r="G13" s="193"/>
      <c r="H13" s="193"/>
      <c r="I13" s="193"/>
      <c r="J13" s="193"/>
      <c r="K13" s="193"/>
      <c r="L13" s="193"/>
      <c r="M13" s="193"/>
      <c r="N13" s="193"/>
      <c r="O13" s="193"/>
    </row>
    <row r="14" spans="1:21">
      <c r="A14" t="s">
        <v>11</v>
      </c>
      <c r="B14" s="266" t="str">
        <f>VLOOKUP(A14,Maps!$A$1:$C$13,2,FALSE)</f>
        <v>SUBGEOGRAPHY1</v>
      </c>
      <c r="C14" t="s">
        <v>19</v>
      </c>
      <c r="D14">
        <f t="shared" si="1"/>
        <v>2021</v>
      </c>
      <c r="E14" s="53">
        <f t="shared" si="2"/>
        <v>0.69053688959995951</v>
      </c>
      <c r="F14" s="6"/>
      <c r="G14" s="193"/>
      <c r="H14" s="193"/>
      <c r="I14" s="193"/>
      <c r="J14" s="193"/>
      <c r="K14" s="193"/>
      <c r="L14" s="193"/>
      <c r="M14" s="193"/>
      <c r="N14" s="193"/>
      <c r="O14" s="193"/>
    </row>
    <row r="15" spans="1:21">
      <c r="A15" t="s">
        <v>11</v>
      </c>
      <c r="B15" s="266" t="str">
        <f>VLOOKUP(A15,Maps!$A$1:$C$13,2,FALSE)</f>
        <v>SUBGEOGRAPHY1</v>
      </c>
      <c r="C15" t="s">
        <v>20</v>
      </c>
      <c r="D15">
        <f t="shared" si="1"/>
        <v>2021</v>
      </c>
      <c r="E15" s="53">
        <f t="shared" si="2"/>
        <v>0.32705279250715208</v>
      </c>
      <c r="F15" s="6"/>
      <c r="G15" s="193"/>
      <c r="H15" s="193"/>
      <c r="I15" s="193"/>
      <c r="J15" s="193"/>
      <c r="K15" s="193"/>
      <c r="L15" s="193"/>
      <c r="M15" s="193"/>
      <c r="N15" s="193"/>
      <c r="O15" s="193"/>
    </row>
    <row r="16" spans="1:21">
      <c r="A16" t="s">
        <v>11</v>
      </c>
      <c r="B16" s="266" t="str">
        <f>VLOOKUP(A16,Maps!$A$1:$C$13,2,FALSE)</f>
        <v>SUBGEOGRAPHY1</v>
      </c>
      <c r="C16" t="s">
        <v>21</v>
      </c>
      <c r="D16">
        <f t="shared" si="1"/>
        <v>2021</v>
      </c>
      <c r="E16" s="53">
        <f t="shared" si="2"/>
        <v>0.10520240557787922</v>
      </c>
      <c r="F16" s="6"/>
      <c r="G16" s="193"/>
      <c r="H16" s="196" t="s">
        <v>253</v>
      </c>
      <c r="I16" s="200" t="s">
        <v>303</v>
      </c>
      <c r="J16" s="196" t="s">
        <v>254</v>
      </c>
      <c r="K16" s="196" t="s">
        <v>255</v>
      </c>
      <c r="L16" s="199" t="s">
        <v>256</v>
      </c>
      <c r="M16" s="200" t="s">
        <v>257</v>
      </c>
      <c r="N16" s="200" t="s">
        <v>258</v>
      </c>
      <c r="O16" s="201"/>
      <c r="P16" s="200" t="s">
        <v>253</v>
      </c>
      <c r="Q16" s="200" t="s">
        <v>254</v>
      </c>
      <c r="R16" s="200" t="s">
        <v>255</v>
      </c>
      <c r="S16" s="200" t="s">
        <v>256</v>
      </c>
      <c r="T16" s="199" t="s">
        <v>257</v>
      </c>
      <c r="U16" s="200" t="s">
        <v>258</v>
      </c>
    </row>
    <row r="17" spans="1:21">
      <c r="A17" s="28" t="s">
        <v>11</v>
      </c>
      <c r="B17" s="270" t="str">
        <f>VLOOKUP(A17,Maps!$A$1:$C$13,2,FALSE)</f>
        <v>SUBGEOGRAPHY1</v>
      </c>
      <c r="C17" s="28" t="s">
        <v>22</v>
      </c>
      <c r="D17" s="28">
        <f t="shared" si="1"/>
        <v>2021</v>
      </c>
      <c r="E17" s="53">
        <f t="shared" si="2"/>
        <v>7.1004707654646435E-2</v>
      </c>
      <c r="F17" s="6"/>
      <c r="H17" t="s">
        <v>259</v>
      </c>
      <c r="J17" s="1" t="s">
        <v>260</v>
      </c>
      <c r="K17" s="1" t="s">
        <v>28</v>
      </c>
      <c r="L17" s="197">
        <v>40345.21520440001</v>
      </c>
      <c r="M17" s="198">
        <v>40156.119100000004</v>
      </c>
      <c r="N17" s="198">
        <v>41074.111199999999</v>
      </c>
      <c r="P17" t="s">
        <v>259</v>
      </c>
      <c r="Q17" s="1" t="s">
        <v>260</v>
      </c>
      <c r="R17" s="1" t="s">
        <v>189</v>
      </c>
      <c r="S17" s="198"/>
      <c r="T17" s="197">
        <v>46487.262799999997</v>
      </c>
      <c r="U17" s="198">
        <v>43583.395299999996</v>
      </c>
    </row>
    <row r="18" spans="1:21">
      <c r="A18" t="s">
        <v>11</v>
      </c>
      <c r="B18" s="266" t="str">
        <f>VLOOKUP(A18,Maps!$A$1:$C$13,2,FALSE)</f>
        <v>SUBGEOGRAPHY1</v>
      </c>
      <c r="C18" t="s">
        <v>18</v>
      </c>
      <c r="D18">
        <f>D13+1</f>
        <v>2022</v>
      </c>
      <c r="E18" s="53">
        <f t="shared" si="2"/>
        <v>0.58306818967242036</v>
      </c>
      <c r="F18" s="6"/>
      <c r="H18" t="s">
        <v>259</v>
      </c>
      <c r="I18" t="str">
        <f t="shared" ref="I18:I48" si="3">VLOOKUP(J18,H$78:I$117,2,FALSE)</f>
        <v>SR</v>
      </c>
      <c r="J18" t="s">
        <v>261</v>
      </c>
      <c r="K18" t="s">
        <v>28</v>
      </c>
      <c r="L18" s="197">
        <v>11.4666</v>
      </c>
      <c r="M18" s="198">
        <v>11.4666</v>
      </c>
      <c r="N18" s="198">
        <v>350</v>
      </c>
      <c r="P18" t="s">
        <v>259</v>
      </c>
      <c r="Q18" t="s">
        <v>261</v>
      </c>
      <c r="R18" t="s">
        <v>189</v>
      </c>
      <c r="S18" s="198"/>
      <c r="T18" s="197">
        <v>11.257099999999999</v>
      </c>
      <c r="U18" s="198">
        <v>100</v>
      </c>
    </row>
    <row r="19" spans="1:21">
      <c r="A19" t="s">
        <v>11</v>
      </c>
      <c r="B19" s="266" t="str">
        <f>VLOOKUP(A19,Maps!$A$1:$C$13,2,FALSE)</f>
        <v>SUBGEOGRAPHY1</v>
      </c>
      <c r="C19" t="s">
        <v>19</v>
      </c>
      <c r="D19">
        <f t="shared" si="1"/>
        <v>2022</v>
      </c>
      <c r="E19" s="53">
        <f t="shared" si="2"/>
        <v>0.69053688959995951</v>
      </c>
      <c r="F19" s="6"/>
      <c r="H19" t="s">
        <v>259</v>
      </c>
      <c r="I19" t="str">
        <f t="shared" si="3"/>
        <v>NER</v>
      </c>
      <c r="J19" s="195" t="s">
        <v>262</v>
      </c>
      <c r="K19" t="s">
        <v>28</v>
      </c>
      <c r="L19" s="197"/>
      <c r="M19" s="198"/>
      <c r="N19" s="198"/>
      <c r="P19" t="s">
        <v>259</v>
      </c>
      <c r="Q19" s="195" t="s">
        <v>262</v>
      </c>
      <c r="R19" t="s">
        <v>189</v>
      </c>
      <c r="S19" s="198"/>
      <c r="T19" s="197"/>
      <c r="U19" s="198"/>
    </row>
    <row r="20" spans="1:21">
      <c r="A20" t="s">
        <v>11</v>
      </c>
      <c r="B20" s="266" t="str">
        <f>VLOOKUP(A20,Maps!$A$1:$C$13,2,FALSE)</f>
        <v>SUBGEOGRAPHY1</v>
      </c>
      <c r="C20" t="s">
        <v>20</v>
      </c>
      <c r="D20">
        <f t="shared" si="1"/>
        <v>2022</v>
      </c>
      <c r="E20" s="53">
        <f t="shared" si="2"/>
        <v>0.32705279250715208</v>
      </c>
      <c r="F20" s="6"/>
      <c r="H20" t="s">
        <v>259</v>
      </c>
      <c r="I20" t="str">
        <f t="shared" si="3"/>
        <v>NER</v>
      </c>
      <c r="J20" t="s">
        <v>263</v>
      </c>
      <c r="K20" t="s">
        <v>28</v>
      </c>
      <c r="L20" s="197">
        <v>72.753399999999999</v>
      </c>
      <c r="M20" s="198">
        <v>61.904200000000003</v>
      </c>
      <c r="N20" s="198">
        <v>61.904200000000003</v>
      </c>
      <c r="P20" t="s">
        <v>259</v>
      </c>
      <c r="Q20" t="s">
        <v>263</v>
      </c>
      <c r="R20" t="s">
        <v>189</v>
      </c>
      <c r="S20" s="198"/>
      <c r="T20" s="197">
        <v>142.50790000000001</v>
      </c>
      <c r="U20" s="198">
        <v>142.50790000000001</v>
      </c>
    </row>
    <row r="21" spans="1:21">
      <c r="A21" t="s">
        <v>11</v>
      </c>
      <c r="B21" s="266" t="str">
        <f>VLOOKUP(A21,Maps!$A$1:$C$13,2,FALSE)</f>
        <v>SUBGEOGRAPHY1</v>
      </c>
      <c r="C21" t="s">
        <v>21</v>
      </c>
      <c r="D21">
        <f t="shared" si="1"/>
        <v>2022</v>
      </c>
      <c r="E21" s="53">
        <f t="shared" si="2"/>
        <v>0.10520240557787922</v>
      </c>
      <c r="F21" s="6"/>
      <c r="H21" t="s">
        <v>259</v>
      </c>
      <c r="I21" t="str">
        <f t="shared" si="3"/>
        <v>ER</v>
      </c>
      <c r="J21" t="s">
        <v>264</v>
      </c>
      <c r="K21" t="s">
        <v>28</v>
      </c>
      <c r="L21" s="197">
        <v>269.16430000000003</v>
      </c>
      <c r="M21" s="198">
        <v>310</v>
      </c>
      <c r="N21" s="198">
        <v>310</v>
      </c>
      <c r="P21" t="s">
        <v>259</v>
      </c>
      <c r="Q21" t="s">
        <v>264</v>
      </c>
      <c r="R21" t="s">
        <v>189</v>
      </c>
      <c r="S21" s="198"/>
      <c r="T21" s="197">
        <v>350</v>
      </c>
      <c r="U21" s="198">
        <v>350</v>
      </c>
    </row>
    <row r="22" spans="1:21">
      <c r="A22" s="28" t="s">
        <v>11</v>
      </c>
      <c r="B22" s="270" t="str">
        <f>VLOOKUP(A22,Maps!$A$1:$C$13,2,FALSE)</f>
        <v>SUBGEOGRAPHY1</v>
      </c>
      <c r="C22" s="28" t="s">
        <v>22</v>
      </c>
      <c r="D22" s="28">
        <f t="shared" si="1"/>
        <v>2022</v>
      </c>
      <c r="E22" s="53">
        <f t="shared" si="2"/>
        <v>7.1004707654646435E-2</v>
      </c>
      <c r="F22" s="6"/>
      <c r="H22" t="s">
        <v>259</v>
      </c>
      <c r="I22" t="str">
        <f t="shared" si="3"/>
        <v>WR</v>
      </c>
      <c r="J22" t="s">
        <v>265</v>
      </c>
      <c r="K22" t="s">
        <v>28</v>
      </c>
      <c r="L22" s="197">
        <v>1790.2737</v>
      </c>
      <c r="M22" s="198">
        <v>1900</v>
      </c>
      <c r="N22" s="198">
        <v>1850</v>
      </c>
      <c r="P22" t="s">
        <v>259</v>
      </c>
      <c r="Q22" t="s">
        <v>265</v>
      </c>
      <c r="R22" t="s">
        <v>189</v>
      </c>
      <c r="S22" s="198"/>
      <c r="T22" s="197">
        <v>2200</v>
      </c>
      <c r="U22" s="198">
        <v>2090</v>
      </c>
    </row>
    <row r="23" spans="1:21">
      <c r="A23" t="s">
        <v>11</v>
      </c>
      <c r="B23" s="266" t="str">
        <f>VLOOKUP(A23,Maps!$A$1:$C$13,2,FALSE)</f>
        <v>SUBGEOGRAPHY1</v>
      </c>
      <c r="C23" t="s">
        <v>18</v>
      </c>
      <c r="D23">
        <f>D18+1</f>
        <v>2023</v>
      </c>
      <c r="E23" s="53">
        <f t="shared" si="2"/>
        <v>0.58306818967242036</v>
      </c>
      <c r="F23" s="6"/>
      <c r="H23" t="s">
        <v>259</v>
      </c>
      <c r="I23" t="str">
        <f t="shared" si="3"/>
        <v>WR</v>
      </c>
      <c r="J23" s="195" t="s">
        <v>266</v>
      </c>
      <c r="K23" t="s">
        <v>28</v>
      </c>
      <c r="L23" s="197"/>
      <c r="M23" s="198"/>
      <c r="N23" s="198"/>
      <c r="P23" t="s">
        <v>259</v>
      </c>
      <c r="Q23" s="195" t="s">
        <v>266</v>
      </c>
      <c r="R23" t="s">
        <v>189</v>
      </c>
      <c r="S23" s="198"/>
      <c r="T23" s="197"/>
      <c r="U23" s="198"/>
    </row>
    <row r="24" spans="1:21">
      <c r="A24" t="s">
        <v>11</v>
      </c>
      <c r="B24" s="266" t="str">
        <f>VLOOKUP(A24,Maps!$A$1:$C$13,2,FALSE)</f>
        <v>SUBGEOGRAPHY1</v>
      </c>
      <c r="C24" t="s">
        <v>19</v>
      </c>
      <c r="D24">
        <f t="shared" si="1"/>
        <v>2023</v>
      </c>
      <c r="E24" s="53">
        <f t="shared" si="2"/>
        <v>0.69053688959995951</v>
      </c>
      <c r="F24" s="6"/>
      <c r="H24" t="s">
        <v>259</v>
      </c>
      <c r="I24" t="str">
        <f t="shared" si="3"/>
        <v>WR</v>
      </c>
      <c r="J24" t="s">
        <v>267</v>
      </c>
      <c r="K24" t="s">
        <v>28</v>
      </c>
      <c r="L24" s="197">
        <v>7347.79</v>
      </c>
      <c r="M24" s="198">
        <v>7800</v>
      </c>
      <c r="N24" s="198">
        <v>8129.57</v>
      </c>
      <c r="P24" t="s">
        <v>259</v>
      </c>
      <c r="Q24" t="s">
        <v>267</v>
      </c>
      <c r="R24" t="s">
        <v>189</v>
      </c>
      <c r="S24" s="198"/>
      <c r="T24" s="197">
        <v>8700</v>
      </c>
      <c r="U24" s="198">
        <v>7900</v>
      </c>
    </row>
    <row r="25" spans="1:21">
      <c r="A25" t="s">
        <v>11</v>
      </c>
      <c r="B25" s="266" t="str">
        <f>VLOOKUP(A25,Maps!$A$1:$C$13,2,FALSE)</f>
        <v>SUBGEOGRAPHY1</v>
      </c>
      <c r="C25" t="s">
        <v>20</v>
      </c>
      <c r="D25">
        <f t="shared" si="1"/>
        <v>2023</v>
      </c>
      <c r="E25" s="53">
        <f t="shared" si="2"/>
        <v>0.32705279250715208</v>
      </c>
      <c r="F25" s="6"/>
      <c r="H25" t="s">
        <v>259</v>
      </c>
      <c r="I25" t="str">
        <f t="shared" si="3"/>
        <v>NR</v>
      </c>
      <c r="J25" t="s">
        <v>268</v>
      </c>
      <c r="K25" t="s">
        <v>28</v>
      </c>
      <c r="L25" s="197">
        <v>336.9205</v>
      </c>
      <c r="M25" s="198">
        <v>330</v>
      </c>
      <c r="N25" s="198">
        <v>330</v>
      </c>
      <c r="P25" t="s">
        <v>259</v>
      </c>
      <c r="Q25" t="s">
        <v>268</v>
      </c>
      <c r="R25" t="s">
        <v>189</v>
      </c>
      <c r="S25" s="198"/>
      <c r="T25" s="197">
        <v>360</v>
      </c>
      <c r="U25" s="198">
        <v>330</v>
      </c>
    </row>
    <row r="26" spans="1:21" ht="21" customHeight="1">
      <c r="A26" t="s">
        <v>11</v>
      </c>
      <c r="B26" s="266" t="str">
        <f>VLOOKUP(A26,Maps!$A$1:$C$13,2,FALSE)</f>
        <v>SUBGEOGRAPHY1</v>
      </c>
      <c r="C26" t="s">
        <v>21</v>
      </c>
      <c r="D26">
        <f t="shared" si="1"/>
        <v>2023</v>
      </c>
      <c r="E26" s="53">
        <f t="shared" si="2"/>
        <v>0.10520240557787922</v>
      </c>
      <c r="F26" s="6"/>
      <c r="H26" t="s">
        <v>259</v>
      </c>
      <c r="I26" t="str">
        <f t="shared" si="3"/>
        <v>NR</v>
      </c>
      <c r="J26" t="s">
        <v>269</v>
      </c>
      <c r="K26" t="s">
        <v>28</v>
      </c>
      <c r="L26" s="197">
        <v>487.07940000000002</v>
      </c>
      <c r="M26" s="198">
        <v>350</v>
      </c>
      <c r="N26" s="198">
        <v>350</v>
      </c>
      <c r="P26" t="s">
        <v>259</v>
      </c>
      <c r="Q26" t="s">
        <v>269</v>
      </c>
      <c r="R26" t="s">
        <v>189</v>
      </c>
      <c r="S26" s="198"/>
      <c r="T26" s="197">
        <v>378.00009999999997</v>
      </c>
      <c r="U26" s="198">
        <v>378.00009999999997</v>
      </c>
    </row>
    <row r="27" spans="1:21">
      <c r="A27" s="28" t="s">
        <v>11</v>
      </c>
      <c r="B27" s="270" t="str">
        <f>VLOOKUP(A27,Maps!$A$1:$C$13,2,FALSE)</f>
        <v>SUBGEOGRAPHY1</v>
      </c>
      <c r="C27" s="28" t="s">
        <v>22</v>
      </c>
      <c r="D27" s="28">
        <f t="shared" si="1"/>
        <v>2023</v>
      </c>
      <c r="E27" s="53">
        <f t="shared" si="2"/>
        <v>7.1004707654646435E-2</v>
      </c>
      <c r="F27" s="6"/>
      <c r="H27" t="s">
        <v>259</v>
      </c>
      <c r="I27" t="str">
        <f t="shared" si="3"/>
        <v>NR</v>
      </c>
      <c r="J27" t="s">
        <v>270</v>
      </c>
      <c r="K27" t="s">
        <v>28</v>
      </c>
      <c r="L27" s="197">
        <v>188.57490000000001</v>
      </c>
      <c r="M27" s="198">
        <v>500</v>
      </c>
      <c r="N27" s="198">
        <v>500</v>
      </c>
      <c r="P27" t="s">
        <v>259</v>
      </c>
      <c r="Q27" t="s">
        <v>270</v>
      </c>
      <c r="R27" t="s">
        <v>189</v>
      </c>
      <c r="S27" s="198"/>
      <c r="T27" s="197">
        <v>530</v>
      </c>
      <c r="U27" s="198">
        <v>530</v>
      </c>
    </row>
    <row r="28" spans="1:21">
      <c r="A28" t="s">
        <v>11</v>
      </c>
      <c r="B28" s="266" t="str">
        <f>VLOOKUP(A28,Maps!$A$1:$C$13,2,FALSE)</f>
        <v>SUBGEOGRAPHY1</v>
      </c>
      <c r="C28" t="s">
        <v>18</v>
      </c>
      <c r="D28">
        <f>D23+1</f>
        <v>2024</v>
      </c>
      <c r="E28" s="53">
        <f t="shared" si="2"/>
        <v>0.58306818967242036</v>
      </c>
      <c r="F28" s="6"/>
      <c r="H28" t="s">
        <v>259</v>
      </c>
      <c r="I28" t="str">
        <f t="shared" si="3"/>
        <v>ER</v>
      </c>
      <c r="J28" t="s">
        <v>271</v>
      </c>
      <c r="K28" t="s">
        <v>28</v>
      </c>
      <c r="L28" s="197">
        <v>209.06870000000001</v>
      </c>
      <c r="M28" s="198">
        <v>280</v>
      </c>
      <c r="N28" s="198">
        <v>280</v>
      </c>
      <c r="P28" t="s">
        <v>259</v>
      </c>
      <c r="Q28" t="s">
        <v>271</v>
      </c>
      <c r="R28" t="s">
        <v>189</v>
      </c>
      <c r="S28" s="198"/>
      <c r="T28" s="197">
        <v>300</v>
      </c>
      <c r="U28" s="198">
        <v>300</v>
      </c>
    </row>
    <row r="29" spans="1:21">
      <c r="A29" t="s">
        <v>11</v>
      </c>
      <c r="B29" s="266" t="str">
        <f>VLOOKUP(A29,Maps!$A$1:$C$13,2,FALSE)</f>
        <v>SUBGEOGRAPHY1</v>
      </c>
      <c r="C29" t="s">
        <v>19</v>
      </c>
      <c r="D29">
        <f t="shared" si="1"/>
        <v>2024</v>
      </c>
      <c r="E29" s="53">
        <f t="shared" si="2"/>
        <v>0.69053688959995951</v>
      </c>
      <c r="F29" s="6"/>
      <c r="H29" t="s">
        <v>259</v>
      </c>
      <c r="I29" t="str">
        <f t="shared" si="3"/>
        <v>SR</v>
      </c>
      <c r="J29" t="s">
        <v>272</v>
      </c>
      <c r="K29" t="s">
        <v>28</v>
      </c>
      <c r="L29" s="197">
        <v>2334.0763000000002</v>
      </c>
      <c r="M29" s="198">
        <v>2272.58</v>
      </c>
      <c r="N29" s="198">
        <v>2580.96</v>
      </c>
      <c r="P29" t="s">
        <v>259</v>
      </c>
      <c r="Q29" t="s">
        <v>272</v>
      </c>
      <c r="R29" t="s">
        <v>189</v>
      </c>
      <c r="S29" s="198"/>
      <c r="T29" s="197">
        <v>2798.65</v>
      </c>
      <c r="U29" s="198">
        <v>2802.72</v>
      </c>
    </row>
    <row r="30" spans="1:21">
      <c r="A30" t="s">
        <v>11</v>
      </c>
      <c r="B30" s="266" t="str">
        <f>VLOOKUP(A30,Maps!$A$1:$C$13,2,FALSE)</f>
        <v>SUBGEOGRAPHY1</v>
      </c>
      <c r="C30" t="s">
        <v>20</v>
      </c>
      <c r="D30">
        <f t="shared" si="1"/>
        <v>2024</v>
      </c>
      <c r="E30" s="53">
        <f t="shared" si="2"/>
        <v>0.32705279250715208</v>
      </c>
      <c r="F30" s="6"/>
      <c r="H30" t="s">
        <v>259</v>
      </c>
      <c r="I30" t="str">
        <f t="shared" si="3"/>
        <v>SR</v>
      </c>
      <c r="J30" t="s">
        <v>273</v>
      </c>
      <c r="K30" t="s">
        <v>28</v>
      </c>
      <c r="L30" s="197">
        <v>62.377604400000003</v>
      </c>
      <c r="M30" s="198">
        <v>166</v>
      </c>
      <c r="N30" s="198">
        <v>186.02430000000001</v>
      </c>
      <c r="P30" t="s">
        <v>259</v>
      </c>
      <c r="Q30" t="s">
        <v>273</v>
      </c>
      <c r="R30" t="s">
        <v>189</v>
      </c>
      <c r="S30" s="198"/>
      <c r="T30" s="197">
        <v>68.619900000000001</v>
      </c>
      <c r="U30" s="198">
        <v>177</v>
      </c>
    </row>
    <row r="31" spans="1:21">
      <c r="A31" t="s">
        <v>11</v>
      </c>
      <c r="B31" s="266" t="str">
        <f>VLOOKUP(A31,Maps!$A$1:$C$13,2,FALSE)</f>
        <v>SUBGEOGRAPHY1</v>
      </c>
      <c r="C31" t="s">
        <v>21</v>
      </c>
      <c r="D31">
        <f t="shared" si="1"/>
        <v>2024</v>
      </c>
      <c r="E31" s="53">
        <f t="shared" si="2"/>
        <v>0.10520240557787922</v>
      </c>
      <c r="F31" s="6"/>
      <c r="H31" t="s">
        <v>259</v>
      </c>
      <c r="I31" t="str">
        <f t="shared" si="3"/>
        <v>WR</v>
      </c>
      <c r="J31" t="s">
        <v>274</v>
      </c>
      <c r="K31" t="s">
        <v>28</v>
      </c>
      <c r="L31" s="197">
        <v>2616.2856999999999</v>
      </c>
      <c r="M31" s="198">
        <v>2850</v>
      </c>
      <c r="N31" s="198">
        <v>3050</v>
      </c>
      <c r="P31" t="s">
        <v>259</v>
      </c>
      <c r="Q31" t="s">
        <v>274</v>
      </c>
      <c r="R31" t="s">
        <v>189</v>
      </c>
      <c r="S31" s="198"/>
      <c r="T31" s="197">
        <v>2957</v>
      </c>
      <c r="U31" s="198">
        <v>3135</v>
      </c>
    </row>
    <row r="32" spans="1:21">
      <c r="A32" s="28" t="s">
        <v>11</v>
      </c>
      <c r="B32" s="270" t="str">
        <f>VLOOKUP(A32,Maps!$A$1:$C$13,2,FALSE)</f>
        <v>SUBGEOGRAPHY1</v>
      </c>
      <c r="C32" s="28" t="s">
        <v>22</v>
      </c>
      <c r="D32" s="28">
        <f t="shared" si="1"/>
        <v>2024</v>
      </c>
      <c r="E32" s="53">
        <f t="shared" si="2"/>
        <v>7.1004707654646435E-2</v>
      </c>
      <c r="F32" s="6"/>
      <c r="H32" t="s">
        <v>259</v>
      </c>
      <c r="I32" t="str">
        <f t="shared" si="3"/>
        <v>WR</v>
      </c>
      <c r="J32" t="s">
        <v>275</v>
      </c>
      <c r="K32" t="s">
        <v>28</v>
      </c>
      <c r="L32" s="197">
        <v>10085.1227</v>
      </c>
      <c r="M32" s="198">
        <v>8700</v>
      </c>
      <c r="N32" s="198">
        <v>8700</v>
      </c>
      <c r="P32" t="s">
        <v>259</v>
      </c>
      <c r="Q32" t="s">
        <v>275</v>
      </c>
      <c r="R32" t="s">
        <v>189</v>
      </c>
      <c r="S32" s="198"/>
      <c r="T32" s="197">
        <v>9820</v>
      </c>
      <c r="U32" s="198">
        <v>9570.0002000000004</v>
      </c>
    </row>
    <row r="33" spans="1:21">
      <c r="A33" t="s">
        <v>11</v>
      </c>
      <c r="B33" s="266" t="str">
        <f>VLOOKUP(A33,Maps!$A$1:$C$13,2,FALSE)</f>
        <v>SUBGEOGRAPHY1</v>
      </c>
      <c r="C33" t="s">
        <v>18</v>
      </c>
      <c r="D33">
        <f>D28+1</f>
        <v>2025</v>
      </c>
      <c r="E33" s="53">
        <f t="shared" si="2"/>
        <v>0.58306818967242036</v>
      </c>
      <c r="F33" s="6"/>
      <c r="H33" t="s">
        <v>259</v>
      </c>
      <c r="I33" t="str">
        <f t="shared" si="3"/>
        <v>NER</v>
      </c>
      <c r="J33" t="s">
        <v>276</v>
      </c>
      <c r="K33" t="s">
        <v>28</v>
      </c>
      <c r="L33" s="197">
        <v>2.8E-3</v>
      </c>
      <c r="M33" s="198"/>
      <c r="N33" s="198">
        <v>6.6900000000000001E-2</v>
      </c>
      <c r="P33" t="s">
        <v>259</v>
      </c>
      <c r="Q33" t="s">
        <v>276</v>
      </c>
      <c r="R33" t="s">
        <v>189</v>
      </c>
      <c r="S33" s="198"/>
      <c r="T33" s="197"/>
      <c r="U33" s="198"/>
    </row>
    <row r="34" spans="1:21">
      <c r="A34" t="s">
        <v>11</v>
      </c>
      <c r="B34" s="266" t="str">
        <f>VLOOKUP(A34,Maps!$A$1:$C$13,2,FALSE)</f>
        <v>SUBGEOGRAPHY1</v>
      </c>
      <c r="C34" t="s">
        <v>19</v>
      </c>
      <c r="D34">
        <f t="shared" si="1"/>
        <v>2025</v>
      </c>
      <c r="E34" s="53">
        <f t="shared" si="2"/>
        <v>0.69053688959995951</v>
      </c>
      <c r="F34" s="6"/>
      <c r="H34" t="s">
        <v>259</v>
      </c>
      <c r="I34" t="str">
        <f t="shared" si="3"/>
        <v>NER</v>
      </c>
      <c r="J34" t="s">
        <v>277</v>
      </c>
      <c r="K34" t="s">
        <v>28</v>
      </c>
      <c r="L34" s="197">
        <v>2.5571999999999999</v>
      </c>
      <c r="M34" s="198">
        <v>2.48</v>
      </c>
      <c r="N34" s="198">
        <v>2.48</v>
      </c>
      <c r="P34" t="s">
        <v>259</v>
      </c>
      <c r="Q34" t="s">
        <v>277</v>
      </c>
      <c r="R34" t="s">
        <v>189</v>
      </c>
      <c r="S34" s="198"/>
      <c r="T34" s="197">
        <v>2.73</v>
      </c>
      <c r="U34" s="198">
        <v>2.73</v>
      </c>
    </row>
    <row r="35" spans="1:21">
      <c r="A35" t="s">
        <v>11</v>
      </c>
      <c r="B35" s="266" t="str">
        <f>VLOOKUP(A35,Maps!$A$1:$C$13,2,FALSE)</f>
        <v>SUBGEOGRAPHY1</v>
      </c>
      <c r="C35" t="s">
        <v>20</v>
      </c>
      <c r="D35">
        <f t="shared" si="1"/>
        <v>2025</v>
      </c>
      <c r="E35" s="53">
        <f t="shared" si="2"/>
        <v>0.32705279250715208</v>
      </c>
      <c r="F35" s="6"/>
      <c r="H35" t="s">
        <v>259</v>
      </c>
      <c r="I35" t="str">
        <f t="shared" si="3"/>
        <v>NER</v>
      </c>
      <c r="J35" s="195" t="s">
        <v>278</v>
      </c>
      <c r="K35" t="s">
        <v>28</v>
      </c>
      <c r="L35" s="197"/>
      <c r="M35" s="198"/>
      <c r="N35" s="198"/>
      <c r="P35" t="s">
        <v>259</v>
      </c>
      <c r="Q35" s="195" t="s">
        <v>278</v>
      </c>
      <c r="R35" t="s">
        <v>189</v>
      </c>
      <c r="S35" s="198"/>
      <c r="T35" s="197"/>
      <c r="U35" s="198"/>
    </row>
    <row r="36" spans="1:21">
      <c r="A36" t="s">
        <v>11</v>
      </c>
      <c r="B36" s="266" t="str">
        <f>VLOOKUP(A36,Maps!$A$1:$C$13,2,FALSE)</f>
        <v>SUBGEOGRAPHY1</v>
      </c>
      <c r="C36" t="s">
        <v>21</v>
      </c>
      <c r="D36">
        <f t="shared" si="1"/>
        <v>2025</v>
      </c>
      <c r="E36" s="53">
        <f t="shared" si="2"/>
        <v>0.10520240557787922</v>
      </c>
      <c r="F36" s="6"/>
      <c r="H36" t="s">
        <v>259</v>
      </c>
      <c r="I36" t="str">
        <f t="shared" si="3"/>
        <v>NER</v>
      </c>
      <c r="J36" t="s">
        <v>279</v>
      </c>
      <c r="K36" t="s">
        <v>28</v>
      </c>
      <c r="L36" s="197">
        <v>8.6599999999999996E-2</v>
      </c>
      <c r="M36" s="198">
        <v>8.0799999999999997E-2</v>
      </c>
      <c r="N36" s="198">
        <v>6.2199999999999998E-2</v>
      </c>
      <c r="P36" t="s">
        <v>259</v>
      </c>
      <c r="Q36" t="s">
        <v>279</v>
      </c>
      <c r="R36" t="s">
        <v>189</v>
      </c>
      <c r="S36" s="198"/>
      <c r="T36" s="197">
        <v>0.1</v>
      </c>
      <c r="U36" s="198">
        <v>8.900000000000001E-2</v>
      </c>
    </row>
    <row r="37" spans="1:21">
      <c r="A37" s="28" t="s">
        <v>11</v>
      </c>
      <c r="B37" s="270" t="str">
        <f>VLOOKUP(A37,Maps!$A$1:$C$13,2,FALSE)</f>
        <v>SUBGEOGRAPHY1</v>
      </c>
      <c r="C37" s="28" t="s">
        <v>22</v>
      </c>
      <c r="D37" s="28">
        <f t="shared" si="1"/>
        <v>2025</v>
      </c>
      <c r="E37" s="53">
        <f t="shared" si="2"/>
        <v>7.1004707654646435E-2</v>
      </c>
      <c r="F37" s="6"/>
      <c r="H37" t="s">
        <v>259</v>
      </c>
      <c r="I37" t="str">
        <f t="shared" si="3"/>
        <v>NR</v>
      </c>
      <c r="J37" s="195" t="s">
        <v>280</v>
      </c>
      <c r="K37" t="s">
        <v>28</v>
      </c>
      <c r="L37" s="197"/>
      <c r="M37" s="198"/>
      <c r="N37" s="198"/>
      <c r="P37" t="s">
        <v>259</v>
      </c>
      <c r="Q37" s="195" t="s">
        <v>280</v>
      </c>
      <c r="R37" t="s">
        <v>189</v>
      </c>
      <c r="S37" s="198"/>
      <c r="T37" s="197"/>
      <c r="U37" s="198"/>
    </row>
    <row r="38" spans="1:21">
      <c r="A38" t="s">
        <v>11</v>
      </c>
      <c r="B38" s="266" t="str">
        <f>VLOOKUP(A38,Maps!$A$1:$C$13,2,FALSE)</f>
        <v>SUBGEOGRAPHY1</v>
      </c>
      <c r="C38" t="s">
        <v>18</v>
      </c>
      <c r="D38">
        <f>D33+1</f>
        <v>2026</v>
      </c>
      <c r="E38" s="53">
        <f t="shared" si="2"/>
        <v>0.58306818967242036</v>
      </c>
      <c r="F38" s="6"/>
      <c r="H38" t="s">
        <v>259</v>
      </c>
      <c r="I38" t="str">
        <f t="shared" si="3"/>
        <v>ER</v>
      </c>
      <c r="J38" t="s">
        <v>281</v>
      </c>
      <c r="K38" t="s">
        <v>28</v>
      </c>
      <c r="L38" s="197">
        <v>3257.6574000000001</v>
      </c>
      <c r="M38" s="198">
        <v>2700</v>
      </c>
      <c r="N38" s="198">
        <v>2300</v>
      </c>
      <c r="P38" t="s">
        <v>259</v>
      </c>
      <c r="Q38" t="s">
        <v>281</v>
      </c>
      <c r="R38" t="s">
        <v>189</v>
      </c>
      <c r="S38" s="198"/>
      <c r="T38" s="197">
        <v>2900</v>
      </c>
      <c r="U38" s="198">
        <v>2800</v>
      </c>
    </row>
    <row r="39" spans="1:21">
      <c r="A39" t="s">
        <v>11</v>
      </c>
      <c r="B39" s="266" t="str">
        <f>VLOOKUP(A39,Maps!$A$1:$C$13,2,FALSE)</f>
        <v>SUBGEOGRAPHY1</v>
      </c>
      <c r="C39" t="s">
        <v>19</v>
      </c>
      <c r="D39">
        <f t="shared" si="1"/>
        <v>2026</v>
      </c>
      <c r="E39" s="53">
        <f t="shared" si="2"/>
        <v>0.69053688959995951</v>
      </c>
      <c r="F39" s="6"/>
      <c r="H39" t="s">
        <v>259</v>
      </c>
      <c r="I39" t="str">
        <f t="shared" si="3"/>
        <v>SR</v>
      </c>
      <c r="J39" s="195" t="s">
        <v>282</v>
      </c>
      <c r="K39" t="s">
        <v>28</v>
      </c>
      <c r="L39" s="197"/>
      <c r="M39" s="198"/>
      <c r="N39" s="198"/>
      <c r="P39" t="s">
        <v>259</v>
      </c>
      <c r="Q39" s="195" t="s">
        <v>282</v>
      </c>
      <c r="R39" t="s">
        <v>189</v>
      </c>
      <c r="S39" s="198"/>
      <c r="T39" s="197"/>
      <c r="U39" s="198"/>
    </row>
    <row r="40" spans="1:21">
      <c r="A40" t="s">
        <v>11</v>
      </c>
      <c r="B40" s="266" t="str">
        <f>VLOOKUP(A40,Maps!$A$1:$C$13,2,FALSE)</f>
        <v>SUBGEOGRAPHY1</v>
      </c>
      <c r="C40" t="s">
        <v>20</v>
      </c>
      <c r="D40">
        <f t="shared" si="1"/>
        <v>2026</v>
      </c>
      <c r="E40" s="53">
        <f t="shared" si="2"/>
        <v>0.32705279250715208</v>
      </c>
      <c r="F40" s="6"/>
      <c r="H40" t="s">
        <v>259</v>
      </c>
      <c r="I40" t="str">
        <f t="shared" si="3"/>
        <v>NR</v>
      </c>
      <c r="J40" t="s">
        <v>283</v>
      </c>
      <c r="K40" t="s">
        <v>28</v>
      </c>
      <c r="L40" s="197">
        <v>2329.5515</v>
      </c>
      <c r="M40" s="198">
        <v>2500</v>
      </c>
      <c r="N40" s="198">
        <v>2500</v>
      </c>
      <c r="P40" t="s">
        <v>259</v>
      </c>
      <c r="Q40" t="s">
        <v>283</v>
      </c>
      <c r="R40" t="s">
        <v>189</v>
      </c>
      <c r="S40" s="198"/>
      <c r="T40" s="197">
        <v>4479.3100000000004</v>
      </c>
      <c r="U40" s="198">
        <v>2711.105</v>
      </c>
    </row>
    <row r="41" spans="1:21">
      <c r="A41" t="s">
        <v>11</v>
      </c>
      <c r="B41" s="266" t="str">
        <f>VLOOKUP(A41,Maps!$A$1:$C$13,2,FALSE)</f>
        <v>SUBGEOGRAPHY1</v>
      </c>
      <c r="C41" t="s">
        <v>21</v>
      </c>
      <c r="D41">
        <f t="shared" si="1"/>
        <v>2026</v>
      </c>
      <c r="E41" s="53">
        <f t="shared" si="2"/>
        <v>0.10520240557787922</v>
      </c>
      <c r="F41" s="6"/>
      <c r="H41" t="s">
        <v>259</v>
      </c>
      <c r="I41" t="str">
        <f t="shared" si="3"/>
        <v>NR</v>
      </c>
      <c r="J41" t="s">
        <v>284</v>
      </c>
      <c r="K41" t="s">
        <v>28</v>
      </c>
      <c r="L41" s="197">
        <v>2147.9483</v>
      </c>
      <c r="M41" s="198">
        <v>2339.5023999999999</v>
      </c>
      <c r="N41" s="198">
        <v>2450</v>
      </c>
      <c r="P41" t="s">
        <v>259</v>
      </c>
      <c r="Q41" t="s">
        <v>284</v>
      </c>
      <c r="R41" t="s">
        <v>189</v>
      </c>
      <c r="S41" s="198"/>
      <c r="T41" s="197">
        <v>2804.01</v>
      </c>
      <c r="U41" s="198">
        <v>2804.01</v>
      </c>
    </row>
    <row r="42" spans="1:21">
      <c r="A42" s="28" t="s">
        <v>11</v>
      </c>
      <c r="B42" s="270" t="str">
        <f>VLOOKUP(A42,Maps!$A$1:$C$13,2,FALSE)</f>
        <v>SUBGEOGRAPHY1</v>
      </c>
      <c r="C42" s="28" t="s">
        <v>22</v>
      </c>
      <c r="D42" s="28">
        <f t="shared" si="1"/>
        <v>2026</v>
      </c>
      <c r="E42" s="53">
        <f t="shared" si="2"/>
        <v>7.1004707654646435E-2</v>
      </c>
      <c r="F42" s="6"/>
      <c r="H42" t="s">
        <v>259</v>
      </c>
      <c r="I42" t="str">
        <f t="shared" si="3"/>
        <v>ER</v>
      </c>
      <c r="J42" s="195" t="s">
        <v>285</v>
      </c>
      <c r="K42" t="s">
        <v>28</v>
      </c>
      <c r="L42" s="197"/>
      <c r="M42" s="198"/>
      <c r="N42" s="198"/>
      <c r="P42" t="s">
        <v>259</v>
      </c>
      <c r="Q42" s="195" t="s">
        <v>285</v>
      </c>
      <c r="R42" t="s">
        <v>189</v>
      </c>
      <c r="S42" s="198"/>
      <c r="T42" s="197"/>
      <c r="U42" s="198"/>
    </row>
    <row r="43" spans="1:21">
      <c r="A43" t="s">
        <v>11</v>
      </c>
      <c r="B43" s="266" t="str">
        <f>VLOOKUP(A43,Maps!$A$1:$C$13,2,FALSE)</f>
        <v>SUBGEOGRAPHY1</v>
      </c>
      <c r="C43" t="s">
        <v>18</v>
      </c>
      <c r="D43">
        <f>D38+1</f>
        <v>2027</v>
      </c>
      <c r="E43" s="53">
        <f t="shared" si="2"/>
        <v>0.58306818967242036</v>
      </c>
      <c r="F43" s="6"/>
      <c r="H43" t="s">
        <v>259</v>
      </c>
      <c r="I43" t="str">
        <f t="shared" si="3"/>
        <v>SR</v>
      </c>
      <c r="J43" t="s">
        <v>286</v>
      </c>
      <c r="K43" t="s">
        <v>28</v>
      </c>
      <c r="L43" s="197">
        <v>620.9683</v>
      </c>
      <c r="M43" s="198">
        <v>1299.1503</v>
      </c>
      <c r="N43" s="198">
        <v>1308.9614999999999</v>
      </c>
      <c r="P43" t="s">
        <v>259</v>
      </c>
      <c r="Q43" t="s">
        <v>286</v>
      </c>
      <c r="R43" t="s">
        <v>189</v>
      </c>
      <c r="S43" s="198"/>
      <c r="T43" s="197">
        <v>1443.2928999999999</v>
      </c>
      <c r="U43" s="198">
        <v>1364.4482</v>
      </c>
    </row>
    <row r="44" spans="1:21">
      <c r="A44" t="s">
        <v>11</v>
      </c>
      <c r="B44" s="266" t="str">
        <f>VLOOKUP(A44,Maps!$A$1:$C$13,2,FALSE)</f>
        <v>SUBGEOGRAPHY1</v>
      </c>
      <c r="C44" t="s">
        <v>19</v>
      </c>
      <c r="D44">
        <f t="shared" si="1"/>
        <v>2027</v>
      </c>
      <c r="E44" s="53">
        <f t="shared" si="2"/>
        <v>0.69053688959995951</v>
      </c>
      <c r="F44" s="6"/>
      <c r="H44" t="s">
        <v>259</v>
      </c>
      <c r="I44" t="str">
        <f t="shared" si="3"/>
        <v>SR</v>
      </c>
      <c r="J44" t="s">
        <v>287</v>
      </c>
      <c r="K44" t="s">
        <v>28</v>
      </c>
      <c r="L44" s="197">
        <v>15.9739</v>
      </c>
      <c r="M44" s="198">
        <v>347.21</v>
      </c>
      <c r="N44" s="198">
        <v>434.00630000000001</v>
      </c>
      <c r="P44" t="s">
        <v>259</v>
      </c>
      <c r="Q44" t="s">
        <v>287</v>
      </c>
      <c r="R44" t="s">
        <v>189</v>
      </c>
      <c r="S44" s="198"/>
      <c r="T44" s="197">
        <v>25.63</v>
      </c>
      <c r="U44" s="198">
        <v>25.63</v>
      </c>
    </row>
    <row r="45" spans="1:21">
      <c r="A45" t="s">
        <v>11</v>
      </c>
      <c r="B45" s="266" t="str">
        <f>VLOOKUP(A45,Maps!$A$1:$C$13,2,FALSE)</f>
        <v>SUBGEOGRAPHY1</v>
      </c>
      <c r="C45" t="s">
        <v>20</v>
      </c>
      <c r="D45">
        <f t="shared" si="1"/>
        <v>2027</v>
      </c>
      <c r="E45" s="53">
        <f t="shared" si="2"/>
        <v>0.32705279250715208</v>
      </c>
      <c r="F45" s="6"/>
      <c r="H45" t="s">
        <v>259</v>
      </c>
      <c r="I45" t="str">
        <f t="shared" si="3"/>
        <v>NER</v>
      </c>
      <c r="J45" t="s">
        <v>288</v>
      </c>
      <c r="K45" t="s">
        <v>28</v>
      </c>
      <c r="L45" s="197">
        <v>1.41E-2</v>
      </c>
      <c r="M45" s="198"/>
      <c r="N45" s="198">
        <v>1E-3</v>
      </c>
      <c r="P45" t="s">
        <v>259</v>
      </c>
      <c r="Q45" t="s">
        <v>288</v>
      </c>
      <c r="R45" t="s">
        <v>189</v>
      </c>
      <c r="S45" s="198"/>
      <c r="T45" s="197">
        <v>25</v>
      </c>
      <c r="U45" s="198"/>
    </row>
    <row r="46" spans="1:21">
      <c r="A46" t="s">
        <v>11</v>
      </c>
      <c r="B46" s="266" t="str">
        <f>VLOOKUP(A46,Maps!$A$1:$C$13,2,FALSE)</f>
        <v>SUBGEOGRAPHY1</v>
      </c>
      <c r="C46" t="s">
        <v>21</v>
      </c>
      <c r="D46">
        <f t="shared" si="1"/>
        <v>2027</v>
      </c>
      <c r="E46" s="53">
        <f t="shared" si="2"/>
        <v>0.10520240557787922</v>
      </c>
      <c r="F46" s="6"/>
      <c r="H46" t="s">
        <v>259</v>
      </c>
      <c r="I46" t="str">
        <f t="shared" si="3"/>
        <v>NR</v>
      </c>
      <c r="J46" t="s">
        <v>289</v>
      </c>
      <c r="K46" t="s">
        <v>28</v>
      </c>
      <c r="L46" s="197">
        <v>2978.2150999999999</v>
      </c>
      <c r="M46" s="198">
        <v>2600</v>
      </c>
      <c r="N46" s="198">
        <v>2000</v>
      </c>
      <c r="P46" t="s">
        <v>259</v>
      </c>
      <c r="Q46" t="s">
        <v>289</v>
      </c>
      <c r="R46" t="s">
        <v>189</v>
      </c>
      <c r="S46" s="198"/>
      <c r="T46" s="197">
        <v>3120</v>
      </c>
      <c r="U46" s="198">
        <v>3120</v>
      </c>
    </row>
    <row r="47" spans="1:21">
      <c r="A47" s="28" t="s">
        <v>11</v>
      </c>
      <c r="B47" s="270" t="str">
        <f>VLOOKUP(A47,Maps!$A$1:$C$13,2,FALSE)</f>
        <v>SUBGEOGRAPHY1</v>
      </c>
      <c r="C47" s="28" t="s">
        <v>22</v>
      </c>
      <c r="D47" s="28">
        <f t="shared" si="1"/>
        <v>2027</v>
      </c>
      <c r="E47" s="53">
        <f>E42</f>
        <v>7.1004707654646435E-2</v>
      </c>
      <c r="F47" s="6"/>
      <c r="H47" t="s">
        <v>259</v>
      </c>
      <c r="I47" t="str">
        <f t="shared" si="3"/>
        <v>NR</v>
      </c>
      <c r="J47" t="s">
        <v>290</v>
      </c>
      <c r="K47" t="s">
        <v>28</v>
      </c>
      <c r="L47" s="197">
        <v>505.87540000000001</v>
      </c>
      <c r="M47" s="198">
        <v>400.07479999999998</v>
      </c>
      <c r="N47" s="198">
        <v>400.07479999999998</v>
      </c>
      <c r="P47" t="s">
        <v>259</v>
      </c>
      <c r="Q47" t="s">
        <v>290</v>
      </c>
      <c r="R47" t="s">
        <v>189</v>
      </c>
      <c r="S47" s="198"/>
      <c r="T47" s="197">
        <v>220.0549</v>
      </c>
      <c r="U47" s="198">
        <v>440.05489999999998</v>
      </c>
    </row>
    <row r="48" spans="1:21">
      <c r="A48" t="s">
        <v>11</v>
      </c>
      <c r="B48" s="266" t="str">
        <f>VLOOKUP(A48,Maps!$A$1:$C$13,2,FALSE)</f>
        <v>SUBGEOGRAPHY1</v>
      </c>
      <c r="C48" t="s">
        <v>18</v>
      </c>
      <c r="D48">
        <f>D43+1</f>
        <v>2028</v>
      </c>
      <c r="E48" s="53">
        <f t="shared" si="2"/>
        <v>0.58306818967242036</v>
      </c>
      <c r="F48" s="6"/>
      <c r="H48" t="s">
        <v>259</v>
      </c>
      <c r="I48" t="str">
        <f t="shared" si="3"/>
        <v>ER</v>
      </c>
      <c r="J48" t="s">
        <v>291</v>
      </c>
      <c r="K48" t="s">
        <v>28</v>
      </c>
      <c r="L48" s="197">
        <v>2675.4108000000001</v>
      </c>
      <c r="M48" s="198">
        <v>2435.67</v>
      </c>
      <c r="N48" s="198">
        <v>3000</v>
      </c>
      <c r="P48" t="s">
        <v>259</v>
      </c>
      <c r="Q48" t="s">
        <v>291</v>
      </c>
      <c r="R48" t="s">
        <v>189</v>
      </c>
      <c r="S48" s="198"/>
      <c r="T48" s="197">
        <v>2851.1</v>
      </c>
      <c r="U48" s="198">
        <v>2510.1</v>
      </c>
    </row>
    <row r="49" spans="1:12">
      <c r="A49" t="s">
        <v>11</v>
      </c>
      <c r="B49" s="266" t="str">
        <f>VLOOKUP(A49,Maps!$A$1:$C$13,2,FALSE)</f>
        <v>SUBGEOGRAPHY1</v>
      </c>
      <c r="C49" t="s">
        <v>19</v>
      </c>
      <c r="D49">
        <f t="shared" si="1"/>
        <v>2028</v>
      </c>
      <c r="E49" s="53">
        <f t="shared" si="2"/>
        <v>0.69053688959995951</v>
      </c>
      <c r="F49" s="6"/>
    </row>
    <row r="50" spans="1:12">
      <c r="A50" t="s">
        <v>11</v>
      </c>
      <c r="B50" s="266" t="str">
        <f>VLOOKUP(A50,Maps!$A$1:$C$13,2,FALSE)</f>
        <v>SUBGEOGRAPHY1</v>
      </c>
      <c r="C50" t="s">
        <v>20</v>
      </c>
      <c r="D50">
        <f t="shared" si="1"/>
        <v>2028</v>
      </c>
      <c r="E50" s="53">
        <f t="shared" si="2"/>
        <v>0.32705279250715208</v>
      </c>
      <c r="F50" s="6"/>
    </row>
    <row r="51" spans="1:12">
      <c r="A51" t="s">
        <v>11</v>
      </c>
      <c r="B51" s="266" t="str">
        <f>VLOOKUP(A51,Maps!$A$1:$C$13,2,FALSE)</f>
        <v>SUBGEOGRAPHY1</v>
      </c>
      <c r="C51" t="s">
        <v>21</v>
      </c>
      <c r="D51">
        <f t="shared" si="1"/>
        <v>2028</v>
      </c>
      <c r="E51" s="53">
        <f t="shared" si="2"/>
        <v>0.10520240557787922</v>
      </c>
      <c r="F51" s="6"/>
      <c r="H51" s="208" t="s">
        <v>308</v>
      </c>
      <c r="I51" s="208"/>
      <c r="J51" s="208" t="s">
        <v>310</v>
      </c>
      <c r="K51" s="208" t="s">
        <v>311</v>
      </c>
      <c r="L51" s="208" t="s">
        <v>309</v>
      </c>
    </row>
    <row r="52" spans="1:12">
      <c r="A52" s="28" t="s">
        <v>11</v>
      </c>
      <c r="B52" s="270" t="str">
        <f>VLOOKUP(A52,Maps!$A$1:$C$13,2,FALSE)</f>
        <v>SUBGEOGRAPHY1</v>
      </c>
      <c r="C52" s="28" t="s">
        <v>22</v>
      </c>
      <c r="D52" s="28">
        <f t="shared" si="1"/>
        <v>2028</v>
      </c>
      <c r="E52" s="53">
        <f t="shared" si="2"/>
        <v>7.1004707654646435E-2</v>
      </c>
      <c r="F52" s="6"/>
      <c r="H52" s="208" t="s">
        <v>314</v>
      </c>
      <c r="I52" s="208"/>
      <c r="J52" s="209">
        <f>L17</f>
        <v>40345.21520440001</v>
      </c>
      <c r="K52" s="208">
        <f>J52*10^7</f>
        <v>403452152044.00012</v>
      </c>
      <c r="L52" s="208"/>
    </row>
    <row r="53" spans="1:12">
      <c r="A53" t="s">
        <v>11</v>
      </c>
      <c r="B53" s="266" t="str">
        <f>VLOOKUP(A53,Maps!$A$1:$C$13,2,FALSE)</f>
        <v>SUBGEOGRAPHY1</v>
      </c>
      <c r="C53" t="s">
        <v>18</v>
      </c>
      <c r="D53">
        <f>D48+1</f>
        <v>2029</v>
      </c>
      <c r="E53" s="53">
        <f t="shared" si="2"/>
        <v>0.58306818967242036</v>
      </c>
      <c r="F53" s="6"/>
      <c r="H53" s="208" t="s">
        <v>313</v>
      </c>
      <c r="I53" s="208"/>
      <c r="J53" s="208">
        <f>I120</f>
        <v>1000671</v>
      </c>
      <c r="K53" s="208">
        <f>J53*10^6</f>
        <v>1000671000000</v>
      </c>
      <c r="L53" s="210">
        <f>K52/K53</f>
        <v>0.40318161717887308</v>
      </c>
    </row>
    <row r="54" spans="1:12">
      <c r="A54" t="s">
        <v>11</v>
      </c>
      <c r="B54" s="266" t="str">
        <f>VLOOKUP(A54,Maps!$A$1:$C$13,2,FALSE)</f>
        <v>SUBGEOGRAPHY1</v>
      </c>
      <c r="C54" t="s">
        <v>19</v>
      </c>
      <c r="D54">
        <f t="shared" si="1"/>
        <v>2029</v>
      </c>
      <c r="E54" s="53">
        <f t="shared" si="2"/>
        <v>0.69053688959995951</v>
      </c>
      <c r="F54" s="6"/>
      <c r="H54" s="208" t="s">
        <v>312</v>
      </c>
      <c r="I54" s="208"/>
      <c r="J54" s="208">
        <f>I120+K120</f>
        <v>1037517</v>
      </c>
      <c r="K54" s="208">
        <f>J54*10^6</f>
        <v>1037517000000</v>
      </c>
      <c r="L54" s="210">
        <f>K52/K54</f>
        <v>0.38886317240488599</v>
      </c>
    </row>
    <row r="55" spans="1:12">
      <c r="A55" t="s">
        <v>11</v>
      </c>
      <c r="B55" s="266" t="str">
        <f>VLOOKUP(A55,Maps!$A$1:$C$13,2,FALSE)</f>
        <v>SUBGEOGRAPHY1</v>
      </c>
      <c r="C55" t="s">
        <v>20</v>
      </c>
      <c r="D55">
        <f t="shared" si="1"/>
        <v>2029</v>
      </c>
      <c r="E55" s="53">
        <f t="shared" si="2"/>
        <v>0.32705279250715208</v>
      </c>
      <c r="F55" s="6"/>
      <c r="J55" s="211" t="s">
        <v>28</v>
      </c>
    </row>
    <row r="56" spans="1:12" ht="30">
      <c r="A56" t="s">
        <v>11</v>
      </c>
      <c r="B56" s="266" t="str">
        <f>VLOOKUP(A56,Maps!$A$1:$C$13,2,FALSE)</f>
        <v>SUBGEOGRAPHY1</v>
      </c>
      <c r="C56" t="s">
        <v>21</v>
      </c>
      <c r="D56">
        <f t="shared" si="1"/>
        <v>2029</v>
      </c>
      <c r="E56" s="53">
        <f t="shared" si="2"/>
        <v>0.10520240557787922</v>
      </c>
      <c r="F56" s="6"/>
      <c r="I56" s="202" t="s">
        <v>303</v>
      </c>
      <c r="J56" s="203" t="s">
        <v>317</v>
      </c>
      <c r="K56" s="203" t="s">
        <v>316</v>
      </c>
      <c r="L56" s="202" t="s">
        <v>309</v>
      </c>
    </row>
    <row r="57" spans="1:12">
      <c r="A57" s="28" t="s">
        <v>11</v>
      </c>
      <c r="B57" s="270" t="str">
        <f>VLOOKUP(A57,Maps!$A$1:$C$13,2,FALSE)</f>
        <v>SUBGEOGRAPHY1</v>
      </c>
      <c r="C57" s="28" t="s">
        <v>22</v>
      </c>
      <c r="D57" s="28">
        <f t="shared" si="1"/>
        <v>2029</v>
      </c>
      <c r="E57" s="53">
        <f t="shared" si="2"/>
        <v>7.1004707654646435E-2</v>
      </c>
      <c r="F57" s="6"/>
      <c r="I57" s="202" t="s">
        <v>18</v>
      </c>
      <c r="J57" s="204">
        <f>SUMIF(I$18:I$48,$I57,L$18:L$48)</f>
        <v>6411.3011999999999</v>
      </c>
      <c r="K57" s="204">
        <f>SUMIF(I$78:I$117,$I57,J$78:J$117)</f>
        <v>109958</v>
      </c>
      <c r="L57" s="205">
        <f>J57*10^7/K57/10^6</f>
        <v>0.58306818967242036</v>
      </c>
    </row>
    <row r="58" spans="1:12">
      <c r="A58" t="s">
        <v>11</v>
      </c>
      <c r="B58" s="266" t="str">
        <f>VLOOKUP(A58,Maps!$A$1:$C$13,2,FALSE)</f>
        <v>SUBGEOGRAPHY1</v>
      </c>
      <c r="C58" t="s">
        <v>18</v>
      </c>
      <c r="D58">
        <f>D53+1</f>
        <v>2030</v>
      </c>
      <c r="E58" s="53">
        <f t="shared" si="2"/>
        <v>0.58306818967242036</v>
      </c>
      <c r="F58" s="6"/>
      <c r="I58" s="202" t="s">
        <v>22</v>
      </c>
      <c r="J58" s="204">
        <f>SUMIF(I$18:I$48,$I58,L$18:L$48)</f>
        <v>75.414099999999991</v>
      </c>
      <c r="K58" s="204">
        <f>SUMIF(I$78:I$117,$I58,J$78:J$117)</f>
        <v>10621</v>
      </c>
      <c r="L58" s="205">
        <f t="shared" ref="L58:L61" si="4">J58*10^7/K58/10^6</f>
        <v>7.1004707654646435E-2</v>
      </c>
    </row>
    <row r="59" spans="1:12">
      <c r="A59" t="s">
        <v>11</v>
      </c>
      <c r="B59" s="266" t="str">
        <f>VLOOKUP(A59,Maps!$A$1:$C$13,2,FALSE)</f>
        <v>SUBGEOGRAPHY1</v>
      </c>
      <c r="C59" t="s">
        <v>19</v>
      </c>
      <c r="D59">
        <f t="shared" si="1"/>
        <v>2030</v>
      </c>
      <c r="E59" s="53">
        <f t="shared" si="2"/>
        <v>0.69053688959995951</v>
      </c>
      <c r="F59" s="6"/>
      <c r="I59" s="202" t="s">
        <v>20</v>
      </c>
      <c r="J59" s="204">
        <f>SUMIF(I$18:I$48,$I59,L$18:L$48)</f>
        <v>8974.1651000000002</v>
      </c>
      <c r="K59" s="204">
        <f>SUMIF(I$78:I$117,$I59,J$78:J$117)</f>
        <v>274395</v>
      </c>
      <c r="L59" s="205">
        <f t="shared" si="4"/>
        <v>0.32705279250715208</v>
      </c>
    </row>
    <row r="60" spans="1:12">
      <c r="A60" t="s">
        <v>11</v>
      </c>
      <c r="B60" s="266" t="str">
        <f>VLOOKUP(A60,Maps!$A$1:$C$13,2,FALSE)</f>
        <v>SUBGEOGRAPHY1</v>
      </c>
      <c r="C60" t="s">
        <v>20</v>
      </c>
      <c r="D60">
        <f t="shared" si="1"/>
        <v>2030</v>
      </c>
      <c r="E60" s="53">
        <f t="shared" si="2"/>
        <v>0.32705279250715208</v>
      </c>
      <c r="F60" s="6"/>
      <c r="I60" s="202" t="s">
        <v>21</v>
      </c>
      <c r="J60" s="204">
        <f>SUMIF(I$18:I$48,$I60,L$18:L$48)</f>
        <v>3044.8627044000004</v>
      </c>
      <c r="K60" s="204">
        <f>SUMIF(I$78:I$117,$I60,J$78:J$117)</f>
        <v>289429</v>
      </c>
      <c r="L60" s="205">
        <f t="shared" si="4"/>
        <v>0.10520240557787922</v>
      </c>
    </row>
    <row r="61" spans="1:12">
      <c r="A61" t="s">
        <v>11</v>
      </c>
      <c r="B61" s="266" t="str">
        <f>VLOOKUP(A61,Maps!$A$1:$C$13,2,FALSE)</f>
        <v>SUBGEOGRAPHY1</v>
      </c>
      <c r="C61" t="s">
        <v>21</v>
      </c>
      <c r="D61">
        <f t="shared" si="1"/>
        <v>2030</v>
      </c>
      <c r="E61" s="53">
        <f t="shared" si="2"/>
        <v>0.10520240557787922</v>
      </c>
      <c r="F61" s="6"/>
      <c r="I61" s="202" t="s">
        <v>19</v>
      </c>
      <c r="J61" s="204">
        <f>SUMIF(I$18:I$48,$I61,L$18:L$48)</f>
        <v>21839.472099999999</v>
      </c>
      <c r="K61" s="204">
        <f>SUMIF(I$78:I$117,$I61,J$78:J$117)</f>
        <v>316268</v>
      </c>
      <c r="L61" s="205">
        <f t="shared" si="4"/>
        <v>0.69053688959995951</v>
      </c>
    </row>
    <row r="62" spans="1:12">
      <c r="A62" s="28" t="s">
        <v>11</v>
      </c>
      <c r="B62" s="270" t="str">
        <f>VLOOKUP(A62,Maps!$A$1:$C$13,2,FALSE)</f>
        <v>SUBGEOGRAPHY1</v>
      </c>
      <c r="C62" s="28" t="s">
        <v>22</v>
      </c>
      <c r="D62" s="28">
        <f t="shared" si="1"/>
        <v>2030</v>
      </c>
      <c r="E62" s="53">
        <f t="shared" si="2"/>
        <v>7.1004707654646435E-2</v>
      </c>
      <c r="F62" s="6"/>
      <c r="I62" s="206"/>
      <c r="J62" s="206"/>
      <c r="K62" s="206"/>
      <c r="L62" s="206"/>
    </row>
    <row r="63" spans="1:12">
      <c r="A63" t="s">
        <v>11</v>
      </c>
      <c r="B63" s="266" t="str">
        <f>VLOOKUP(A63,Maps!$A$1:$C$13,2,FALSE)</f>
        <v>SUBGEOGRAPHY1</v>
      </c>
      <c r="C63" t="s">
        <v>18</v>
      </c>
      <c r="D63">
        <f>D58+1</f>
        <v>2031</v>
      </c>
      <c r="E63" s="53">
        <f t="shared" si="2"/>
        <v>0.58306818967242036</v>
      </c>
      <c r="F63" s="6"/>
      <c r="I63" s="206"/>
      <c r="J63" s="207">
        <f>SUM(J57:J62)</f>
        <v>40345.215204399996</v>
      </c>
      <c r="K63" s="207">
        <f>SUM(K57:K62)</f>
        <v>1000671</v>
      </c>
      <c r="L63" s="206"/>
    </row>
    <row r="64" spans="1:12">
      <c r="A64" t="s">
        <v>11</v>
      </c>
      <c r="B64" s="266" t="str">
        <f>VLOOKUP(A64,Maps!$A$1:$C$13,2,FALSE)</f>
        <v>SUBGEOGRAPHY1</v>
      </c>
      <c r="C64" t="s">
        <v>19</v>
      </c>
      <c r="D64">
        <f t="shared" si="1"/>
        <v>2031</v>
      </c>
      <c r="E64" s="53">
        <f t="shared" si="2"/>
        <v>0.69053688959995951</v>
      </c>
      <c r="F64" s="6"/>
    </row>
    <row r="65" spans="1:11">
      <c r="A65" t="s">
        <v>11</v>
      </c>
      <c r="B65" s="266" t="str">
        <f>VLOOKUP(A65,Maps!$A$1:$C$13,2,FALSE)</f>
        <v>SUBGEOGRAPHY1</v>
      </c>
      <c r="C65" t="s">
        <v>20</v>
      </c>
      <c r="D65">
        <f t="shared" si="1"/>
        <v>2031</v>
      </c>
      <c r="E65" s="53">
        <f t="shared" si="2"/>
        <v>0.32705279250715208</v>
      </c>
      <c r="F65" s="6"/>
    </row>
    <row r="66" spans="1:11">
      <c r="A66" t="s">
        <v>11</v>
      </c>
      <c r="B66" s="266" t="str">
        <f>VLOOKUP(A66,Maps!$A$1:$C$13,2,FALSE)</f>
        <v>SUBGEOGRAPHY1</v>
      </c>
      <c r="C66" t="s">
        <v>21</v>
      </c>
      <c r="D66">
        <f t="shared" si="1"/>
        <v>2031</v>
      </c>
      <c r="E66" s="53">
        <f t="shared" si="2"/>
        <v>0.10520240557787922</v>
      </c>
      <c r="F66" s="6"/>
    </row>
    <row r="67" spans="1:11">
      <c r="A67" s="28" t="s">
        <v>11</v>
      </c>
      <c r="B67" s="270" t="str">
        <f>VLOOKUP(A67,Maps!$A$1:$C$13,2,FALSE)</f>
        <v>SUBGEOGRAPHY1</v>
      </c>
      <c r="C67" s="28" t="s">
        <v>22</v>
      </c>
      <c r="D67" s="28">
        <f t="shared" si="1"/>
        <v>2031</v>
      </c>
      <c r="E67" s="53">
        <f t="shared" si="2"/>
        <v>7.1004707654646435E-2</v>
      </c>
      <c r="F67" s="6"/>
    </row>
    <row r="68" spans="1:11">
      <c r="A68" s="6"/>
      <c r="B68" s="6"/>
      <c r="C68" s="6"/>
      <c r="D68" s="6"/>
      <c r="E68" s="6"/>
      <c r="F68" s="6"/>
      <c r="H68" t="s">
        <v>204</v>
      </c>
    </row>
    <row r="69" spans="1:11">
      <c r="A69" t="s">
        <v>437</v>
      </c>
      <c r="H69" t="s">
        <v>205</v>
      </c>
    </row>
    <row r="70" spans="1:11">
      <c r="H70" t="s">
        <v>506</v>
      </c>
    </row>
    <row r="72" spans="1:11">
      <c r="E72" s="53">
        <f>E8*1000</f>
        <v>583.06818967242032</v>
      </c>
      <c r="F72" t="s">
        <v>443</v>
      </c>
    </row>
    <row r="73" spans="1:11">
      <c r="E73">
        <f>E72*10^6</f>
        <v>583068189.67242026</v>
      </c>
      <c r="F73" t="s">
        <v>441</v>
      </c>
      <c r="H73" t="s">
        <v>294</v>
      </c>
    </row>
    <row r="74" spans="1:11">
      <c r="E74">
        <f>E73/10^6</f>
        <v>583.06818967242032</v>
      </c>
      <c r="F74" t="s">
        <v>442</v>
      </c>
      <c r="H74" t="s">
        <v>28</v>
      </c>
      <c r="J74" s="201" t="s">
        <v>295</v>
      </c>
    </row>
    <row r="75" spans="1:11">
      <c r="G75" t="s">
        <v>296</v>
      </c>
      <c r="H75" t="s">
        <v>293</v>
      </c>
      <c r="J75" s="201">
        <v>1371779.48</v>
      </c>
    </row>
    <row r="76" spans="1:11">
      <c r="G76" t="s">
        <v>304</v>
      </c>
      <c r="H76" t="s">
        <v>305</v>
      </c>
    </row>
    <row r="77" spans="1:11" ht="30">
      <c r="H77" t="s">
        <v>297</v>
      </c>
      <c r="I77" s="13" t="s">
        <v>303</v>
      </c>
      <c r="J77" s="13" t="s">
        <v>306</v>
      </c>
    </row>
    <row r="78" spans="1:11">
      <c r="H78" t="s">
        <v>298</v>
      </c>
      <c r="I78" t="s">
        <v>20</v>
      </c>
      <c r="J78">
        <v>1535</v>
      </c>
    </row>
    <row r="79" spans="1:11">
      <c r="H79" s="195" t="s">
        <v>280</v>
      </c>
      <c r="I79" t="s">
        <v>20</v>
      </c>
      <c r="K79">
        <v>29169</v>
      </c>
    </row>
    <row r="80" spans="1:11">
      <c r="H80" t="s">
        <v>268</v>
      </c>
      <c r="I80" t="s">
        <v>20</v>
      </c>
      <c r="J80">
        <v>41017</v>
      </c>
    </row>
    <row r="81" spans="7:11">
      <c r="H81" t="s">
        <v>269</v>
      </c>
      <c r="I81" t="s">
        <v>20</v>
      </c>
      <c r="J81">
        <v>9041</v>
      </c>
    </row>
    <row r="82" spans="7:11">
      <c r="H82" t="s">
        <v>270</v>
      </c>
      <c r="I82" t="s">
        <v>20</v>
      </c>
      <c r="J82">
        <v>9633</v>
      </c>
    </row>
    <row r="83" spans="7:11">
      <c r="H83" t="s">
        <v>283</v>
      </c>
      <c r="I83" t="s">
        <v>20</v>
      </c>
      <c r="J83">
        <v>50120</v>
      </c>
    </row>
    <row r="84" spans="7:11">
      <c r="H84" t="s">
        <v>284</v>
      </c>
      <c r="I84" t="s">
        <v>20</v>
      </c>
      <c r="J84">
        <v>60151</v>
      </c>
    </row>
    <row r="85" spans="7:11">
      <c r="H85" t="s">
        <v>289</v>
      </c>
      <c r="I85" t="s">
        <v>20</v>
      </c>
      <c r="J85">
        <v>91355</v>
      </c>
    </row>
    <row r="86" spans="7:11">
      <c r="H86" t="s">
        <v>290</v>
      </c>
      <c r="I86" t="s">
        <v>20</v>
      </c>
      <c r="J86">
        <v>11543</v>
      </c>
    </row>
    <row r="87" spans="7:11">
      <c r="G87" s="1"/>
      <c r="H87" s="1" t="s">
        <v>315</v>
      </c>
      <c r="I87">
        <f>SUM(J78:J86)</f>
        <v>274395</v>
      </c>
    </row>
    <row r="88" spans="7:11">
      <c r="H88" t="s">
        <v>265</v>
      </c>
      <c r="I88" t="s">
        <v>19</v>
      </c>
      <c r="J88">
        <v>22210</v>
      </c>
    </row>
    <row r="89" spans="7:11">
      <c r="H89" t="s">
        <v>267</v>
      </c>
      <c r="I89" t="s">
        <v>19</v>
      </c>
      <c r="J89">
        <v>95970</v>
      </c>
    </row>
    <row r="90" spans="7:11">
      <c r="H90" t="s">
        <v>274</v>
      </c>
      <c r="I90" t="s">
        <v>19</v>
      </c>
      <c r="J90">
        <v>56972</v>
      </c>
    </row>
    <row r="91" spans="7:11">
      <c r="H91" t="s">
        <v>275</v>
      </c>
      <c r="I91" t="s">
        <v>19</v>
      </c>
      <c r="J91">
        <v>132619</v>
      </c>
    </row>
    <row r="92" spans="7:11">
      <c r="H92" t="s">
        <v>299</v>
      </c>
      <c r="I92" t="s">
        <v>19</v>
      </c>
      <c r="J92">
        <v>2431</v>
      </c>
    </row>
    <row r="93" spans="7:11">
      <c r="H93" t="s">
        <v>300</v>
      </c>
      <c r="I93" t="s">
        <v>19</v>
      </c>
      <c r="J93">
        <v>6066</v>
      </c>
    </row>
    <row r="94" spans="7:11">
      <c r="H94" s="195" t="s">
        <v>266</v>
      </c>
      <c r="I94" t="s">
        <v>19</v>
      </c>
      <c r="K94">
        <v>3787</v>
      </c>
    </row>
    <row r="95" spans="7:11">
      <c r="G95" s="1"/>
      <c r="H95" s="1" t="s">
        <v>315</v>
      </c>
      <c r="I95">
        <f>SUM(J88:J94)</f>
        <v>316268</v>
      </c>
    </row>
    <row r="96" spans="7:11">
      <c r="H96" t="s">
        <v>261</v>
      </c>
      <c r="I96" t="s">
        <v>21</v>
      </c>
      <c r="J96">
        <v>55407</v>
      </c>
    </row>
    <row r="97" spans="7:11">
      <c r="H97" t="s">
        <v>287</v>
      </c>
      <c r="I97" t="s">
        <v>21</v>
      </c>
      <c r="J97">
        <v>58366</v>
      </c>
    </row>
    <row r="98" spans="7:11">
      <c r="H98" t="s">
        <v>272</v>
      </c>
      <c r="I98" t="s">
        <v>21</v>
      </c>
      <c r="J98">
        <v>62405</v>
      </c>
    </row>
    <row r="99" spans="7:11">
      <c r="H99" t="s">
        <v>273</v>
      </c>
      <c r="I99" t="s">
        <v>21</v>
      </c>
      <c r="J99">
        <v>21414</v>
      </c>
    </row>
    <row r="100" spans="7:11">
      <c r="H100" s="12" t="s">
        <v>286</v>
      </c>
      <c r="I100" t="s">
        <v>21</v>
      </c>
      <c r="J100">
        <v>91788</v>
      </c>
    </row>
    <row r="101" spans="7:11">
      <c r="H101" s="195" t="s">
        <v>282</v>
      </c>
      <c r="I101" t="s">
        <v>21</v>
      </c>
      <c r="K101">
        <v>2654</v>
      </c>
    </row>
    <row r="102" spans="7:11">
      <c r="H102" t="s">
        <v>301</v>
      </c>
      <c r="I102" t="s">
        <v>21</v>
      </c>
      <c r="J102">
        <v>49</v>
      </c>
    </row>
    <row r="103" spans="7:11">
      <c r="G103" s="1"/>
      <c r="H103" s="1" t="s">
        <v>315</v>
      </c>
      <c r="I103">
        <f>SUM(J96:J102)</f>
        <v>289429</v>
      </c>
    </row>
    <row r="104" spans="7:11">
      <c r="H104" t="s">
        <v>264</v>
      </c>
      <c r="I104" t="s">
        <v>18</v>
      </c>
      <c r="J104">
        <v>20856</v>
      </c>
    </row>
    <row r="105" spans="7:11">
      <c r="H105" t="s">
        <v>271</v>
      </c>
      <c r="I105" t="s">
        <v>18</v>
      </c>
      <c r="J105">
        <v>21184</v>
      </c>
    </row>
    <row r="106" spans="7:11">
      <c r="H106" t="s">
        <v>281</v>
      </c>
      <c r="I106" t="s">
        <v>18</v>
      </c>
      <c r="J106">
        <v>19373</v>
      </c>
    </row>
    <row r="107" spans="7:11">
      <c r="H107" t="s">
        <v>291</v>
      </c>
      <c r="I107" t="s">
        <v>18</v>
      </c>
      <c r="J107">
        <v>48290</v>
      </c>
    </row>
    <row r="108" spans="7:11">
      <c r="H108" s="195" t="s">
        <v>285</v>
      </c>
      <c r="I108" t="s">
        <v>18</v>
      </c>
      <c r="K108">
        <v>381</v>
      </c>
    </row>
    <row r="109" spans="7:11">
      <c r="H109" t="s">
        <v>302</v>
      </c>
      <c r="I109" t="s">
        <v>18</v>
      </c>
      <c r="J109">
        <v>255</v>
      </c>
    </row>
    <row r="110" spans="7:11">
      <c r="G110" s="1"/>
      <c r="H110" s="1" t="s">
        <v>315</v>
      </c>
      <c r="I110">
        <f>SUM(J104:J110)</f>
        <v>109958</v>
      </c>
    </row>
    <row r="111" spans="7:11">
      <c r="H111" s="195" t="s">
        <v>262</v>
      </c>
      <c r="I111" t="s">
        <v>22</v>
      </c>
      <c r="K111">
        <v>447</v>
      </c>
    </row>
    <row r="112" spans="7:11">
      <c r="H112" t="s">
        <v>263</v>
      </c>
      <c r="I112" t="s">
        <v>22</v>
      </c>
      <c r="J112">
        <v>7268</v>
      </c>
    </row>
    <row r="113" spans="7:11">
      <c r="H113" t="s">
        <v>276</v>
      </c>
      <c r="I113" t="s">
        <v>22</v>
      </c>
      <c r="J113">
        <v>613</v>
      </c>
    </row>
    <row r="114" spans="7:11">
      <c r="H114" t="s">
        <v>277</v>
      </c>
      <c r="I114" t="s">
        <v>22</v>
      </c>
      <c r="J114">
        <v>1105</v>
      </c>
    </row>
    <row r="115" spans="7:11">
      <c r="H115" s="195" t="s">
        <v>278</v>
      </c>
      <c r="I115" t="s">
        <v>22</v>
      </c>
      <c r="K115">
        <v>408</v>
      </c>
    </row>
    <row r="116" spans="7:11">
      <c r="H116" t="s">
        <v>279</v>
      </c>
      <c r="I116" t="s">
        <v>22</v>
      </c>
      <c r="J116">
        <v>679</v>
      </c>
    </row>
    <row r="117" spans="7:11">
      <c r="H117" t="s">
        <v>288</v>
      </c>
      <c r="I117" t="s">
        <v>22</v>
      </c>
      <c r="J117">
        <v>956</v>
      </c>
    </row>
    <row r="118" spans="7:11">
      <c r="G118" s="1"/>
      <c r="H118" s="1" t="s">
        <v>315</v>
      </c>
      <c r="I118">
        <f>SUM(J112:J117)</f>
        <v>10621</v>
      </c>
    </row>
    <row r="120" spans="7:11">
      <c r="I120">
        <f>SUM(I87+I95+I103+I110+I118)</f>
        <v>1000671</v>
      </c>
      <c r="K120">
        <f>SUM(K79:K118)</f>
        <v>36846</v>
      </c>
    </row>
    <row r="121" spans="7:11">
      <c r="I121" t="s">
        <v>307</v>
      </c>
    </row>
  </sheetData>
  <autoFilter ref="H16:U48"/>
  <phoneticPr fontId="3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"/>
  <sheetViews>
    <sheetView zoomScaleNormal="100" workbookViewId="0"/>
  </sheetViews>
  <sheetFormatPr defaultRowHeight="15"/>
  <cols>
    <col min="1" max="1" width="15.42578125" style="61" bestFit="1" customWidth="1"/>
    <col min="2" max="2" width="33.7109375" style="61" bestFit="1" customWidth="1"/>
    <col min="3" max="3" width="9.140625" style="61"/>
    <col min="4" max="4" width="18.28515625" style="61" customWidth="1"/>
    <col min="5" max="5" width="4.28515625" style="61" customWidth="1"/>
    <col min="6" max="6" width="5.85546875" style="61" bestFit="1" customWidth="1"/>
    <col min="7" max="7" width="64" style="13" customWidth="1"/>
    <col min="8" max="8" width="18.28515625" style="61" bestFit="1" customWidth="1"/>
    <col min="9" max="9" width="13" style="61" bestFit="1" customWidth="1"/>
    <col min="10" max="10" width="11.140625" style="61" bestFit="1" customWidth="1"/>
    <col min="11" max="11" width="15.7109375" style="61" bestFit="1" customWidth="1"/>
    <col min="12" max="12" width="4.28515625" style="61" customWidth="1"/>
    <col min="13" max="13" width="18" style="61" bestFit="1" customWidth="1"/>
    <col min="14" max="15" width="11.140625" style="61" bestFit="1" customWidth="1"/>
    <col min="16" max="16" width="16" style="61" bestFit="1" customWidth="1"/>
    <col min="17" max="17" width="4.28515625" style="61" customWidth="1"/>
    <col min="18" max="18" width="17.5703125" style="61" bestFit="1" customWidth="1"/>
    <col min="19" max="20" width="11.140625" style="61" bestFit="1" customWidth="1"/>
    <col min="21" max="21" width="16" style="61" bestFit="1" customWidth="1"/>
    <col min="22" max="22" width="4.28515625" style="61" customWidth="1"/>
    <col min="23" max="23" width="17.5703125" style="61" bestFit="1" customWidth="1"/>
    <col min="24" max="25" width="11.140625" style="61" bestFit="1" customWidth="1"/>
    <col min="26" max="26" width="11.28515625" style="61" bestFit="1" customWidth="1"/>
    <col min="27" max="28" width="16" style="61" customWidth="1"/>
    <col min="29" max="29" width="44" style="61" customWidth="1"/>
    <col min="30" max="33" width="16" style="61" customWidth="1"/>
    <col min="34" max="34" width="9.140625" style="61"/>
    <col min="35" max="35" width="16.5703125" style="61" bestFit="1" customWidth="1"/>
    <col min="36" max="16384" width="9.140625" style="61"/>
  </cols>
  <sheetData>
    <row r="1" spans="1:5">
      <c r="A1" s="61" t="s">
        <v>23</v>
      </c>
      <c r="D1" s="292" t="s">
        <v>407</v>
      </c>
      <c r="E1" s="134"/>
    </row>
    <row r="2" spans="1:5">
      <c r="A2" s="61" t="s">
        <v>0</v>
      </c>
      <c r="B2" s="61" t="s">
        <v>1</v>
      </c>
      <c r="C2" s="61" t="s">
        <v>24</v>
      </c>
      <c r="D2" s="61" t="s">
        <v>203</v>
      </c>
      <c r="E2" s="134"/>
    </row>
    <row r="3" spans="1:5">
      <c r="A3" s="61" t="s">
        <v>14</v>
      </c>
      <c r="B3" s="135" t="str">
        <f>VLOOKUP(A3,Maps!$A$1:$C$13,2,FALSE)</f>
        <v>MODELGEOGRAPHY</v>
      </c>
      <c r="C3" s="61">
        <v>2019</v>
      </c>
      <c r="D3" s="163">
        <f>CRUDE[[#This Row],[ImportPrice]]*($J$29)+$I$27+$I$28</f>
        <v>9.28040232077878</v>
      </c>
      <c r="E3" s="134"/>
    </row>
    <row r="4" spans="1:5">
      <c r="A4" s="61" t="s">
        <v>14</v>
      </c>
      <c r="B4" s="61" t="str">
        <f>VLOOKUP(A4,Maps!$A$1:$C$13,2,FALSE)</f>
        <v>MODELGEOGRAPHY</v>
      </c>
      <c r="C4" s="61">
        <v>2020</v>
      </c>
      <c r="D4" s="163">
        <f>CRUDE[[#This Row],[ImportPrice]]*($J$29)+$I$27+$I$28</f>
        <v>9.0078700501135209</v>
      </c>
      <c r="E4" s="134"/>
    </row>
    <row r="5" spans="1:5">
      <c r="A5" s="61" t="s">
        <v>14</v>
      </c>
      <c r="B5" s="61" t="str">
        <f>VLOOKUP(A5,Maps!$A$1:$C$13,2,FALSE)</f>
        <v>MODELGEOGRAPHY</v>
      </c>
      <c r="C5" s="61">
        <v>2021</v>
      </c>
      <c r="D5" s="163">
        <f>CRUDE[[#This Row],[ImportPrice]]*($J$29)+$I$27+$I$28</f>
        <v>8.5287185634448477</v>
      </c>
      <c r="E5" s="134"/>
    </row>
    <row r="6" spans="1:5">
      <c r="A6" s="61" t="s">
        <v>14</v>
      </c>
      <c r="B6" s="61" t="str">
        <f>VLOOKUP(A6,Maps!$A$1:$C$13,2,FALSE)</f>
        <v>MODELGEOGRAPHY</v>
      </c>
      <c r="C6" s="61">
        <v>2022</v>
      </c>
      <c r="D6" s="163">
        <f>CRUDE[[#This Row],[ImportPrice]]*($J$29)+$I$27+$I$28</f>
        <v>8.61094402953632</v>
      </c>
      <c r="E6" s="134"/>
    </row>
    <row r="7" spans="1:5">
      <c r="A7" s="61" t="s">
        <v>14</v>
      </c>
      <c r="B7" s="61" t="str">
        <f>VLOOKUP(A7,Maps!$A$1:$C$13,2,FALSE)</f>
        <v>MODELGEOGRAPHY</v>
      </c>
      <c r="C7" s="61">
        <v>2023</v>
      </c>
      <c r="D7" s="163">
        <f>CRUDE[[#This Row],[ImportPrice]]*($J$29)+$I$27+$I$28</f>
        <v>8.7665489472902962</v>
      </c>
      <c r="E7" s="134"/>
    </row>
    <row r="8" spans="1:5">
      <c r="A8" s="61" t="s">
        <v>14</v>
      </c>
      <c r="B8" s="61" t="str">
        <f>VLOOKUP(A8,Maps!$A$1:$C$13,2,FALSE)</f>
        <v>MODELGEOGRAPHY</v>
      </c>
      <c r="C8" s="61">
        <v>2024</v>
      </c>
      <c r="D8" s="163">
        <f>CRUDE[[#This Row],[ImportPrice]]*($J$29)+$I$27+$I$28</f>
        <v>8.8240505710928865</v>
      </c>
      <c r="E8" s="134"/>
    </row>
    <row r="9" spans="1:5">
      <c r="A9" s="61" t="s">
        <v>14</v>
      </c>
      <c r="B9" s="61" t="str">
        <f>VLOOKUP(A9,Maps!$A$1:$C$13,2,FALSE)</f>
        <v>MODELGEOGRAPHY</v>
      </c>
      <c r="C9" s="61">
        <v>2025</v>
      </c>
      <c r="D9" s="163">
        <f>CRUDE[[#This Row],[ImportPrice]]*($J$29)+$I$27+$I$28</f>
        <v>8.8860583166953759</v>
      </c>
      <c r="E9" s="134"/>
    </row>
    <row r="10" spans="1:5">
      <c r="A10" s="61" t="s">
        <v>14</v>
      </c>
      <c r="B10" s="61" t="str">
        <f>VLOOKUP(A10,Maps!$A$1:$C$13,2,FALSE)</f>
        <v>MODELGEOGRAPHY</v>
      </c>
      <c r="C10" s="61">
        <v>2026</v>
      </c>
      <c r="D10" s="163">
        <f>CRUDE[[#This Row],[ImportPrice]]*($J$29)+$I$27+$I$28</f>
        <v>8.9472414232068616</v>
      </c>
      <c r="E10" s="134"/>
    </row>
    <row r="11" spans="1:5">
      <c r="A11" s="61" t="s">
        <v>14</v>
      </c>
      <c r="B11" s="61" t="str">
        <f>VLOOKUP(A11,Maps!$A$1:$C$13,2,FALSE)</f>
        <v>MODELGEOGRAPHY</v>
      </c>
      <c r="C11" s="61">
        <v>2027</v>
      </c>
      <c r="D11" s="163">
        <f>CRUDE[[#This Row],[ImportPrice]]*($J$29)+$I$27+$I$28</f>
        <v>9.010932201235514</v>
      </c>
      <c r="E11" s="134"/>
    </row>
    <row r="12" spans="1:5">
      <c r="A12" s="61" t="s">
        <v>14</v>
      </c>
      <c r="B12" s="61" t="str">
        <f>VLOOKUP(A12,Maps!$A$1:$C$13,2,FALSE)</f>
        <v>MODELGEOGRAPHY</v>
      </c>
      <c r="C12" s="61">
        <v>2028</v>
      </c>
      <c r="D12" s="163">
        <f>CRUDE[[#This Row],[ImportPrice]]*($J$29)+$I$27+$I$28</f>
        <v>9.0774059206187054</v>
      </c>
      <c r="E12" s="134"/>
    </row>
    <row r="13" spans="1:5">
      <c r="A13" s="61" t="s">
        <v>14</v>
      </c>
      <c r="B13" s="61" t="str">
        <f>VLOOKUP(A13,Maps!$A$1:$C$13,2,FALSE)</f>
        <v>MODELGEOGRAPHY</v>
      </c>
      <c r="C13" s="61">
        <v>2029</v>
      </c>
      <c r="D13" s="163">
        <f>CRUDE[[#This Row],[ImportPrice]]*($J$29)+$I$27+$I$28</f>
        <v>9.1467841807908066</v>
      </c>
      <c r="E13" s="134"/>
    </row>
    <row r="14" spans="1:5">
      <c r="A14" s="61" t="s">
        <v>14</v>
      </c>
      <c r="B14" s="61" t="str">
        <f>VLOOKUP(A14,Maps!$A$1:$C$13,2,FALSE)</f>
        <v>MODELGEOGRAPHY</v>
      </c>
      <c r="C14" s="61">
        <v>2030</v>
      </c>
      <c r="D14" s="163">
        <f>CRUDE[[#This Row],[ImportPrice]]*($J$29)+$I$27+$I$28</f>
        <v>9.2191938944215526</v>
      </c>
      <c r="E14" s="134"/>
    </row>
    <row r="15" spans="1:5">
      <c r="A15" s="61" t="s">
        <v>14</v>
      </c>
      <c r="B15" s="61" t="str">
        <f>VLOOKUP(A15,Maps!$A$1:$C$13,2,FALSE)</f>
        <v>MODELGEOGRAPHY</v>
      </c>
      <c r="C15" s="61">
        <v>2031</v>
      </c>
      <c r="D15" s="163">
        <f>CRUDE[[#This Row],[ImportPrice]]*($J$29)+$I$27+$I$28</f>
        <v>9.2947675195756077</v>
      </c>
      <c r="E15" s="134"/>
    </row>
    <row r="16" spans="1:5">
      <c r="A16" s="134"/>
      <c r="B16" s="134"/>
      <c r="C16" s="134"/>
      <c r="D16" s="134"/>
      <c r="E16" s="134"/>
    </row>
    <row r="17" spans="1:10">
      <c r="A17" t="s">
        <v>445</v>
      </c>
    </row>
    <row r="19" spans="1:10">
      <c r="G19" s="136" t="s">
        <v>431</v>
      </c>
    </row>
    <row r="24" spans="1:10">
      <c r="G24" s="136" t="s">
        <v>429</v>
      </c>
    </row>
    <row r="25" spans="1:10">
      <c r="G25" s="61"/>
    </row>
    <row r="26" spans="1:10">
      <c r="G26" s="132" t="s">
        <v>238</v>
      </c>
      <c r="H26" s="136" t="s">
        <v>239</v>
      </c>
      <c r="I26" s="164" t="s">
        <v>240</v>
      </c>
      <c r="J26" s="136" t="s">
        <v>408</v>
      </c>
    </row>
    <row r="27" spans="1:10" ht="30">
      <c r="F27" s="61">
        <v>1</v>
      </c>
      <c r="G27" s="13" t="s">
        <v>237</v>
      </c>
      <c r="H27" s="162">
        <f>AA50</f>
        <v>46.597279202509064</v>
      </c>
      <c r="I27" s="163">
        <f>H27/14.2</f>
        <v>3.2814985353879624</v>
      </c>
    </row>
    <row r="28" spans="1:10">
      <c r="F28" s="61">
        <v>2</v>
      </c>
      <c r="G28" s="13" t="s">
        <v>430</v>
      </c>
      <c r="H28" s="163">
        <f>H31/(Maps!G33/Maps!F33)</f>
        <v>59.755119329466019</v>
      </c>
      <c r="I28" s="163">
        <f>H28/14.2</f>
        <v>4.2081069950328187</v>
      </c>
    </row>
    <row r="29" spans="1:10">
      <c r="F29" s="61">
        <v>3</v>
      </c>
      <c r="G29" s="61" t="s">
        <v>428</v>
      </c>
      <c r="J29" s="308">
        <v>0.05</v>
      </c>
    </row>
    <row r="31" spans="1:10">
      <c r="G31" s="13" t="s">
        <v>427</v>
      </c>
      <c r="H31" s="162">
        <v>61.84</v>
      </c>
    </row>
    <row r="33" spans="6:46">
      <c r="F33" s="61" t="s">
        <v>235</v>
      </c>
      <c r="G33" s="132" t="s">
        <v>507</v>
      </c>
      <c r="AH33" s="120"/>
    </row>
    <row r="34" spans="6:46" s="309" customFormat="1" ht="15.75" thickBot="1">
      <c r="F34" s="61"/>
      <c r="G34" s="13"/>
      <c r="H34" s="61" t="s">
        <v>209</v>
      </c>
      <c r="I34" s="61"/>
      <c r="J34" s="61"/>
      <c r="K34" s="61"/>
      <c r="L34" s="61"/>
      <c r="M34" s="61" t="s">
        <v>210</v>
      </c>
      <c r="N34" s="61"/>
      <c r="O34" s="61"/>
      <c r="P34" s="61"/>
      <c r="Q34" s="61"/>
      <c r="R34" s="61" t="s">
        <v>211</v>
      </c>
      <c r="S34" s="61"/>
      <c r="T34" s="61"/>
      <c r="U34" s="61"/>
      <c r="V34" s="61"/>
      <c r="W34" s="61" t="s">
        <v>212</v>
      </c>
      <c r="X34" s="61"/>
      <c r="Y34" s="61"/>
      <c r="Z34" s="61"/>
      <c r="AA34" s="61"/>
      <c r="AB34" s="136"/>
      <c r="AC34" s="136"/>
      <c r="AD34" s="61" t="s">
        <v>213</v>
      </c>
      <c r="AE34" s="136"/>
      <c r="AF34" s="136"/>
      <c r="AG34" s="136"/>
      <c r="AH34" s="120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</row>
    <row r="35" spans="6:46">
      <c r="G35" s="156"/>
      <c r="H35" s="139" t="s">
        <v>214</v>
      </c>
      <c r="I35" s="139" t="s">
        <v>215</v>
      </c>
      <c r="J35" s="139" t="s">
        <v>216</v>
      </c>
      <c r="K35" s="139" t="s">
        <v>30</v>
      </c>
      <c r="L35" s="140"/>
      <c r="M35" s="139" t="s">
        <v>214</v>
      </c>
      <c r="N35" s="139" t="s">
        <v>215</v>
      </c>
      <c r="O35" s="139" t="s">
        <v>216</v>
      </c>
      <c r="P35" s="139" t="s">
        <v>30</v>
      </c>
      <c r="Q35" s="140"/>
      <c r="R35" s="139" t="s">
        <v>214</v>
      </c>
      <c r="S35" s="139" t="s">
        <v>215</v>
      </c>
      <c r="T35" s="139" t="s">
        <v>216</v>
      </c>
      <c r="U35" s="139" t="s">
        <v>30</v>
      </c>
      <c r="V35" s="140"/>
      <c r="W35" s="139" t="s">
        <v>214</v>
      </c>
      <c r="X35" s="139" t="s">
        <v>215</v>
      </c>
      <c r="Y35" s="139" t="s">
        <v>216</v>
      </c>
      <c r="Z35" s="141" t="s">
        <v>30</v>
      </c>
      <c r="AC35" s="138"/>
      <c r="AD35" s="139" t="s">
        <v>214</v>
      </c>
      <c r="AE35" s="139" t="s">
        <v>215</v>
      </c>
      <c r="AF35" s="139" t="s">
        <v>216</v>
      </c>
      <c r="AG35" s="141" t="s">
        <v>30</v>
      </c>
      <c r="AH35" s="120"/>
    </row>
    <row r="36" spans="6:46">
      <c r="G36" s="157" t="s">
        <v>217</v>
      </c>
      <c r="H36" s="143">
        <v>536.86</v>
      </c>
      <c r="I36" s="143">
        <v>565.05999999999995</v>
      </c>
      <c r="J36" s="143">
        <v>507.07</v>
      </c>
      <c r="K36" s="143">
        <v>529.6</v>
      </c>
      <c r="L36" s="143"/>
      <c r="M36" s="143">
        <v>405.41</v>
      </c>
      <c r="N36" s="143">
        <v>428.93</v>
      </c>
      <c r="O36" s="143">
        <v>376.4</v>
      </c>
      <c r="P36" s="143">
        <v>417.04</v>
      </c>
      <c r="Q36" s="143"/>
      <c r="R36" s="143">
        <v>632.16999999999996</v>
      </c>
      <c r="S36" s="143">
        <v>647.51</v>
      </c>
      <c r="T36" s="143">
        <v>602.48</v>
      </c>
      <c r="U36" s="143">
        <v>640.61</v>
      </c>
      <c r="V36" s="143"/>
      <c r="W36" s="143">
        <v>535.20000000000005</v>
      </c>
      <c r="X36" s="143">
        <v>508.51</v>
      </c>
      <c r="Y36" s="143">
        <v>553.28</v>
      </c>
      <c r="Z36" s="144">
        <v>545.07000000000005</v>
      </c>
      <c r="AC36" s="142" t="s">
        <v>218</v>
      </c>
      <c r="AD36" s="150">
        <v>622.25</v>
      </c>
      <c r="AE36" s="150">
        <v>595.41999999999996</v>
      </c>
      <c r="AF36" s="150">
        <v>647.02</v>
      </c>
      <c r="AG36" s="161">
        <v>636.75</v>
      </c>
      <c r="AH36" s="120"/>
    </row>
    <row r="37" spans="6:46">
      <c r="F37" s="61" t="s">
        <v>219</v>
      </c>
      <c r="G37" s="157" t="s">
        <v>220</v>
      </c>
      <c r="H37" s="143">
        <v>10</v>
      </c>
      <c r="I37" s="143">
        <v>10</v>
      </c>
      <c r="J37" s="143">
        <v>10</v>
      </c>
      <c r="K37" s="143">
        <v>10</v>
      </c>
      <c r="L37" s="143"/>
      <c r="M37" s="143">
        <v>10</v>
      </c>
      <c r="N37" s="143">
        <v>10</v>
      </c>
      <c r="O37" s="143">
        <v>10</v>
      </c>
      <c r="P37" s="143">
        <v>10</v>
      </c>
      <c r="Q37" s="143"/>
      <c r="R37" s="143">
        <v>10</v>
      </c>
      <c r="S37" s="143">
        <v>10</v>
      </c>
      <c r="T37" s="143">
        <v>10</v>
      </c>
      <c r="U37" s="143">
        <v>10</v>
      </c>
      <c r="V37" s="143"/>
      <c r="W37" s="143">
        <v>10</v>
      </c>
      <c r="X37" s="143">
        <v>10</v>
      </c>
      <c r="Y37" s="143">
        <v>10</v>
      </c>
      <c r="Z37" s="144">
        <v>20</v>
      </c>
      <c r="AB37" s="61" t="s">
        <v>221</v>
      </c>
      <c r="AC37" s="142" t="s">
        <v>222</v>
      </c>
      <c r="AD37" s="150">
        <v>33.659999999999997</v>
      </c>
      <c r="AE37" s="150">
        <v>32.32</v>
      </c>
      <c r="AF37" s="150">
        <v>34.9</v>
      </c>
      <c r="AG37" s="161">
        <v>34.380000000000003</v>
      </c>
    </row>
    <row r="38" spans="6:46">
      <c r="F38" s="61" t="s">
        <v>219</v>
      </c>
      <c r="G38" s="157" t="s">
        <v>223</v>
      </c>
      <c r="H38" s="143">
        <v>0</v>
      </c>
      <c r="I38" s="143">
        <v>0</v>
      </c>
      <c r="J38" s="143">
        <v>22.56</v>
      </c>
      <c r="K38" s="143">
        <v>0</v>
      </c>
      <c r="L38" s="143"/>
      <c r="M38" s="143">
        <v>0</v>
      </c>
      <c r="N38" s="143">
        <v>0</v>
      </c>
      <c r="O38" s="143">
        <v>22.56</v>
      </c>
      <c r="P38" s="143">
        <v>0</v>
      </c>
      <c r="Q38" s="143"/>
      <c r="R38" s="143">
        <v>0</v>
      </c>
      <c r="S38" s="143">
        <v>0</v>
      </c>
      <c r="T38" s="143">
        <v>14.98</v>
      </c>
      <c r="U38" s="143">
        <v>0</v>
      </c>
      <c r="V38" s="143"/>
      <c r="W38" s="143">
        <v>0</v>
      </c>
      <c r="X38" s="143">
        <v>0</v>
      </c>
      <c r="Y38" s="143">
        <v>0.22</v>
      </c>
      <c r="Z38" s="144">
        <v>0</v>
      </c>
      <c r="AB38" s="137" t="s">
        <v>221</v>
      </c>
      <c r="AC38" s="148" t="s">
        <v>224</v>
      </c>
      <c r="AD38" s="150">
        <v>50.89</v>
      </c>
      <c r="AE38" s="150">
        <v>50.89</v>
      </c>
      <c r="AF38" s="150">
        <v>50.89</v>
      </c>
      <c r="AG38" s="161">
        <v>50.89</v>
      </c>
    </row>
    <row r="39" spans="6:46">
      <c r="F39" s="61" t="s">
        <v>219</v>
      </c>
      <c r="G39" s="157" t="s">
        <v>225</v>
      </c>
      <c r="H39" s="143">
        <v>0</v>
      </c>
      <c r="I39" s="143">
        <v>0.17</v>
      </c>
      <c r="J39" s="143">
        <v>0</v>
      </c>
      <c r="K39" s="143">
        <v>0</v>
      </c>
      <c r="L39" s="143"/>
      <c r="M39" s="143">
        <v>0</v>
      </c>
      <c r="N39" s="143">
        <v>1.6E-2</v>
      </c>
      <c r="O39" s="143">
        <v>0</v>
      </c>
      <c r="P39" s="143">
        <v>0</v>
      </c>
      <c r="Q39" s="143"/>
      <c r="R39" s="143">
        <v>0</v>
      </c>
      <c r="S39" s="143">
        <v>0.21</v>
      </c>
      <c r="T39" s="143">
        <v>0</v>
      </c>
      <c r="U39" s="143">
        <v>0</v>
      </c>
      <c r="V39" s="143"/>
      <c r="W39" s="143"/>
      <c r="X39" s="143"/>
      <c r="Y39" s="143"/>
      <c r="Z39" s="144"/>
      <c r="AB39" s="136"/>
      <c r="AC39" s="148" t="s">
        <v>226</v>
      </c>
      <c r="AD39" s="150">
        <v>706.8</v>
      </c>
      <c r="AE39" s="150">
        <v>678.63</v>
      </c>
      <c r="AF39" s="150">
        <v>732.81</v>
      </c>
      <c r="AG39" s="161">
        <v>722.02</v>
      </c>
    </row>
    <row r="40" spans="6:46" ht="30">
      <c r="F40" s="61" t="s">
        <v>219</v>
      </c>
      <c r="G40" s="157" t="s">
        <v>508</v>
      </c>
      <c r="H40" s="143">
        <v>29.5</v>
      </c>
      <c r="I40" s="143">
        <v>34.69</v>
      </c>
      <c r="J40" s="143">
        <v>29.5</v>
      </c>
      <c r="K40" s="143">
        <v>29.5</v>
      </c>
      <c r="L40" s="143"/>
      <c r="M40" s="143">
        <v>48.26</v>
      </c>
      <c r="N40" s="143">
        <v>51.6</v>
      </c>
      <c r="O40" s="143">
        <v>48.26</v>
      </c>
      <c r="P40" s="143">
        <v>48.26</v>
      </c>
      <c r="Q40" s="143"/>
      <c r="R40" s="143">
        <v>33.01</v>
      </c>
      <c r="S40" s="143">
        <v>36.450000000000003</v>
      </c>
      <c r="T40" s="143">
        <v>33.01</v>
      </c>
      <c r="U40" s="143">
        <v>33.01</v>
      </c>
      <c r="V40" s="143"/>
      <c r="W40" s="143">
        <v>28.06</v>
      </c>
      <c r="X40" s="143">
        <v>28.06</v>
      </c>
      <c r="Y40" s="143">
        <v>31.19</v>
      </c>
      <c r="Z40" s="144">
        <v>28.06</v>
      </c>
      <c r="AC40" s="148" t="s">
        <v>227</v>
      </c>
      <c r="AD40" s="150">
        <v>706.5</v>
      </c>
      <c r="AE40" s="150">
        <v>678.5</v>
      </c>
      <c r="AF40" s="150">
        <v>732.5</v>
      </c>
      <c r="AG40" s="161">
        <v>722</v>
      </c>
    </row>
    <row r="41" spans="6:46">
      <c r="G41" s="157" t="s">
        <v>228</v>
      </c>
      <c r="H41" s="143">
        <v>576.36</v>
      </c>
      <c r="I41" s="143">
        <v>609.91999999999996</v>
      </c>
      <c r="J41" s="143">
        <v>569.13</v>
      </c>
      <c r="K41" s="143">
        <v>569.1</v>
      </c>
      <c r="L41" s="143"/>
      <c r="M41" s="143">
        <v>463.67</v>
      </c>
      <c r="N41" s="143">
        <v>490.69</v>
      </c>
      <c r="O41" s="143">
        <v>457.23</v>
      </c>
      <c r="P41" s="143">
        <v>475.3</v>
      </c>
      <c r="Q41" s="143"/>
      <c r="R41" s="143">
        <v>675.18</v>
      </c>
      <c r="S41" s="143">
        <v>694.17</v>
      </c>
      <c r="T41" s="143">
        <v>660.47</v>
      </c>
      <c r="U41" s="143">
        <v>683.62</v>
      </c>
      <c r="V41" s="143"/>
      <c r="W41" s="143">
        <v>573.26</v>
      </c>
      <c r="X41" s="143">
        <v>546.57000000000005</v>
      </c>
      <c r="Y41" s="143">
        <v>594.69000000000005</v>
      </c>
      <c r="Z41" s="144">
        <v>583.13</v>
      </c>
      <c r="AB41" s="61" t="s">
        <v>229</v>
      </c>
      <c r="AC41" s="142" t="s">
        <v>230</v>
      </c>
      <c r="AD41" s="150">
        <v>210.64</v>
      </c>
      <c r="AE41" s="150">
        <v>184.93</v>
      </c>
      <c r="AF41" s="150">
        <v>233.5</v>
      </c>
      <c r="AG41" s="161">
        <v>238.26</v>
      </c>
    </row>
    <row r="42" spans="6:46" ht="30.75" thickBot="1">
      <c r="F42" s="137" t="s">
        <v>219</v>
      </c>
      <c r="G42" s="158" t="s">
        <v>231</v>
      </c>
      <c r="H42" s="145">
        <v>0</v>
      </c>
      <c r="I42" s="145">
        <v>0</v>
      </c>
      <c r="J42" s="145">
        <v>18.420000000000002</v>
      </c>
      <c r="K42" s="145">
        <v>0</v>
      </c>
      <c r="L42" s="145"/>
      <c r="M42" s="145"/>
      <c r="N42" s="145"/>
      <c r="O42" s="145">
        <v>15.1</v>
      </c>
      <c r="P42" s="145"/>
      <c r="Q42" s="145"/>
      <c r="R42" s="145">
        <v>0</v>
      </c>
      <c r="S42" s="145">
        <v>0</v>
      </c>
      <c r="T42" s="146">
        <v>21.25</v>
      </c>
      <c r="U42" s="146">
        <v>0</v>
      </c>
      <c r="V42" s="146"/>
      <c r="W42" s="146">
        <v>31.15</v>
      </c>
      <c r="X42" s="146">
        <v>29.78</v>
      </c>
      <c r="Y42" s="146">
        <v>32.18</v>
      </c>
      <c r="Z42" s="147">
        <v>31.61</v>
      </c>
      <c r="AA42" s="136"/>
      <c r="AB42" s="136"/>
      <c r="AC42" s="152" t="s">
        <v>232</v>
      </c>
      <c r="AD42" s="154">
        <v>495.86</v>
      </c>
      <c r="AE42" s="154">
        <v>493.57</v>
      </c>
      <c r="AF42" s="154">
        <v>499</v>
      </c>
      <c r="AG42" s="155">
        <v>483.74</v>
      </c>
    </row>
    <row r="43" spans="6:46">
      <c r="F43" s="61" t="s">
        <v>219</v>
      </c>
      <c r="G43" s="158" t="s">
        <v>233</v>
      </c>
      <c r="H43" s="143">
        <v>44.88</v>
      </c>
      <c r="I43" s="143">
        <v>44.88</v>
      </c>
      <c r="J43" s="143">
        <v>44.88</v>
      </c>
      <c r="K43" s="143">
        <v>44.88</v>
      </c>
      <c r="L43" s="143"/>
      <c r="M43" s="143">
        <v>45.96</v>
      </c>
      <c r="N43" s="143">
        <v>45.96</v>
      </c>
      <c r="O43" s="143">
        <v>45.96</v>
      </c>
      <c r="P43" s="143">
        <v>45.96</v>
      </c>
      <c r="Q43" s="143"/>
      <c r="R43" s="143">
        <v>47.88</v>
      </c>
      <c r="S43" s="143">
        <v>47.88</v>
      </c>
      <c r="T43" s="143">
        <v>47.88</v>
      </c>
      <c r="U43" s="143">
        <v>47.88</v>
      </c>
      <c r="V43" s="143"/>
      <c r="W43" s="143">
        <v>49.12</v>
      </c>
      <c r="X43" s="143">
        <v>49.12</v>
      </c>
      <c r="Y43" s="143">
        <v>49.12</v>
      </c>
      <c r="Z43" s="144">
        <v>49.12</v>
      </c>
    </row>
    <row r="44" spans="6:46">
      <c r="G44" s="159" t="s">
        <v>234</v>
      </c>
      <c r="H44" s="146">
        <v>621.24</v>
      </c>
      <c r="I44" s="146">
        <v>654.79999999999995</v>
      </c>
      <c r="J44" s="146">
        <v>632.42999999999995</v>
      </c>
      <c r="K44" s="146">
        <v>613.98</v>
      </c>
      <c r="L44" s="146"/>
      <c r="M44" s="146">
        <v>509.63</v>
      </c>
      <c r="N44" s="146">
        <v>536.65</v>
      </c>
      <c r="O44" s="146">
        <v>518.28</v>
      </c>
      <c r="P44" s="146">
        <v>521.26</v>
      </c>
      <c r="Q44" s="146"/>
      <c r="R44" s="146">
        <v>723.06</v>
      </c>
      <c r="S44" s="146">
        <v>742.05</v>
      </c>
      <c r="T44" s="146">
        <v>729.6</v>
      </c>
      <c r="U44" s="146">
        <v>731.5</v>
      </c>
      <c r="V44" s="146"/>
      <c r="W44" s="146">
        <v>653.5</v>
      </c>
      <c r="X44" s="146">
        <v>625.47</v>
      </c>
      <c r="Y44" s="149">
        <v>675.99</v>
      </c>
      <c r="Z44" s="147">
        <v>663.5</v>
      </c>
    </row>
    <row r="45" spans="6:46">
      <c r="F45" s="136"/>
      <c r="G45" s="159" t="s">
        <v>227</v>
      </c>
      <c r="H45" s="146">
        <v>621</v>
      </c>
      <c r="I45" s="146">
        <v>654.5</v>
      </c>
      <c r="J45" s="146">
        <v>632</v>
      </c>
      <c r="K45" s="146">
        <v>614</v>
      </c>
      <c r="L45" s="146"/>
      <c r="M45" s="146">
        <v>509.5</v>
      </c>
      <c r="N45" s="146">
        <v>536.5</v>
      </c>
      <c r="O45" s="146">
        <v>518</v>
      </c>
      <c r="P45" s="146">
        <v>521</v>
      </c>
      <c r="Q45" s="146"/>
      <c r="R45" s="146">
        <v>723</v>
      </c>
      <c r="S45" s="146">
        <v>742</v>
      </c>
      <c r="T45" s="146">
        <v>729.5</v>
      </c>
      <c r="U45" s="146">
        <v>731.5</v>
      </c>
      <c r="V45" s="146"/>
      <c r="W45" s="146">
        <v>653.5</v>
      </c>
      <c r="X45" s="146">
        <v>625</v>
      </c>
      <c r="Y45" s="146">
        <v>676</v>
      </c>
      <c r="Z45" s="147">
        <v>184.06</v>
      </c>
      <c r="AA45" s="136"/>
      <c r="AB45" s="136"/>
      <c r="AC45" s="136"/>
      <c r="AD45" s="136"/>
      <c r="AE45" s="136"/>
      <c r="AF45" s="136"/>
      <c r="AG45" s="136"/>
    </row>
    <row r="46" spans="6:46" ht="30">
      <c r="F46" s="61" t="s">
        <v>229</v>
      </c>
      <c r="G46" s="157" t="s">
        <v>509</v>
      </c>
      <c r="H46" s="143">
        <v>-203.18</v>
      </c>
      <c r="I46" s="143">
        <v>-234.68</v>
      </c>
      <c r="J46" s="143">
        <v>-173.93</v>
      </c>
      <c r="K46" s="143">
        <v>-208.68</v>
      </c>
      <c r="L46" s="143"/>
      <c r="M46" s="143">
        <v>-90.37</v>
      </c>
      <c r="N46" s="143">
        <v>-115.37</v>
      </c>
      <c r="O46" s="143">
        <v>-62.01</v>
      </c>
      <c r="P46" s="143">
        <v>-114.3</v>
      </c>
      <c r="Q46" s="143"/>
      <c r="R46" s="143">
        <v>282.10000000000002</v>
      </c>
      <c r="S46" s="143">
        <v>299.10000000000002</v>
      </c>
      <c r="T46" s="143">
        <v>253</v>
      </c>
      <c r="U46" s="143">
        <v>303.10000000000002</v>
      </c>
      <c r="V46" s="143"/>
      <c r="W46" s="143">
        <v>162.15</v>
      </c>
      <c r="X46" s="150">
        <v>135.96</v>
      </c>
      <c r="Y46" s="143">
        <v>181.67</v>
      </c>
      <c r="Z46" s="151">
        <v>184.06</v>
      </c>
    </row>
    <row r="47" spans="6:46" ht="15.75" thickBot="1">
      <c r="G47" s="160" t="s">
        <v>232</v>
      </c>
      <c r="H47" s="153">
        <v>417.82</v>
      </c>
      <c r="I47" s="153">
        <v>419.82</v>
      </c>
      <c r="J47" s="153">
        <v>458.07</v>
      </c>
      <c r="K47" s="153">
        <v>405.32</v>
      </c>
      <c r="L47" s="153"/>
      <c r="M47" s="153">
        <v>419.13</v>
      </c>
      <c r="N47" s="153">
        <v>421.13</v>
      </c>
      <c r="O47" s="153">
        <v>455.99</v>
      </c>
      <c r="P47" s="153">
        <v>406.63</v>
      </c>
      <c r="Q47" s="153"/>
      <c r="R47" s="153">
        <v>440.9</v>
      </c>
      <c r="S47" s="153">
        <v>442.9</v>
      </c>
      <c r="T47" s="153">
        <v>476.5</v>
      </c>
      <c r="U47" s="153">
        <v>428.4</v>
      </c>
      <c r="V47" s="153"/>
      <c r="W47" s="154">
        <v>491.35</v>
      </c>
      <c r="X47" s="154">
        <v>489.04</v>
      </c>
      <c r="Y47" s="154">
        <v>494.33</v>
      </c>
      <c r="Z47" s="155">
        <v>479.44</v>
      </c>
      <c r="AA47" s="136"/>
      <c r="AB47" s="136"/>
      <c r="AC47" s="136"/>
    </row>
    <row r="49" spans="6:46">
      <c r="F49" s="136"/>
      <c r="G49" s="132" t="s">
        <v>236</v>
      </c>
      <c r="H49" s="136">
        <f>H41-H36</f>
        <v>39.5</v>
      </c>
      <c r="I49" s="136">
        <f t="shared" ref="I49:K49" si="0">I41-I36</f>
        <v>44.860000000000014</v>
      </c>
      <c r="J49" s="136">
        <f t="shared" si="0"/>
        <v>62.06</v>
      </c>
      <c r="K49" s="136">
        <f t="shared" si="0"/>
        <v>39.5</v>
      </c>
      <c r="L49" s="136"/>
      <c r="M49" s="136">
        <f>M41-M36</f>
        <v>58.259999999999991</v>
      </c>
      <c r="N49" s="136">
        <f t="shared" ref="N49:P49" si="1">N41-N36</f>
        <v>61.759999999999991</v>
      </c>
      <c r="O49" s="136">
        <f t="shared" si="1"/>
        <v>80.830000000000041</v>
      </c>
      <c r="P49" s="136">
        <f t="shared" si="1"/>
        <v>58.259999999999991</v>
      </c>
      <c r="Q49" s="136"/>
      <c r="R49" s="136">
        <f>R41-R36</f>
        <v>43.009999999999991</v>
      </c>
      <c r="S49" s="136">
        <f t="shared" ref="S49:U49" si="2">S41-S36</f>
        <v>46.659999999999968</v>
      </c>
      <c r="T49" s="136">
        <f t="shared" si="2"/>
        <v>57.990000000000009</v>
      </c>
      <c r="U49" s="136">
        <f t="shared" si="2"/>
        <v>43.009999999999991</v>
      </c>
      <c r="V49" s="136"/>
      <c r="W49" s="136">
        <f>W41-W36</f>
        <v>38.059999999999945</v>
      </c>
      <c r="X49" s="136">
        <f t="shared" ref="X49:Z49" si="3">X41-X36</f>
        <v>38.060000000000059</v>
      </c>
      <c r="Y49" s="136">
        <f t="shared" si="3"/>
        <v>41.410000000000082</v>
      </c>
      <c r="Z49" s="136">
        <f t="shared" si="3"/>
        <v>38.059999999999945</v>
      </c>
      <c r="AB49" s="136"/>
      <c r="AC49" s="136"/>
      <c r="AD49" s="136"/>
      <c r="AE49" s="136"/>
      <c r="AF49" s="136"/>
      <c r="AG49" s="136"/>
    </row>
    <row r="50" spans="6:46">
      <c r="F50" s="310"/>
      <c r="G50" s="311" t="s">
        <v>426</v>
      </c>
      <c r="H50" s="310">
        <f>H49*Maps!$C$33/Maps!$F$33</f>
        <v>35.346045682506244</v>
      </c>
      <c r="I50" s="310">
        <f>I49*Maps!$C$33/Maps!$F$33</f>
        <v>40.142369856132419</v>
      </c>
      <c r="J50" s="310">
        <f>J49*Maps!$C$33/Maps!$F$33</f>
        <v>55.533559368514879</v>
      </c>
      <c r="K50" s="310">
        <f>K49*Maps!$C$33/Maps!$F$33</f>
        <v>35.346045682506244</v>
      </c>
      <c r="L50" s="310"/>
      <c r="M50" s="310">
        <f>M49*Maps!$D$33/Maps!$F$33</f>
        <v>54.053021355087232</v>
      </c>
      <c r="N50" s="310">
        <f>N49*Maps!$D$33/Maps!$F$33</f>
        <v>57.300284910576515</v>
      </c>
      <c r="O50" s="310">
        <f>O49*Maps!$D$33/Maps!$F$33</f>
        <v>74.993232340056707</v>
      </c>
      <c r="P50" s="310">
        <f>P49*Maps!$D$33/Maps!$F$33</f>
        <v>54.053021355087232</v>
      </c>
      <c r="Q50" s="310"/>
      <c r="R50" s="310">
        <f>R49*Maps!$E$33/Maps!$F$33</f>
        <v>41.324718710458029</v>
      </c>
      <c r="S50" s="310">
        <f>S49*Maps!$E$33/Maps!$F$33</f>
        <v>44.831699024179741</v>
      </c>
      <c r="T50" s="310">
        <f>T49*Maps!$E$33/Maps!$F$33</f>
        <v>55.717750244581779</v>
      </c>
      <c r="U50" s="310">
        <f>U49*Maps!$E$33/Maps!$F$33</f>
        <v>41.324718710458029</v>
      </c>
      <c r="V50" s="310"/>
      <c r="W50" s="310">
        <f>W49</f>
        <v>38.059999999999945</v>
      </c>
      <c r="X50" s="310">
        <f t="shared" ref="X50:Z50" si="4">X49</f>
        <v>38.060000000000059</v>
      </c>
      <c r="Y50" s="310">
        <f t="shared" si="4"/>
        <v>41.410000000000082</v>
      </c>
      <c r="Z50" s="310">
        <f t="shared" si="4"/>
        <v>38.059999999999945</v>
      </c>
      <c r="AA50" s="309">
        <f>AVERAGE(H50:Z50)</f>
        <v>46.597279202509064</v>
      </c>
      <c r="AB50" s="310"/>
      <c r="AC50" s="310"/>
      <c r="AD50" s="310"/>
      <c r="AE50" s="310"/>
      <c r="AF50" s="310"/>
      <c r="AG50" s="310"/>
      <c r="AH50" s="309"/>
      <c r="AI50" s="309"/>
      <c r="AJ50" s="309"/>
      <c r="AK50" s="309"/>
      <c r="AL50" s="309"/>
      <c r="AM50" s="309"/>
      <c r="AN50" s="309"/>
      <c r="AO50" s="309"/>
      <c r="AP50" s="309"/>
      <c r="AQ50" s="309"/>
      <c r="AR50" s="309"/>
      <c r="AS50" s="309"/>
      <c r="AT50" s="309"/>
    </row>
  </sheetData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Normal="100" workbookViewId="0"/>
  </sheetViews>
  <sheetFormatPr defaultRowHeight="15"/>
  <cols>
    <col min="1" max="1" width="15.42578125" bestFit="1" customWidth="1"/>
    <col min="2" max="2" width="31.42578125" bestFit="1" customWidth="1"/>
    <col min="4" max="4" width="18.28515625" customWidth="1"/>
    <col min="5" max="5" width="6.28515625" customWidth="1"/>
    <col min="6" max="6" width="16" bestFit="1" customWidth="1"/>
    <col min="7" max="7" width="24" style="13" customWidth="1"/>
    <col min="8" max="12" width="9" style="360" customWidth="1"/>
    <col min="13" max="13" width="10.28515625" style="360" customWidth="1"/>
    <col min="14" max="14" width="11.85546875" style="360" customWidth="1"/>
    <col min="15" max="15" width="9" style="360" customWidth="1"/>
    <col min="16" max="16" width="12.42578125" style="360" customWidth="1"/>
    <col min="17" max="18" width="10.28515625" style="360" customWidth="1"/>
    <col min="19" max="19" width="10.42578125" style="360" customWidth="1"/>
    <col min="20" max="20" width="15.85546875" customWidth="1"/>
    <col min="23" max="23" width="20.42578125" customWidth="1"/>
  </cols>
  <sheetData>
    <row r="1" spans="1:26">
      <c r="A1" t="s">
        <v>23</v>
      </c>
      <c r="D1" s="292" t="s">
        <v>407</v>
      </c>
      <c r="E1" s="6"/>
    </row>
    <row r="2" spans="1:26">
      <c r="A2" t="s">
        <v>0</v>
      </c>
      <c r="B2" t="s">
        <v>1</v>
      </c>
      <c r="C2" t="s">
        <v>24</v>
      </c>
      <c r="D2" t="s">
        <v>203</v>
      </c>
      <c r="E2" s="6"/>
    </row>
    <row r="3" spans="1:26">
      <c r="A3" t="s">
        <v>12</v>
      </c>
      <c r="B3" t="str">
        <f>VLOOKUP(A3,Maps!$A$1:$C$13,2,FALSE)</f>
        <v>MODELGEOGRAPHY</v>
      </c>
      <c r="C3">
        <v>2020</v>
      </c>
      <c r="D3" s="53">
        <f>$N$38</f>
        <v>59.592089990114957</v>
      </c>
      <c r="E3" s="6"/>
    </row>
    <row r="4" spans="1:26">
      <c r="A4" t="s">
        <v>12</v>
      </c>
      <c r="B4" t="str">
        <f>VLOOKUP(A4,Maps!$A$1:$C$13,2,FALSE)</f>
        <v>MODELGEOGRAPHY</v>
      </c>
      <c r="C4">
        <v>2021</v>
      </c>
      <c r="D4" s="53">
        <f t="shared" ref="D4:D14" si="0">$S$38</f>
        <v>79.986501960962002</v>
      </c>
      <c r="E4" s="6"/>
    </row>
    <row r="5" spans="1:26">
      <c r="A5" t="s">
        <v>12</v>
      </c>
      <c r="B5" t="str">
        <f>VLOOKUP(A5,Maps!$A$1:$C$13,2,FALSE)</f>
        <v>MODELGEOGRAPHY</v>
      </c>
      <c r="C5">
        <v>2022</v>
      </c>
      <c r="D5" s="53">
        <f t="shared" si="0"/>
        <v>79.986501960962002</v>
      </c>
      <c r="E5" s="6"/>
    </row>
    <row r="6" spans="1:26">
      <c r="A6" t="s">
        <v>12</v>
      </c>
      <c r="B6" t="str">
        <f>VLOOKUP(A6,Maps!$A$1:$C$13,2,FALSE)</f>
        <v>MODELGEOGRAPHY</v>
      </c>
      <c r="C6">
        <v>2023</v>
      </c>
      <c r="D6" s="53">
        <f t="shared" si="0"/>
        <v>79.986501960962002</v>
      </c>
      <c r="E6" s="6"/>
    </row>
    <row r="7" spans="1:26">
      <c r="A7" t="s">
        <v>12</v>
      </c>
      <c r="B7" t="str">
        <f>VLOOKUP(A7,Maps!$A$1:$C$13,2,FALSE)</f>
        <v>MODELGEOGRAPHY</v>
      </c>
      <c r="C7">
        <v>2024</v>
      </c>
      <c r="D7" s="53">
        <f t="shared" si="0"/>
        <v>79.986501960962002</v>
      </c>
      <c r="E7" s="6"/>
    </row>
    <row r="8" spans="1:26">
      <c r="A8" t="s">
        <v>12</v>
      </c>
      <c r="B8" t="str">
        <f>VLOOKUP(A8,Maps!$A$1:$C$13,2,FALSE)</f>
        <v>MODELGEOGRAPHY</v>
      </c>
      <c r="C8">
        <v>2025</v>
      </c>
      <c r="D8" s="53">
        <f t="shared" si="0"/>
        <v>79.986501960962002</v>
      </c>
      <c r="E8" s="6"/>
    </row>
    <row r="9" spans="1:26">
      <c r="A9" t="s">
        <v>12</v>
      </c>
      <c r="B9" t="str">
        <f>VLOOKUP(A9,Maps!$A$1:$C$13,2,FALSE)</f>
        <v>MODELGEOGRAPHY</v>
      </c>
      <c r="C9">
        <v>2026</v>
      </c>
      <c r="D9" s="53">
        <f t="shared" si="0"/>
        <v>79.986501960962002</v>
      </c>
      <c r="E9" s="6"/>
    </row>
    <row r="10" spans="1:26">
      <c r="A10" t="s">
        <v>12</v>
      </c>
      <c r="B10" t="str">
        <f>VLOOKUP(A10,Maps!$A$1:$C$13,2,FALSE)</f>
        <v>MODELGEOGRAPHY</v>
      </c>
      <c r="C10">
        <v>2027</v>
      </c>
      <c r="D10" s="53">
        <f t="shared" si="0"/>
        <v>79.986501960962002</v>
      </c>
      <c r="E10" s="6"/>
    </row>
    <row r="11" spans="1:26">
      <c r="A11" t="s">
        <v>12</v>
      </c>
      <c r="B11" t="str">
        <f>VLOOKUP(A11,Maps!$A$1:$C$13,2,FALSE)</f>
        <v>MODELGEOGRAPHY</v>
      </c>
      <c r="C11">
        <v>2028</v>
      </c>
      <c r="D11" s="53">
        <f t="shared" si="0"/>
        <v>79.986501960962002</v>
      </c>
      <c r="E11" s="6"/>
    </row>
    <row r="12" spans="1:26">
      <c r="A12" t="s">
        <v>12</v>
      </c>
      <c r="B12" t="str">
        <f>VLOOKUP(A12,Maps!$A$1:$C$13,2,FALSE)</f>
        <v>MODELGEOGRAPHY</v>
      </c>
      <c r="C12">
        <v>2029</v>
      </c>
      <c r="D12" s="53">
        <f t="shared" si="0"/>
        <v>79.986501960962002</v>
      </c>
      <c r="E12" s="6"/>
    </row>
    <row r="13" spans="1:26">
      <c r="A13" t="s">
        <v>12</v>
      </c>
      <c r="B13" t="str">
        <f>VLOOKUP(A13,Maps!$A$1:$C$13,2,FALSE)</f>
        <v>MODELGEOGRAPHY</v>
      </c>
      <c r="C13">
        <v>2030</v>
      </c>
      <c r="D13" s="53">
        <f t="shared" si="0"/>
        <v>79.986501960962002</v>
      </c>
      <c r="E13" s="6"/>
      <c r="X13" s="417"/>
      <c r="Y13" s="417"/>
      <c r="Z13" s="221"/>
    </row>
    <row r="14" spans="1:26">
      <c r="A14" t="s">
        <v>12</v>
      </c>
      <c r="B14" t="str">
        <f>VLOOKUP(A14,Maps!$A$1:$C$13,2,FALSE)</f>
        <v>MODELGEOGRAPHY</v>
      </c>
      <c r="C14">
        <v>2031</v>
      </c>
      <c r="D14" s="53">
        <f t="shared" si="0"/>
        <v>79.986501960962002</v>
      </c>
      <c r="E14" s="6"/>
    </row>
    <row r="15" spans="1:26">
      <c r="A15" s="13" t="s">
        <v>13</v>
      </c>
      <c r="B15" t="str">
        <f>VLOOKUP(A15,Maps!$A$1:$C$13,2,FALSE)</f>
        <v>MODELGEOGRAPHY</v>
      </c>
      <c r="C15">
        <v>2020</v>
      </c>
      <c r="D15" s="53">
        <f>$N$49</f>
        <v>38.069344910972987</v>
      </c>
      <c r="E15" s="6"/>
    </row>
    <row r="16" spans="1:26">
      <c r="A16" t="s">
        <v>13</v>
      </c>
      <c r="B16" t="str">
        <f>VLOOKUP(A16,Maps!$A$1:$C$13,2,FALSE)</f>
        <v>MODELGEOGRAPHY</v>
      </c>
      <c r="C16">
        <v>2021</v>
      </c>
      <c r="D16" s="53">
        <f t="shared" ref="D16:D26" si="1">$S$49</f>
        <v>55.00966394364454</v>
      </c>
      <c r="E16" s="6"/>
    </row>
    <row r="17" spans="1:20">
      <c r="A17" t="s">
        <v>13</v>
      </c>
      <c r="B17" t="str">
        <f>VLOOKUP(A17,Maps!$A$1:$C$13,2,FALSE)</f>
        <v>MODELGEOGRAPHY</v>
      </c>
      <c r="C17">
        <v>2022</v>
      </c>
      <c r="D17" s="53">
        <f t="shared" si="1"/>
        <v>55.00966394364454</v>
      </c>
      <c r="E17" s="6"/>
    </row>
    <row r="18" spans="1:20">
      <c r="A18" t="s">
        <v>13</v>
      </c>
      <c r="B18" t="str">
        <f>VLOOKUP(A18,Maps!$A$1:$C$13,2,FALSE)</f>
        <v>MODELGEOGRAPHY</v>
      </c>
      <c r="C18">
        <v>2023</v>
      </c>
      <c r="D18" s="53">
        <f t="shared" si="1"/>
        <v>55.00966394364454</v>
      </c>
      <c r="E18" s="6"/>
    </row>
    <row r="19" spans="1:20">
      <c r="A19" t="s">
        <v>13</v>
      </c>
      <c r="B19" t="str">
        <f>VLOOKUP(A19,Maps!$A$1:$C$13,2,FALSE)</f>
        <v>MODELGEOGRAPHY</v>
      </c>
      <c r="C19">
        <v>2024</v>
      </c>
      <c r="D19" s="53">
        <f t="shared" si="1"/>
        <v>55.00966394364454</v>
      </c>
      <c r="E19" s="6"/>
    </row>
    <row r="20" spans="1:20">
      <c r="A20" t="s">
        <v>13</v>
      </c>
      <c r="B20" t="str">
        <f>VLOOKUP(A20,Maps!$A$1:$C$13,2,FALSE)</f>
        <v>MODELGEOGRAPHY</v>
      </c>
      <c r="C20">
        <v>2025</v>
      </c>
      <c r="D20" s="53">
        <f t="shared" si="1"/>
        <v>55.00966394364454</v>
      </c>
      <c r="E20" s="6"/>
    </row>
    <row r="21" spans="1:20">
      <c r="A21" t="s">
        <v>13</v>
      </c>
      <c r="B21" t="str">
        <f>VLOOKUP(A21,Maps!$A$1:$C$13,2,FALSE)</f>
        <v>MODELGEOGRAPHY</v>
      </c>
      <c r="C21">
        <v>2026</v>
      </c>
      <c r="D21" s="53">
        <f t="shared" si="1"/>
        <v>55.00966394364454</v>
      </c>
      <c r="E21" s="6"/>
    </row>
    <row r="22" spans="1:20">
      <c r="A22" t="s">
        <v>13</v>
      </c>
      <c r="B22" t="str">
        <f>VLOOKUP(A22,Maps!$A$1:$C$13,2,FALSE)</f>
        <v>MODELGEOGRAPHY</v>
      </c>
      <c r="C22">
        <v>2027</v>
      </c>
      <c r="D22" s="53">
        <f t="shared" si="1"/>
        <v>55.00966394364454</v>
      </c>
      <c r="E22" s="6"/>
    </row>
    <row r="23" spans="1:20">
      <c r="A23" t="s">
        <v>13</v>
      </c>
      <c r="B23" t="str">
        <f>VLOOKUP(A23,Maps!$A$1:$C$13,2,FALSE)</f>
        <v>MODELGEOGRAPHY</v>
      </c>
      <c r="C23">
        <v>2028</v>
      </c>
      <c r="D23" s="53">
        <f t="shared" si="1"/>
        <v>55.00966394364454</v>
      </c>
      <c r="E23" s="6"/>
      <c r="T23" s="220"/>
    </row>
    <row r="24" spans="1:20">
      <c r="A24" t="s">
        <v>13</v>
      </c>
      <c r="B24" t="str">
        <f>VLOOKUP(A24,Maps!$A$1:$C$13,2,FALSE)</f>
        <v>MODELGEOGRAPHY</v>
      </c>
      <c r="C24">
        <v>2029</v>
      </c>
      <c r="D24" s="53">
        <f t="shared" si="1"/>
        <v>55.00966394364454</v>
      </c>
      <c r="E24" s="6"/>
      <c r="T24" s="220"/>
    </row>
    <row r="25" spans="1:20">
      <c r="A25" t="s">
        <v>13</v>
      </c>
      <c r="B25" t="str">
        <f>VLOOKUP(A25,Maps!$A$1:$C$13,2,FALSE)</f>
        <v>MODELGEOGRAPHY</v>
      </c>
      <c r="C25">
        <v>2030</v>
      </c>
      <c r="D25" s="53">
        <f t="shared" si="1"/>
        <v>55.00966394364454</v>
      </c>
      <c r="E25" s="6"/>
    </row>
    <row r="26" spans="1:20">
      <c r="A26" t="s">
        <v>13</v>
      </c>
      <c r="B26" t="str">
        <f>VLOOKUP(A26,Maps!$A$1:$C$13,2,FALSE)</f>
        <v>MODELGEOGRAPHY</v>
      </c>
      <c r="C26">
        <v>2031</v>
      </c>
      <c r="D26" s="53">
        <f t="shared" si="1"/>
        <v>55.00966394364454</v>
      </c>
      <c r="E26" s="6"/>
    </row>
    <row r="27" spans="1:20">
      <c r="A27" s="6"/>
      <c r="B27" s="6"/>
      <c r="C27" s="6"/>
      <c r="D27" s="6"/>
      <c r="E27" s="6"/>
    </row>
    <row r="28" spans="1:20">
      <c r="A28" t="s">
        <v>445</v>
      </c>
      <c r="B28" s="3"/>
    </row>
    <row r="29" spans="1:20">
      <c r="G29" s="215" t="s">
        <v>327</v>
      </c>
    </row>
    <row r="30" spans="1:20" ht="60">
      <c r="G30" s="356" t="s">
        <v>326</v>
      </c>
      <c r="P30" s="360" t="s">
        <v>333</v>
      </c>
    </row>
    <row r="31" spans="1:20" ht="113.25" customHeight="1">
      <c r="G31" s="18"/>
      <c r="H31" s="361" t="s">
        <v>214</v>
      </c>
      <c r="I31" s="361" t="s">
        <v>31</v>
      </c>
      <c r="J31" s="361" t="s">
        <v>29</v>
      </c>
      <c r="K31" s="361" t="s">
        <v>30</v>
      </c>
      <c r="L31" s="361" t="s">
        <v>344</v>
      </c>
      <c r="M31" s="361" t="s">
        <v>334</v>
      </c>
      <c r="N31" s="362" t="s">
        <v>384</v>
      </c>
      <c r="O31" s="361" t="s">
        <v>343</v>
      </c>
      <c r="P31" s="363" t="s">
        <v>346</v>
      </c>
      <c r="Q31" s="361" t="s">
        <v>392</v>
      </c>
      <c r="R31" s="361" t="s">
        <v>334</v>
      </c>
      <c r="S31" s="362" t="s">
        <v>384</v>
      </c>
    </row>
    <row r="32" spans="1:20">
      <c r="G32" s="18" t="s">
        <v>318</v>
      </c>
      <c r="H32" s="361">
        <v>27.96</v>
      </c>
      <c r="I32" s="361">
        <v>31.27</v>
      </c>
      <c r="J32" s="361">
        <v>28.01</v>
      </c>
      <c r="K32" s="361">
        <v>28.01</v>
      </c>
      <c r="L32" s="364">
        <f t="shared" ref="L32:L39" si="2">AVERAGE(H32:K32)</f>
        <v>28.812500000000004</v>
      </c>
      <c r="M32" s="364">
        <f>L32/Maps!$G$21</f>
        <v>40.654437500000007</v>
      </c>
      <c r="N32" s="364">
        <f>M32/(Maps!$G$33/Maps!$F$33)</f>
        <v>39.283809251048162</v>
      </c>
      <c r="O32" s="365">
        <f t="shared" ref="O32:O39" si="3">L32/H32</f>
        <v>1.0304899856938485</v>
      </c>
      <c r="P32" s="365">
        <v>32.67</v>
      </c>
      <c r="Q32" s="364">
        <f>O32*P32</f>
        <v>33.666107832618032</v>
      </c>
      <c r="R32" s="364">
        <f>Q32/Maps!$G$21</f>
        <v>47.502878151824042</v>
      </c>
      <c r="S32" s="364">
        <f>R32/(Maps!$H$33/Maps!$F$33)</f>
        <v>44.275164217538546</v>
      </c>
    </row>
    <row r="33" spans="7:19">
      <c r="G33" s="18" t="s">
        <v>319</v>
      </c>
      <c r="H33" s="361">
        <v>0.32</v>
      </c>
      <c r="I33" s="361">
        <v>0.68</v>
      </c>
      <c r="J33" s="361">
        <v>0.2</v>
      </c>
      <c r="K33" s="361">
        <v>0.2</v>
      </c>
      <c r="L33" s="364">
        <f t="shared" si="2"/>
        <v>0.35</v>
      </c>
      <c r="M33" s="364">
        <f>L33/Maps!$G$21</f>
        <v>0.49385000000000001</v>
      </c>
      <c r="N33" s="364">
        <f>M33/(Maps!$G$33/Maps!$F$33)</f>
        <v>0.47720028591294938</v>
      </c>
      <c r="O33" s="365">
        <f t="shared" si="3"/>
        <v>1.09375</v>
      </c>
      <c r="P33" s="365">
        <v>0.28000000000000003</v>
      </c>
      <c r="Q33" s="364">
        <f>O33*P33</f>
        <v>0.30625000000000002</v>
      </c>
      <c r="R33" s="364">
        <f>Q33/Maps!$G$21</f>
        <v>0.43211875000000005</v>
      </c>
      <c r="S33" s="364">
        <f>R33/(Maps!$H$33/Maps!$F$33)</f>
        <v>0.40275725097286214</v>
      </c>
    </row>
    <row r="34" spans="7:19" ht="30">
      <c r="G34" s="357" t="s">
        <v>320</v>
      </c>
      <c r="H34" s="362">
        <f>SUM(H32:H33)</f>
        <v>28.28</v>
      </c>
      <c r="I34" s="362">
        <f t="shared" ref="I34:K34" si="4">SUM(I32:I33)</f>
        <v>31.95</v>
      </c>
      <c r="J34" s="362">
        <f t="shared" si="4"/>
        <v>28.21</v>
      </c>
      <c r="K34" s="362">
        <f t="shared" si="4"/>
        <v>28.21</v>
      </c>
      <c r="L34" s="366">
        <f t="shared" si="2"/>
        <v>29.162500000000001</v>
      </c>
      <c r="M34" s="366">
        <f>L34/Maps!$G$21</f>
        <v>41.148287500000002</v>
      </c>
      <c r="N34" s="366">
        <f>M34/(Maps!$G$33/Maps!$F$33)</f>
        <v>39.761009536961105</v>
      </c>
      <c r="O34" s="365">
        <f t="shared" si="3"/>
        <v>1.0312057991513437</v>
      </c>
      <c r="P34" s="362">
        <f t="shared" ref="P34" si="5">SUM(P32:P33)</f>
        <v>32.950000000000003</v>
      </c>
      <c r="Q34" s="366">
        <f>SUM(Q32:Q33)</f>
        <v>33.97235783261803</v>
      </c>
      <c r="R34" s="366">
        <f>Q34/Maps!$G$21</f>
        <v>47.934996901824043</v>
      </c>
      <c r="S34" s="366">
        <f>R34/(Maps!$H$33/Maps!$F$33)</f>
        <v>44.677921468511407</v>
      </c>
    </row>
    <row r="35" spans="7:19">
      <c r="G35" s="18" t="s">
        <v>321</v>
      </c>
      <c r="H35" s="361">
        <v>22.98</v>
      </c>
      <c r="I35" s="361">
        <v>22.98</v>
      </c>
      <c r="J35" s="361">
        <v>22.98</v>
      </c>
      <c r="K35" s="361">
        <v>22.98</v>
      </c>
      <c r="L35" s="364">
        <f t="shared" si="2"/>
        <v>22.98</v>
      </c>
      <c r="M35" s="364">
        <f>L35/Maps!$G$21</f>
        <v>32.424780000000005</v>
      </c>
      <c r="N35" s="364">
        <f>M35/(Maps!$G$33/Maps!$F$33)</f>
        <v>31.331607343655939</v>
      </c>
      <c r="O35" s="365">
        <f t="shared" si="3"/>
        <v>1</v>
      </c>
      <c r="P35" s="365">
        <v>32.9</v>
      </c>
      <c r="Q35" s="364">
        <f>O35*P35</f>
        <v>32.9</v>
      </c>
      <c r="R35" s="364">
        <f>Q35/Maps!$G$21</f>
        <v>46.421900000000001</v>
      </c>
      <c r="S35" s="364">
        <f>R35/(Maps!$H$33/Maps!$F$33)</f>
        <v>43.267636104513187</v>
      </c>
    </row>
    <row r="36" spans="7:19" ht="30">
      <c r="G36" s="18" t="s">
        <v>322</v>
      </c>
      <c r="H36" s="361">
        <v>3.54</v>
      </c>
      <c r="I36" s="361">
        <v>3.57</v>
      </c>
      <c r="J36" s="361">
        <v>3.6</v>
      </c>
      <c r="K36" s="361">
        <v>3.57</v>
      </c>
      <c r="L36" s="364">
        <f t="shared" si="2"/>
        <v>3.57</v>
      </c>
      <c r="M36" s="364">
        <f>L36/Maps!$G$21</f>
        <v>5.0372700000000004</v>
      </c>
      <c r="N36" s="364">
        <f>M36/(Maps!$G$33/Maps!$F$33)</f>
        <v>4.8674429163120845</v>
      </c>
      <c r="O36" s="365">
        <f t="shared" si="3"/>
        <v>1.0084745762711864</v>
      </c>
      <c r="P36" s="365">
        <v>3.69</v>
      </c>
      <c r="Q36" s="364">
        <f>O36*P36</f>
        <v>3.7212711864406778</v>
      </c>
      <c r="R36" s="364">
        <f>Q36/Maps!$G$21</f>
        <v>5.2507136440677966</v>
      </c>
      <c r="S36" s="364">
        <f>R36/(Maps!$H$33/Maps!$F$33)</f>
        <v>4.8939394389399782</v>
      </c>
    </row>
    <row r="37" spans="7:19" ht="30">
      <c r="G37" s="18" t="s">
        <v>323</v>
      </c>
      <c r="H37" s="361">
        <v>14.79</v>
      </c>
      <c r="I37" s="361">
        <v>14.8</v>
      </c>
      <c r="J37" s="361">
        <v>21.52</v>
      </c>
      <c r="K37" s="361">
        <v>17.52</v>
      </c>
      <c r="L37" s="364">
        <f t="shared" si="2"/>
        <v>17.157499999999999</v>
      </c>
      <c r="M37" s="364">
        <f>L37/Maps!$G$21</f>
        <v>24.209232499999999</v>
      </c>
      <c r="N37" s="364">
        <f>M37/(Maps!$G$33/Maps!$F$33)</f>
        <v>23.393039730146938</v>
      </c>
      <c r="O37" s="365">
        <f t="shared" si="3"/>
        <v>1.1600743745774171</v>
      </c>
      <c r="P37" s="365">
        <v>20.86</v>
      </c>
      <c r="Q37" s="364">
        <f>O37*P37</f>
        <v>24.199151453684919</v>
      </c>
      <c r="R37" s="364">
        <f>Q37/Maps!$G$21</f>
        <v>34.145002701149423</v>
      </c>
      <c r="S37" s="364">
        <f>R37/(Maps!$H$33/Maps!$F$33)</f>
        <v>31.824926417508827</v>
      </c>
    </row>
    <row r="38" spans="7:19" ht="30">
      <c r="G38" s="357" t="s">
        <v>325</v>
      </c>
      <c r="H38" s="362">
        <f>SUM(H35:H37)</f>
        <v>41.31</v>
      </c>
      <c r="I38" s="362">
        <f t="shared" ref="I38:K38" si="6">SUM(I35:I37)</f>
        <v>41.35</v>
      </c>
      <c r="J38" s="362">
        <f t="shared" si="6"/>
        <v>48.1</v>
      </c>
      <c r="K38" s="362">
        <f t="shared" si="6"/>
        <v>44.07</v>
      </c>
      <c r="L38" s="366">
        <f>AVERAGE(H38:K38)</f>
        <v>43.707499999999996</v>
      </c>
      <c r="M38" s="366">
        <f>L38/Maps!$G$21</f>
        <v>61.671282499999997</v>
      </c>
      <c r="N38" s="366">
        <f>M38/(Maps!$G$33/Maps!$F$33)</f>
        <v>59.592089990114957</v>
      </c>
      <c r="O38" s="365">
        <f t="shared" si="3"/>
        <v>1.0580367949648994</v>
      </c>
      <c r="P38" s="362">
        <f t="shared" ref="P38:Q38" si="7">SUM(P35:P37)</f>
        <v>57.449999999999996</v>
      </c>
      <c r="Q38" s="366">
        <f t="shared" si="7"/>
        <v>60.820422640125599</v>
      </c>
      <c r="R38" s="366">
        <f>Q38/Maps!$G$21</f>
        <v>85.817616345217232</v>
      </c>
      <c r="S38" s="366">
        <f>R38/(Maps!$H$33/Maps!$F$33)</f>
        <v>79.986501960962002</v>
      </c>
    </row>
    <row r="39" spans="7:19" ht="30">
      <c r="G39" s="20" t="s">
        <v>324</v>
      </c>
      <c r="H39" s="362">
        <f>H34+H38</f>
        <v>69.59</v>
      </c>
      <c r="I39" s="362">
        <f t="shared" ref="I39:K39" si="8">I34+I38</f>
        <v>73.3</v>
      </c>
      <c r="J39" s="362">
        <f t="shared" si="8"/>
        <v>76.31</v>
      </c>
      <c r="K39" s="362">
        <f t="shared" si="8"/>
        <v>72.28</v>
      </c>
      <c r="L39" s="366">
        <f t="shared" si="2"/>
        <v>72.87</v>
      </c>
      <c r="M39" s="366">
        <f>L39/Maps!$G$21</f>
        <v>102.81957000000001</v>
      </c>
      <c r="N39" s="366">
        <f>M39/(Maps!$G$33/Maps!$F$33)</f>
        <v>99.353099527076083</v>
      </c>
      <c r="O39" s="365">
        <f t="shared" si="3"/>
        <v>1.047133208794367</v>
      </c>
      <c r="P39" s="366">
        <f t="shared" ref="P39:Q39" si="9">P34+P38</f>
        <v>90.4</v>
      </c>
      <c r="Q39" s="366">
        <f t="shared" si="9"/>
        <v>94.79278047274363</v>
      </c>
      <c r="R39" s="366">
        <f>Q39/Maps!$G$21</f>
        <v>133.75261324704127</v>
      </c>
      <c r="S39" s="366">
        <f>R39/(Maps!$H$33/Maps!$F$33)</f>
        <v>124.6644234294734</v>
      </c>
    </row>
    <row r="40" spans="7:19">
      <c r="G40" s="358"/>
      <c r="H40" s="367"/>
      <c r="I40" s="367"/>
      <c r="J40" s="367"/>
      <c r="K40" s="367"/>
      <c r="L40" s="367"/>
      <c r="M40" s="367"/>
      <c r="N40" s="367"/>
      <c r="O40" s="367"/>
      <c r="P40" s="367"/>
      <c r="Q40" s="367"/>
      <c r="R40" s="367"/>
      <c r="S40" s="367"/>
    </row>
    <row r="41" spans="7:19" ht="75">
      <c r="G41" s="359" t="s">
        <v>328</v>
      </c>
      <c r="H41" s="367"/>
      <c r="I41" s="367"/>
      <c r="J41" s="367"/>
      <c r="K41" s="367"/>
      <c r="L41" s="367"/>
      <c r="M41" s="367"/>
      <c r="N41" s="367"/>
      <c r="O41" s="367"/>
      <c r="P41" s="367"/>
      <c r="Q41" s="367"/>
      <c r="R41" s="367"/>
      <c r="S41" s="367"/>
    </row>
    <row r="42" spans="7:19" ht="143.25" customHeight="1">
      <c r="G42" s="18"/>
      <c r="H42" s="361" t="s">
        <v>214</v>
      </c>
      <c r="I42" s="361" t="s">
        <v>31</v>
      </c>
      <c r="J42" s="361" t="s">
        <v>29</v>
      </c>
      <c r="K42" s="361" t="s">
        <v>30</v>
      </c>
      <c r="L42" s="361" t="s">
        <v>345</v>
      </c>
      <c r="M42" s="361" t="s">
        <v>334</v>
      </c>
      <c r="N42" s="362" t="s">
        <v>384</v>
      </c>
      <c r="O42" s="361" t="s">
        <v>343</v>
      </c>
      <c r="P42" s="363" t="s">
        <v>346</v>
      </c>
      <c r="Q42" s="361" t="s">
        <v>392</v>
      </c>
      <c r="R42" s="361" t="s">
        <v>334</v>
      </c>
      <c r="S42" s="362" t="s">
        <v>384</v>
      </c>
    </row>
    <row r="43" spans="7:19">
      <c r="G43" s="18" t="s">
        <v>318</v>
      </c>
      <c r="H43" s="361">
        <v>31.49</v>
      </c>
      <c r="I43" s="361">
        <v>33.79</v>
      </c>
      <c r="J43" s="361">
        <v>31.52</v>
      </c>
      <c r="K43" s="361">
        <v>31.51</v>
      </c>
      <c r="L43" s="364">
        <f t="shared" ref="L43:L50" si="10">AVERAGE(H43:K43)</f>
        <v>32.077500000000001</v>
      </c>
      <c r="M43" s="364">
        <f>L43/Maps!$G$22</f>
        <v>38.813775</v>
      </c>
      <c r="N43" s="364">
        <f>M43/(Maps!$G$33/Maps!$F$33)</f>
        <v>37.505203052264626</v>
      </c>
      <c r="O43" s="365">
        <f t="shared" ref="O43:O50" si="11">L43/H43</f>
        <v>1.0186567164179106</v>
      </c>
      <c r="P43" s="365">
        <v>34.340000000000003</v>
      </c>
      <c r="Q43" s="364">
        <f>O43*P43</f>
        <v>34.980671641791055</v>
      </c>
      <c r="R43" s="364">
        <f>Q43/Maps!$G$22</f>
        <v>42.326612686567174</v>
      </c>
      <c r="S43" s="364">
        <f>R43/(Maps!$H$33/Maps!$F$33)</f>
        <v>39.450614370783178</v>
      </c>
    </row>
    <row r="44" spans="7:19">
      <c r="G44" s="18" t="s">
        <v>319</v>
      </c>
      <c r="H44" s="361">
        <v>0.28999999999999998</v>
      </c>
      <c r="I44" s="361">
        <v>0.67</v>
      </c>
      <c r="J44" s="361">
        <v>0.16</v>
      </c>
      <c r="K44" s="361">
        <v>0.16</v>
      </c>
      <c r="L44" s="364">
        <f t="shared" si="10"/>
        <v>0.31999999999999995</v>
      </c>
      <c r="M44" s="364">
        <f>L44/Maps!$G$22</f>
        <v>0.38719999999999993</v>
      </c>
      <c r="N44" s="364">
        <f>M44/(Maps!$G$33/Maps!$F$33)</f>
        <v>0.3741458959309385</v>
      </c>
      <c r="O44" s="365">
        <f t="shared" si="11"/>
        <v>1.103448275862069</v>
      </c>
      <c r="P44" s="365">
        <v>0.25</v>
      </c>
      <c r="Q44" s="364">
        <f>O44*P44</f>
        <v>0.27586206896551724</v>
      </c>
      <c r="R44" s="364">
        <f>Q44/Maps!$G$22</f>
        <v>0.33379310344827584</v>
      </c>
      <c r="S44" s="364">
        <f>R44/(Maps!$H$33/Maps!$F$33)</f>
        <v>0.31111261137945934</v>
      </c>
    </row>
    <row r="45" spans="7:19" ht="30">
      <c r="G45" s="357" t="s">
        <v>320</v>
      </c>
      <c r="H45" s="362">
        <f>SUM(H43:H44)</f>
        <v>31.779999999999998</v>
      </c>
      <c r="I45" s="362">
        <f t="shared" ref="I45" si="12">SUM(I43:I44)</f>
        <v>34.46</v>
      </c>
      <c r="J45" s="362">
        <f t="shared" ref="J45" si="13">SUM(J43:J44)</f>
        <v>31.68</v>
      </c>
      <c r="K45" s="362">
        <f t="shared" ref="K45" si="14">SUM(K43:K44)</f>
        <v>31.67</v>
      </c>
      <c r="L45" s="366">
        <f t="shared" si="10"/>
        <v>32.397499999999994</v>
      </c>
      <c r="M45" s="366">
        <f>L45/Maps!$G$22</f>
        <v>39.200974999999993</v>
      </c>
      <c r="N45" s="366">
        <f>M45/(Maps!$G$33/Maps!$F$33)</f>
        <v>37.879348948195563</v>
      </c>
      <c r="O45" s="365">
        <f t="shared" si="11"/>
        <v>1.0194304594084329</v>
      </c>
      <c r="P45" s="362">
        <f t="shared" ref="P45" si="15">SUM(P43:P44)</f>
        <v>34.590000000000003</v>
      </c>
      <c r="Q45" s="366">
        <f>SUM(Q43:Q44)</f>
        <v>35.256533710756571</v>
      </c>
      <c r="R45" s="366">
        <f>Q45/Maps!$G$22</f>
        <v>42.660405790015453</v>
      </c>
      <c r="S45" s="366">
        <f>R45/(Maps!$H$33/Maps!$F$33)</f>
        <v>39.761726982162642</v>
      </c>
    </row>
    <row r="46" spans="7:19">
      <c r="G46" s="18" t="s">
        <v>321</v>
      </c>
      <c r="H46" s="361">
        <v>18.829999999999998</v>
      </c>
      <c r="I46" s="361">
        <v>18.829999999999998</v>
      </c>
      <c r="J46" s="361">
        <v>18.829999999999998</v>
      </c>
      <c r="K46" s="361">
        <v>18.829999999999998</v>
      </c>
      <c r="L46" s="364">
        <f t="shared" si="10"/>
        <v>18.829999999999998</v>
      </c>
      <c r="M46" s="364">
        <f>L46/Maps!$G$22</f>
        <v>22.784299999999998</v>
      </c>
      <c r="N46" s="364">
        <f>M46/(Maps!$G$33/Maps!$F$33)</f>
        <v>22.016147563686165</v>
      </c>
      <c r="O46" s="365">
        <f t="shared" si="11"/>
        <v>1</v>
      </c>
      <c r="P46" s="365">
        <v>31.8</v>
      </c>
      <c r="Q46" s="364">
        <f>O46*P46</f>
        <v>31.8</v>
      </c>
      <c r="R46" s="364">
        <f>Q46/Maps!$G$22</f>
        <v>38.478000000000002</v>
      </c>
      <c r="S46" s="364">
        <f>R46/(Maps!$H$33/Maps!$F$33)</f>
        <v>35.863506276767183</v>
      </c>
    </row>
    <row r="47" spans="7:19" ht="30">
      <c r="G47" s="18" t="s">
        <v>322</v>
      </c>
      <c r="H47" s="361">
        <v>2.4900000000000002</v>
      </c>
      <c r="I47" s="365">
        <v>2.5</v>
      </c>
      <c r="J47" s="365">
        <v>2.5</v>
      </c>
      <c r="K47" s="365">
        <v>2.5</v>
      </c>
      <c r="L47" s="364">
        <f t="shared" si="10"/>
        <v>2.4975000000000001</v>
      </c>
      <c r="M47" s="364">
        <f>L47/Maps!$G$22</f>
        <v>3.0219749999999999</v>
      </c>
      <c r="N47" s="364">
        <f>M47/(Maps!$G$33/Maps!$F$33)</f>
        <v>2.9200917971484968</v>
      </c>
      <c r="O47" s="365">
        <f t="shared" si="11"/>
        <v>1.0030120481927711</v>
      </c>
      <c r="P47" s="365">
        <v>2.5099999999999998</v>
      </c>
      <c r="Q47" s="364">
        <f>O47*P47</f>
        <v>2.5175602409638551</v>
      </c>
      <c r="R47" s="364">
        <f>Q47/Maps!$G$22</f>
        <v>3.0462478915662645</v>
      </c>
      <c r="S47" s="364">
        <f>R47/(Maps!$H$33/Maps!$F$33)</f>
        <v>2.8392621856587015</v>
      </c>
    </row>
    <row r="48" spans="7:19" ht="30">
      <c r="G48" s="18" t="s">
        <v>323</v>
      </c>
      <c r="H48" s="361">
        <v>9.19</v>
      </c>
      <c r="I48" s="361">
        <v>9.83</v>
      </c>
      <c r="J48" s="361">
        <v>13.2</v>
      </c>
      <c r="K48" s="361">
        <v>12.71</v>
      </c>
      <c r="L48" s="364">
        <f t="shared" si="10"/>
        <v>11.2325</v>
      </c>
      <c r="M48" s="364">
        <f>L48/Maps!$G$22</f>
        <v>13.591324999999999</v>
      </c>
      <c r="N48" s="364">
        <f>M48/(Maps!$G$33/Maps!$F$33)</f>
        <v>13.133105550138335</v>
      </c>
      <c r="O48" s="365">
        <f t="shared" si="11"/>
        <v>1.2222524483133841</v>
      </c>
      <c r="P48" s="365">
        <v>11.83</v>
      </c>
      <c r="Q48" s="364">
        <f>O48*P48</f>
        <v>14.459246463547334</v>
      </c>
      <c r="R48" s="364">
        <f>Q48/Maps!$G$22</f>
        <v>17.495688220892273</v>
      </c>
      <c r="S48" s="364">
        <f>R48/(Maps!$H$33/Maps!$F$33)</f>
        <v>16.30689548121866</v>
      </c>
    </row>
    <row r="49" spans="7:19" ht="30">
      <c r="G49" s="357" t="s">
        <v>325</v>
      </c>
      <c r="H49" s="362">
        <f>SUM(H46:H48)</f>
        <v>30.509999999999998</v>
      </c>
      <c r="I49" s="362">
        <f t="shared" ref="I49" si="16">SUM(I46:I48)</f>
        <v>31.159999999999997</v>
      </c>
      <c r="J49" s="362">
        <f t="shared" ref="J49" si="17">SUM(J46:J48)</f>
        <v>34.53</v>
      </c>
      <c r="K49" s="362">
        <f t="shared" ref="K49" si="18">SUM(K46:K48)</f>
        <v>34.04</v>
      </c>
      <c r="L49" s="366">
        <f t="shared" si="10"/>
        <v>32.559999999999995</v>
      </c>
      <c r="M49" s="366">
        <f>L49/Maps!$G$22</f>
        <v>39.39759999999999</v>
      </c>
      <c r="N49" s="366">
        <f>M49/(Maps!$G$33/Maps!$F$33)</f>
        <v>38.069344910972987</v>
      </c>
      <c r="O49" s="365">
        <f t="shared" si="11"/>
        <v>1.0671910848901998</v>
      </c>
      <c r="P49" s="362">
        <f t="shared" ref="P49" si="19">SUM(P46:P48)</f>
        <v>46.14</v>
      </c>
      <c r="Q49" s="366">
        <f>SUM(Q46:Q48)</f>
        <v>48.776806704511188</v>
      </c>
      <c r="R49" s="366">
        <f>Q49/Maps!$G$22</f>
        <v>59.019936112458538</v>
      </c>
      <c r="S49" s="366">
        <f>R49/(Maps!$H$33/Maps!$F$33)</f>
        <v>55.00966394364454</v>
      </c>
    </row>
    <row r="50" spans="7:19" ht="30">
      <c r="G50" s="20" t="s">
        <v>324</v>
      </c>
      <c r="H50" s="362">
        <f>H45+H49</f>
        <v>62.289999999999992</v>
      </c>
      <c r="I50" s="362">
        <f t="shared" ref="I50" si="20">I45+I49</f>
        <v>65.62</v>
      </c>
      <c r="J50" s="362">
        <f t="shared" ref="J50" si="21">J45+J49</f>
        <v>66.210000000000008</v>
      </c>
      <c r="K50" s="362">
        <f t="shared" ref="K50" si="22">K45+K49</f>
        <v>65.710000000000008</v>
      </c>
      <c r="L50" s="366">
        <f t="shared" si="10"/>
        <v>64.95750000000001</v>
      </c>
      <c r="M50" s="366">
        <f>L50/Maps!$G$22</f>
        <v>78.598575000000011</v>
      </c>
      <c r="N50" s="366">
        <f>M50/(Maps!$G$33/Maps!$F$33)</f>
        <v>75.948693859168571</v>
      </c>
      <c r="O50" s="365">
        <f t="shared" si="11"/>
        <v>1.0428238882645693</v>
      </c>
      <c r="P50" s="362">
        <f t="shared" ref="P50" si="23">P45+P49</f>
        <v>80.73</v>
      </c>
      <c r="Q50" s="366">
        <f>Q45+Q49</f>
        <v>84.033340415267759</v>
      </c>
      <c r="R50" s="366">
        <f>Q50/Maps!$G$22</f>
        <v>101.68034190247398</v>
      </c>
      <c r="S50" s="366">
        <f>R50/(Maps!$H$33/Maps!$F$33)</f>
        <v>94.771390925807182</v>
      </c>
    </row>
  </sheetData>
  <mergeCells count="1">
    <mergeCell ref="X13:Y1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zoomScaleNormal="100" workbookViewId="0"/>
  </sheetViews>
  <sheetFormatPr defaultRowHeight="15"/>
  <cols>
    <col min="1" max="1" width="15.42578125" bestFit="1" customWidth="1"/>
    <col min="2" max="2" width="31.42578125" bestFit="1" customWidth="1"/>
    <col min="4" max="4" width="18.28515625" customWidth="1"/>
    <col min="5" max="5" width="6.28515625" customWidth="1"/>
    <col min="6" max="6" width="10.85546875" customWidth="1"/>
    <col min="7" max="7" width="46.140625" style="13" customWidth="1"/>
    <col min="8" max="9" width="13.42578125" customWidth="1"/>
    <col min="10" max="10" width="12" customWidth="1"/>
    <col min="11" max="11" width="12.42578125" customWidth="1"/>
    <col min="12" max="12" width="15.42578125" customWidth="1"/>
    <col min="13" max="13" width="15.140625" customWidth="1"/>
    <col min="14" max="14" width="13.28515625" customWidth="1"/>
    <col min="15" max="15" width="11.42578125" customWidth="1"/>
    <col min="16" max="16" width="12.28515625" customWidth="1"/>
  </cols>
  <sheetData>
    <row r="1" spans="1:5">
      <c r="A1" t="s">
        <v>23</v>
      </c>
      <c r="D1" s="292" t="s">
        <v>407</v>
      </c>
      <c r="E1" s="6"/>
    </row>
    <row r="2" spans="1:5">
      <c r="A2" t="s">
        <v>0</v>
      </c>
      <c r="B2" t="s">
        <v>1</v>
      </c>
      <c r="C2" t="s">
        <v>24</v>
      </c>
      <c r="D2" t="s">
        <v>203</v>
      </c>
      <c r="E2" s="6"/>
    </row>
    <row r="3" spans="1:5">
      <c r="A3" t="s">
        <v>15</v>
      </c>
      <c r="B3" t="str">
        <f>VLOOKUP(A3,Maps!$A$1:$C$13,2,FALSE)</f>
        <v>MODELGEOGRAPHY</v>
      </c>
      <c r="C3">
        <v>2020</v>
      </c>
      <c r="D3" s="53">
        <f t="shared" ref="D3:D14" si="0">$N$43</f>
        <v>13.611258091468438</v>
      </c>
      <c r="E3" s="6"/>
    </row>
    <row r="4" spans="1:5">
      <c r="A4" t="s">
        <v>15</v>
      </c>
      <c r="B4" t="str">
        <f>VLOOKUP(A4,Maps!$A$1:$C$13,2,FALSE)</f>
        <v>MODELGEOGRAPHY</v>
      </c>
      <c r="C4">
        <v>2021</v>
      </c>
      <c r="D4" s="53">
        <f t="shared" si="0"/>
        <v>13.611258091468438</v>
      </c>
      <c r="E4" s="6"/>
    </row>
    <row r="5" spans="1:5">
      <c r="A5" t="s">
        <v>15</v>
      </c>
      <c r="B5" t="str">
        <f>VLOOKUP(A5,Maps!$A$1:$C$13,2,FALSE)</f>
        <v>MODELGEOGRAPHY</v>
      </c>
      <c r="C5">
        <v>2022</v>
      </c>
      <c r="D5" s="53">
        <f t="shared" si="0"/>
        <v>13.611258091468438</v>
      </c>
      <c r="E5" s="6"/>
    </row>
    <row r="6" spans="1:5" ht="24.75" customHeight="1">
      <c r="A6" t="s">
        <v>15</v>
      </c>
      <c r="B6" t="str">
        <f>VLOOKUP(A6,Maps!$A$1:$C$13,2,FALSE)</f>
        <v>MODELGEOGRAPHY</v>
      </c>
      <c r="C6">
        <v>2023</v>
      </c>
      <c r="D6" s="53">
        <f t="shared" si="0"/>
        <v>13.611258091468438</v>
      </c>
      <c r="E6" s="6"/>
    </row>
    <row r="7" spans="1:5" ht="21.75" customHeight="1">
      <c r="A7" t="s">
        <v>15</v>
      </c>
      <c r="B7" t="str">
        <f>VLOOKUP(A7,Maps!$A$1:$C$13,2,FALSE)</f>
        <v>MODELGEOGRAPHY</v>
      </c>
      <c r="C7">
        <v>2024</v>
      </c>
      <c r="D7" s="53">
        <f t="shared" si="0"/>
        <v>13.611258091468438</v>
      </c>
      <c r="E7" s="6"/>
    </row>
    <row r="8" spans="1:5" ht="29.25" customHeight="1">
      <c r="A8" t="s">
        <v>15</v>
      </c>
      <c r="B8" t="str">
        <f>VLOOKUP(A8,Maps!$A$1:$C$13,2,FALSE)</f>
        <v>MODELGEOGRAPHY</v>
      </c>
      <c r="C8">
        <v>2025</v>
      </c>
      <c r="D8" s="53">
        <f t="shared" si="0"/>
        <v>13.611258091468438</v>
      </c>
      <c r="E8" s="6"/>
    </row>
    <row r="9" spans="1:5">
      <c r="A9" t="s">
        <v>15</v>
      </c>
      <c r="B9" t="str">
        <f>VLOOKUP(A9,Maps!$A$1:$C$13,2,FALSE)</f>
        <v>MODELGEOGRAPHY</v>
      </c>
      <c r="C9">
        <v>2026</v>
      </c>
      <c r="D9" s="53">
        <f t="shared" si="0"/>
        <v>13.611258091468438</v>
      </c>
      <c r="E9" s="6"/>
    </row>
    <row r="10" spans="1:5">
      <c r="A10" t="s">
        <v>15</v>
      </c>
      <c r="B10" t="str">
        <f>VLOOKUP(A10,Maps!$A$1:$C$13,2,FALSE)</f>
        <v>MODELGEOGRAPHY</v>
      </c>
      <c r="C10">
        <v>2027</v>
      </c>
      <c r="D10" s="53">
        <f t="shared" si="0"/>
        <v>13.611258091468438</v>
      </c>
      <c r="E10" s="6"/>
    </row>
    <row r="11" spans="1:5" ht="23.25" customHeight="1">
      <c r="A11" t="s">
        <v>15</v>
      </c>
      <c r="B11" t="str">
        <f>VLOOKUP(A11,Maps!$A$1:$C$13,2,FALSE)</f>
        <v>MODELGEOGRAPHY</v>
      </c>
      <c r="C11">
        <v>2028</v>
      </c>
      <c r="D11" s="53">
        <f t="shared" si="0"/>
        <v>13.611258091468438</v>
      </c>
      <c r="E11" s="6"/>
    </row>
    <row r="12" spans="1:5">
      <c r="A12" t="s">
        <v>15</v>
      </c>
      <c r="B12" t="str">
        <f>VLOOKUP(A12,Maps!$A$1:$C$13,2,FALSE)</f>
        <v>MODELGEOGRAPHY</v>
      </c>
      <c r="C12">
        <v>2029</v>
      </c>
      <c r="D12" s="53">
        <f t="shared" si="0"/>
        <v>13.611258091468438</v>
      </c>
      <c r="E12" s="6"/>
    </row>
    <row r="13" spans="1:5">
      <c r="A13" t="s">
        <v>15</v>
      </c>
      <c r="B13" t="str">
        <f>VLOOKUP(A13,Maps!$A$1:$C$13,2,FALSE)</f>
        <v>MODELGEOGRAPHY</v>
      </c>
      <c r="C13">
        <v>2030</v>
      </c>
      <c r="D13" s="53">
        <f t="shared" si="0"/>
        <v>13.611258091468438</v>
      </c>
      <c r="E13" s="6"/>
    </row>
    <row r="14" spans="1:5" ht="22.5" customHeight="1">
      <c r="A14" t="s">
        <v>15</v>
      </c>
      <c r="B14" t="str">
        <f>VLOOKUP(A14,Maps!$A$1:$C$13,2,FALSE)</f>
        <v>MODELGEOGRAPHY</v>
      </c>
      <c r="C14">
        <v>2031</v>
      </c>
      <c r="D14" s="53">
        <f t="shared" si="0"/>
        <v>13.611258091468438</v>
      </c>
      <c r="E14" s="6"/>
    </row>
    <row r="15" spans="1:5" ht="21" customHeight="1">
      <c r="A15" t="s">
        <v>16</v>
      </c>
      <c r="B15" t="str">
        <f>VLOOKUP(A15,Maps!$A$1:$C$13,2,FALSE)</f>
        <v>MODELGEOGRAPHY</v>
      </c>
      <c r="C15">
        <v>2020</v>
      </c>
      <c r="D15" s="30">
        <f>CRUDE!H4*($J$53)</f>
        <v>5.4657522708938604</v>
      </c>
      <c r="E15" s="6"/>
    </row>
    <row r="16" spans="1:5" ht="21" customHeight="1">
      <c r="A16" t="s">
        <v>16</v>
      </c>
      <c r="B16" s="46" t="str">
        <f>VLOOKUP(A16,Maps!$A$1:$C$13,2,FALSE)</f>
        <v>MODELGEOGRAPHY</v>
      </c>
      <c r="C16">
        <v>2021</v>
      </c>
      <c r="D16" s="30">
        <f>CRUDE!H5*($J$53)</f>
        <v>3.7408069188866437</v>
      </c>
      <c r="E16" s="6"/>
    </row>
    <row r="17" spans="1:10">
      <c r="A17" t="s">
        <v>16</v>
      </c>
      <c r="B17" s="46" t="str">
        <f>VLOOKUP(A17,Maps!$A$1:$C$13,2,FALSE)</f>
        <v>MODELGEOGRAPHY</v>
      </c>
      <c r="C17">
        <v>2022</v>
      </c>
      <c r="D17" s="30">
        <f>CRUDE!H6*($J$53)</f>
        <v>4.0368185968159356</v>
      </c>
      <c r="E17" s="6"/>
    </row>
    <row r="18" spans="1:10">
      <c r="A18" t="s">
        <v>16</v>
      </c>
      <c r="B18" s="46" t="str">
        <f>VLOOKUP(A18,Maps!$A$1:$C$13,2,FALSE)</f>
        <v>MODELGEOGRAPHY</v>
      </c>
      <c r="C18">
        <v>2023</v>
      </c>
      <c r="D18" s="30">
        <f>CRUDE!H7*($J$53)</f>
        <v>4.5969963007302557</v>
      </c>
      <c r="E18" s="6"/>
    </row>
    <row r="19" spans="1:10">
      <c r="A19" t="s">
        <v>16</v>
      </c>
      <c r="B19" s="46" t="str">
        <f>VLOOKUP(A19,Maps!$A$1:$C$13,2,FALSE)</f>
        <v>MODELGEOGRAPHY</v>
      </c>
      <c r="C19">
        <v>2024</v>
      </c>
      <c r="D19" s="30">
        <f>CRUDE!H8*($J$53)</f>
        <v>4.8040021464195819</v>
      </c>
      <c r="E19" s="6"/>
    </row>
    <row r="20" spans="1:10">
      <c r="A20" t="s">
        <v>16</v>
      </c>
      <c r="B20" s="46" t="str">
        <f>VLOOKUP(A20,Maps!$A$1:$C$13,2,FALSE)</f>
        <v>MODELGEOGRAPHY</v>
      </c>
      <c r="C20">
        <v>2025</v>
      </c>
      <c r="D20" s="30">
        <f>CRUDE!H9*($J$53)</f>
        <v>5.02723003058854</v>
      </c>
      <c r="E20" s="6"/>
    </row>
    <row r="21" spans="1:10">
      <c r="A21" t="s">
        <v>16</v>
      </c>
      <c r="B21" s="46" t="str">
        <f>VLOOKUP(A21,Maps!$A$1:$C$13,2,FALSE)</f>
        <v>MODELGEOGRAPHY</v>
      </c>
      <c r="C21">
        <v>2026</v>
      </c>
      <c r="D21" s="30">
        <f>CRUDE!H10*($J$53)</f>
        <v>5.2474892140298905</v>
      </c>
      <c r="E21" s="6"/>
    </row>
    <row r="22" spans="1:10">
      <c r="A22" t="s">
        <v>16</v>
      </c>
      <c r="B22" s="46" t="str">
        <f>VLOOKUP(A22,Maps!$A$1:$C$13,2,FALSE)</f>
        <v>MODELGEOGRAPHY</v>
      </c>
      <c r="C22">
        <v>2027</v>
      </c>
      <c r="D22" s="30">
        <f>CRUDE!H11*($J$53)</f>
        <v>5.4767760149330389</v>
      </c>
      <c r="E22" s="6"/>
    </row>
    <row r="23" spans="1:10">
      <c r="A23" t="s">
        <v>16</v>
      </c>
      <c r="B23" s="46" t="str">
        <f>VLOOKUP(A23,Maps!$A$1:$C$13,2,FALSE)</f>
        <v>MODELGEOGRAPHY</v>
      </c>
      <c r="C23">
        <v>2028</v>
      </c>
      <c r="D23" s="30">
        <f>CRUDE!H12*($J$53)</f>
        <v>5.7160814047125275</v>
      </c>
      <c r="E23" s="6"/>
    </row>
    <row r="24" spans="1:10">
      <c r="A24" t="s">
        <v>16</v>
      </c>
      <c r="B24" s="46" t="str">
        <f>VLOOKUP(A24,Maps!$A$1:$C$13,2,FALSE)</f>
        <v>MODELGEOGRAPHY</v>
      </c>
      <c r="C24">
        <v>2029</v>
      </c>
      <c r="D24" s="30">
        <f>CRUDE!H13*($J$53)</f>
        <v>5.9658431413320869</v>
      </c>
      <c r="E24" s="6"/>
    </row>
    <row r="25" spans="1:10">
      <c r="A25" t="s">
        <v>16</v>
      </c>
      <c r="B25" s="46" t="str">
        <f>VLOOKUP(A25,Maps!$A$1:$C$13,2,FALSE)</f>
        <v>MODELGEOGRAPHY</v>
      </c>
      <c r="C25">
        <v>2030</v>
      </c>
      <c r="D25" s="30">
        <f>CRUDE!H14*($J$53)</f>
        <v>6.2265181104027771</v>
      </c>
      <c r="E25" s="6"/>
    </row>
    <row r="26" spans="1:10">
      <c r="A26" t="s">
        <v>16</v>
      </c>
      <c r="B26" s="46" t="str">
        <f>VLOOKUP(A26,Maps!$A$1:$C$13,2,FALSE)</f>
        <v>MODELGEOGRAPHY</v>
      </c>
      <c r="C26">
        <v>2031</v>
      </c>
      <c r="D26" s="30">
        <f>CRUDE!H15*($J$53)</f>
        <v>6.4985831609573799</v>
      </c>
      <c r="E26" s="6"/>
    </row>
    <row r="27" spans="1:10">
      <c r="A27" s="6"/>
      <c r="B27" s="6"/>
      <c r="C27" s="6"/>
      <c r="D27" s="6"/>
      <c r="E27" s="6"/>
    </row>
    <row r="28" spans="1:10">
      <c r="A28" t="s">
        <v>445</v>
      </c>
    </row>
    <row r="31" spans="1:10">
      <c r="F31" s="61"/>
      <c r="G31" s="136" t="s">
        <v>433</v>
      </c>
      <c r="H31" s="136"/>
      <c r="I31" s="164"/>
      <c r="J31" s="61"/>
    </row>
    <row r="32" spans="1:10">
      <c r="F32" s="61"/>
      <c r="H32" s="162"/>
      <c r="I32" s="163"/>
      <c r="J32" s="61"/>
    </row>
    <row r="33" spans="6:14">
      <c r="F33" s="61"/>
      <c r="H33" s="61"/>
      <c r="I33" s="61"/>
      <c r="J33" s="61"/>
    </row>
    <row r="34" spans="6:14">
      <c r="J34" s="61"/>
    </row>
    <row r="35" spans="6:14" ht="30">
      <c r="G35" s="355" t="s">
        <v>329</v>
      </c>
    </row>
    <row r="36" spans="6:14" ht="30">
      <c r="G36" s="368" t="s">
        <v>489</v>
      </c>
    </row>
    <row r="37" spans="6:14" s="371" customFormat="1" ht="136.5" customHeight="1">
      <c r="G37" s="369"/>
      <c r="H37" s="216" t="s">
        <v>214</v>
      </c>
      <c r="I37" s="216" t="s">
        <v>31</v>
      </c>
      <c r="J37" s="216" t="s">
        <v>29</v>
      </c>
      <c r="K37" s="216" t="s">
        <v>30</v>
      </c>
      <c r="L37" s="362" t="s">
        <v>347</v>
      </c>
      <c r="M37" s="362" t="s">
        <v>348</v>
      </c>
      <c r="N37" s="362" t="s">
        <v>395</v>
      </c>
    </row>
    <row r="38" spans="6:14">
      <c r="G38" s="23" t="s">
        <v>318</v>
      </c>
      <c r="H38" s="213">
        <v>21890</v>
      </c>
      <c r="I38" s="213">
        <v>22420</v>
      </c>
      <c r="J38" s="213">
        <v>21520</v>
      </c>
      <c r="K38" s="213">
        <v>22120</v>
      </c>
      <c r="L38" s="214">
        <f t="shared" ref="L38:L44" si="1">AVERAGE(H38:K38)</f>
        <v>21987.5</v>
      </c>
      <c r="M38" s="214">
        <f>L38/Maps!$G$24/1000</f>
        <v>28.319899999999997</v>
      </c>
      <c r="N38" s="213">
        <f>M38/(Maps!$G$33/Maps!$F$33)</f>
        <v>27.365119726690562</v>
      </c>
    </row>
    <row r="39" spans="6:14">
      <c r="G39" s="23" t="s">
        <v>319</v>
      </c>
      <c r="H39" s="213">
        <v>3688.47</v>
      </c>
      <c r="I39" s="213">
        <v>5579.35</v>
      </c>
      <c r="J39" s="213">
        <v>3754.64</v>
      </c>
      <c r="K39" s="213">
        <v>3666.13</v>
      </c>
      <c r="L39" s="214">
        <f t="shared" si="1"/>
        <v>4172.1475</v>
      </c>
      <c r="M39" s="214">
        <f>L39/Maps!$G$24/1000</f>
        <v>5.3737259800000006</v>
      </c>
      <c r="N39" s="213">
        <f>M39/(Maps!$G$33/Maps!$F$33)</f>
        <v>5.1925555818038767</v>
      </c>
    </row>
    <row r="40" spans="6:14">
      <c r="G40" s="369" t="s">
        <v>332</v>
      </c>
      <c r="H40" s="217">
        <f>SUM(H38:H39)</f>
        <v>25578.47</v>
      </c>
      <c r="I40" s="217">
        <f t="shared" ref="I40:K40" si="2">SUM(I38:I39)</f>
        <v>27999.35</v>
      </c>
      <c r="J40" s="217">
        <f t="shared" si="2"/>
        <v>25274.639999999999</v>
      </c>
      <c r="K40" s="217">
        <f t="shared" si="2"/>
        <v>25786.13</v>
      </c>
      <c r="L40" s="218">
        <f t="shared" si="1"/>
        <v>26159.647499999999</v>
      </c>
      <c r="M40" s="218">
        <f>L40/Maps!$G$24/1000</f>
        <v>33.69362598</v>
      </c>
      <c r="N40" s="218">
        <f>M40/(Maps!$G$33/Maps!$F$33)</f>
        <v>32.557675308494439</v>
      </c>
    </row>
    <row r="41" spans="6:14">
      <c r="G41" s="23" t="s">
        <v>330</v>
      </c>
      <c r="H41" s="213">
        <v>2813.63</v>
      </c>
      <c r="I41" s="213">
        <v>3242.73</v>
      </c>
      <c r="J41" s="213">
        <v>2780.21</v>
      </c>
      <c r="K41" s="213">
        <v>2836.47</v>
      </c>
      <c r="L41" s="214">
        <f t="shared" si="1"/>
        <v>2918.2599999999998</v>
      </c>
      <c r="M41" s="214">
        <f>L41/Maps!$G$24/1000</f>
        <v>3.7587188799999995</v>
      </c>
      <c r="N41" s="213">
        <f>M41/(Maps!$G$33/Maps!$F$33)</f>
        <v>3.6319970116480729</v>
      </c>
    </row>
    <row r="42" spans="6:14">
      <c r="G42" s="23" t="s">
        <v>331</v>
      </c>
      <c r="H42" s="213">
        <v>7098.02</v>
      </c>
      <c r="I42" s="213">
        <v>9660.52</v>
      </c>
      <c r="J42" s="213">
        <v>7013.71</v>
      </c>
      <c r="K42" s="213">
        <v>8300.5499999999993</v>
      </c>
      <c r="L42" s="214">
        <f t="shared" si="1"/>
        <v>8018.2</v>
      </c>
      <c r="M42" s="214">
        <f>L42/Maps!$G$24/1000</f>
        <v>10.3274416</v>
      </c>
      <c r="N42" s="213">
        <f>M42/(Maps!$G$33/Maps!$F$33)</f>
        <v>9.9792610798203665</v>
      </c>
    </row>
    <row r="43" spans="6:14">
      <c r="G43" s="370" t="s">
        <v>325</v>
      </c>
      <c r="H43" s="217">
        <f>SUM(H41:H42)</f>
        <v>9911.6500000000015</v>
      </c>
      <c r="I43" s="217">
        <f>SUM(I41:I42)</f>
        <v>12903.25</v>
      </c>
      <c r="J43" s="217">
        <f>SUM(J41:J42)</f>
        <v>9793.92</v>
      </c>
      <c r="K43" s="217">
        <f>SUM(K41:K42)</f>
        <v>11137.019999999999</v>
      </c>
      <c r="L43" s="218">
        <f t="shared" si="1"/>
        <v>10936.46</v>
      </c>
      <c r="M43" s="218">
        <f>L43/Maps!$G$24/1000</f>
        <v>14.086160479999998</v>
      </c>
      <c r="N43" s="269">
        <f>M43/(Maps!$G$33/Maps!$F$33)</f>
        <v>13.611258091468438</v>
      </c>
    </row>
    <row r="44" spans="6:14">
      <c r="G44" s="118" t="s">
        <v>349</v>
      </c>
      <c r="H44" s="217">
        <f>H40+H43</f>
        <v>35490.120000000003</v>
      </c>
      <c r="I44" s="217">
        <f>I40+I43</f>
        <v>40902.6</v>
      </c>
      <c r="J44" s="217">
        <f>J40+J43</f>
        <v>35068.559999999998</v>
      </c>
      <c r="K44" s="217">
        <f>K40+K43</f>
        <v>36923.15</v>
      </c>
      <c r="L44" s="217">
        <f t="shared" si="1"/>
        <v>37096.107499999998</v>
      </c>
      <c r="M44" s="217">
        <f>L44/Maps!$G$24/1000</f>
        <v>47.779786459999997</v>
      </c>
      <c r="N44" s="218">
        <f>M44/(Maps!$G$33/Maps!$F$33)</f>
        <v>46.168933399962874</v>
      </c>
    </row>
    <row r="45" spans="6:14">
      <c r="M45" t="s">
        <v>333</v>
      </c>
    </row>
    <row r="47" spans="6:14" ht="30">
      <c r="G47" s="13" t="s">
        <v>336</v>
      </c>
      <c r="I47" s="13" t="s">
        <v>341</v>
      </c>
      <c r="J47" s="13" t="s">
        <v>342</v>
      </c>
    </row>
    <row r="48" spans="6:14">
      <c r="H48" t="s">
        <v>335</v>
      </c>
      <c r="I48" s="212">
        <v>0.68169999999999997</v>
      </c>
      <c r="J48" s="219">
        <v>0.18</v>
      </c>
    </row>
    <row r="49" spans="8:20">
      <c r="H49" t="s">
        <v>337</v>
      </c>
      <c r="I49" s="212">
        <v>0.7782</v>
      </c>
      <c r="J49" s="219">
        <v>0.18</v>
      </c>
    </row>
    <row r="50" spans="8:20">
      <c r="H50" t="s">
        <v>338</v>
      </c>
      <c r="I50" s="212">
        <v>0.85319999999999996</v>
      </c>
      <c r="J50" s="219">
        <v>0.18</v>
      </c>
    </row>
    <row r="51" spans="8:20">
      <c r="H51" t="s">
        <v>339</v>
      </c>
      <c r="I51" s="212">
        <v>0.93369999999999997</v>
      </c>
      <c r="J51" s="219">
        <v>0.18</v>
      </c>
    </row>
    <row r="52" spans="8:20">
      <c r="H52" t="s">
        <v>340</v>
      </c>
      <c r="I52" s="212">
        <v>0.98329999999999995</v>
      </c>
      <c r="J52" s="219">
        <v>0.18</v>
      </c>
    </row>
    <row r="53" spans="8:20">
      <c r="J53" s="123">
        <f>AVERAGE(J48:J52)</f>
        <v>0.18</v>
      </c>
    </row>
    <row r="61" spans="8:20">
      <c r="S61" s="47"/>
      <c r="T61" s="47"/>
    </row>
    <row r="62" spans="8:20">
      <c r="S62" s="47"/>
      <c r="T62" s="47"/>
    </row>
    <row r="63" spans="8:20">
      <c r="S63" s="47"/>
      <c r="T63" s="47"/>
    </row>
    <row r="64" spans="8:20">
      <c r="S64" s="47"/>
      <c r="T64" s="47"/>
    </row>
    <row r="65" spans="19:20">
      <c r="S65" s="47"/>
      <c r="T65" s="47"/>
    </row>
    <row r="66" spans="19:20">
      <c r="S66" s="48"/>
      <c r="T66" s="48"/>
    </row>
    <row r="67" spans="19:20">
      <c r="S67" s="48"/>
      <c r="T67" s="48"/>
    </row>
    <row r="68" spans="19:20">
      <c r="S68" s="47"/>
      <c r="T68" s="47"/>
    </row>
    <row r="69" spans="19:20">
      <c r="S69" s="47"/>
      <c r="T69" s="47"/>
    </row>
    <row r="70" spans="19:20">
      <c r="S70" s="47"/>
      <c r="T70" s="47"/>
    </row>
    <row r="71" spans="19:20">
      <c r="S71" s="47"/>
      <c r="T71" s="47"/>
    </row>
    <row r="72" spans="19:20">
      <c r="S72" s="47"/>
      <c r="T72" s="4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21"/>
  <sheetViews>
    <sheetView zoomScaleNormal="100" workbookViewId="0"/>
  </sheetViews>
  <sheetFormatPr defaultRowHeight="15"/>
  <cols>
    <col min="1" max="1" width="15.42578125" bestFit="1" customWidth="1"/>
    <col min="2" max="2" width="19" bestFit="1" customWidth="1"/>
    <col min="3" max="3" width="17.42578125" bestFit="1" customWidth="1"/>
    <col min="4" max="4" width="7.28515625" bestFit="1" customWidth="1"/>
    <col min="5" max="5" width="13.85546875" bestFit="1" customWidth="1"/>
  </cols>
  <sheetData>
    <row r="1" spans="1:5">
      <c r="A1" s="46" t="s">
        <v>0</v>
      </c>
      <c r="B1" s="46" t="s">
        <v>397</v>
      </c>
      <c r="C1" s="46" t="s">
        <v>178</v>
      </c>
      <c r="D1" s="46" t="s">
        <v>24</v>
      </c>
      <c r="E1" s="46" t="s">
        <v>203</v>
      </c>
    </row>
    <row r="2" spans="1:5">
      <c r="A2" s="46" t="s">
        <v>11</v>
      </c>
      <c r="B2" s="46" t="s">
        <v>398</v>
      </c>
      <c r="C2" s="46" t="s">
        <v>18</v>
      </c>
      <c r="D2" s="46">
        <v>2020</v>
      </c>
      <c r="E2" s="46">
        <v>0.58306818967242036</v>
      </c>
    </row>
    <row r="3" spans="1:5">
      <c r="A3" s="46" t="s">
        <v>11</v>
      </c>
      <c r="B3" s="46" t="s">
        <v>398</v>
      </c>
      <c r="C3" s="46" t="s">
        <v>19</v>
      </c>
      <c r="D3" s="46">
        <v>2020</v>
      </c>
      <c r="E3" s="46">
        <v>0.69053688959995951</v>
      </c>
    </row>
    <row r="4" spans="1:5">
      <c r="A4" s="46" t="s">
        <v>11</v>
      </c>
      <c r="B4" s="46" t="s">
        <v>398</v>
      </c>
      <c r="C4" s="46" t="s">
        <v>20</v>
      </c>
      <c r="D4" s="46">
        <v>2020</v>
      </c>
      <c r="E4" s="46">
        <v>0.32705279250715208</v>
      </c>
    </row>
    <row r="5" spans="1:5">
      <c r="A5" s="46" t="s">
        <v>11</v>
      </c>
      <c r="B5" s="46" t="s">
        <v>398</v>
      </c>
      <c r="C5" s="46" t="s">
        <v>21</v>
      </c>
      <c r="D5" s="46">
        <v>2020</v>
      </c>
      <c r="E5" s="46">
        <v>0.10520240557787922</v>
      </c>
    </row>
    <row r="6" spans="1:5">
      <c r="A6" s="46" t="s">
        <v>11</v>
      </c>
      <c r="B6" s="46" t="s">
        <v>398</v>
      </c>
      <c r="C6" s="46" t="s">
        <v>22</v>
      </c>
      <c r="D6" s="46">
        <v>2020</v>
      </c>
      <c r="E6" s="46">
        <v>7.1004707654646435E-2</v>
      </c>
    </row>
    <row r="7" spans="1:5">
      <c r="A7" s="46" t="s">
        <v>11</v>
      </c>
      <c r="B7" s="46" t="s">
        <v>398</v>
      </c>
      <c r="C7" s="46" t="s">
        <v>18</v>
      </c>
      <c r="D7" s="46">
        <v>2021</v>
      </c>
      <c r="E7" s="46">
        <v>0.58306818967242036</v>
      </c>
    </row>
    <row r="8" spans="1:5">
      <c r="A8" s="46" t="s">
        <v>11</v>
      </c>
      <c r="B8" s="46" t="s">
        <v>398</v>
      </c>
      <c r="C8" s="46" t="s">
        <v>19</v>
      </c>
      <c r="D8" s="46">
        <v>2021</v>
      </c>
      <c r="E8" s="46">
        <v>0.69053688959995951</v>
      </c>
    </row>
    <row r="9" spans="1:5">
      <c r="A9" s="46" t="s">
        <v>11</v>
      </c>
      <c r="B9" s="46" t="s">
        <v>398</v>
      </c>
      <c r="C9" s="46" t="s">
        <v>20</v>
      </c>
      <c r="D9" s="46">
        <v>2021</v>
      </c>
      <c r="E9" s="46">
        <v>0.32705279250715208</v>
      </c>
    </row>
    <row r="10" spans="1:5">
      <c r="A10" s="46" t="s">
        <v>11</v>
      </c>
      <c r="B10" s="46" t="s">
        <v>398</v>
      </c>
      <c r="C10" s="46" t="s">
        <v>21</v>
      </c>
      <c r="D10" s="46">
        <v>2021</v>
      </c>
      <c r="E10" s="46">
        <v>0.10520240557787922</v>
      </c>
    </row>
    <row r="11" spans="1:5">
      <c r="A11" s="46" t="s">
        <v>11</v>
      </c>
      <c r="B11" s="46" t="s">
        <v>398</v>
      </c>
      <c r="C11" s="46" t="s">
        <v>22</v>
      </c>
      <c r="D11" s="46">
        <v>2021</v>
      </c>
      <c r="E11" s="46">
        <v>7.1004707654646435E-2</v>
      </c>
    </row>
    <row r="12" spans="1:5">
      <c r="A12" s="46" t="s">
        <v>11</v>
      </c>
      <c r="B12" s="46" t="s">
        <v>398</v>
      </c>
      <c r="C12" s="46" t="s">
        <v>18</v>
      </c>
      <c r="D12" s="46">
        <v>2022</v>
      </c>
      <c r="E12" s="46">
        <v>0.58306818967242036</v>
      </c>
    </row>
    <row r="13" spans="1:5">
      <c r="A13" s="46" t="s">
        <v>11</v>
      </c>
      <c r="B13" s="46" t="s">
        <v>398</v>
      </c>
      <c r="C13" s="46" t="s">
        <v>19</v>
      </c>
      <c r="D13" s="46">
        <v>2022</v>
      </c>
      <c r="E13" s="46">
        <v>0.69053688959995951</v>
      </c>
    </row>
    <row r="14" spans="1:5">
      <c r="A14" s="46" t="s">
        <v>11</v>
      </c>
      <c r="B14" s="46" t="s">
        <v>398</v>
      </c>
      <c r="C14" s="46" t="s">
        <v>20</v>
      </c>
      <c r="D14" s="46">
        <v>2022</v>
      </c>
      <c r="E14" s="46">
        <v>0.32705279250715208</v>
      </c>
    </row>
    <row r="15" spans="1:5">
      <c r="A15" s="46" t="s">
        <v>11</v>
      </c>
      <c r="B15" s="46" t="s">
        <v>398</v>
      </c>
      <c r="C15" s="46" t="s">
        <v>21</v>
      </c>
      <c r="D15" s="46">
        <v>2022</v>
      </c>
      <c r="E15" s="46">
        <v>0.10520240557787922</v>
      </c>
    </row>
    <row r="16" spans="1:5">
      <c r="A16" s="46" t="s">
        <v>11</v>
      </c>
      <c r="B16" s="46" t="s">
        <v>398</v>
      </c>
      <c r="C16" s="46" t="s">
        <v>22</v>
      </c>
      <c r="D16" s="46">
        <v>2022</v>
      </c>
      <c r="E16" s="46">
        <v>7.1004707654646435E-2</v>
      </c>
    </row>
    <row r="17" spans="1:5">
      <c r="A17" s="46" t="s">
        <v>11</v>
      </c>
      <c r="B17" s="46" t="s">
        <v>398</v>
      </c>
      <c r="C17" s="46" t="s">
        <v>18</v>
      </c>
      <c r="D17" s="46">
        <v>2023</v>
      </c>
      <c r="E17" s="46">
        <v>0.58306818967242036</v>
      </c>
    </row>
    <row r="18" spans="1:5">
      <c r="A18" s="46" t="s">
        <v>11</v>
      </c>
      <c r="B18" s="46" t="s">
        <v>398</v>
      </c>
      <c r="C18" s="46" t="s">
        <v>19</v>
      </c>
      <c r="D18" s="46">
        <v>2023</v>
      </c>
      <c r="E18" s="46">
        <v>0.69053688959995951</v>
      </c>
    </row>
    <row r="19" spans="1:5">
      <c r="A19" s="46" t="s">
        <v>11</v>
      </c>
      <c r="B19" s="46" t="s">
        <v>398</v>
      </c>
      <c r="C19" s="46" t="s">
        <v>20</v>
      </c>
      <c r="D19" s="46">
        <v>2023</v>
      </c>
      <c r="E19" s="46">
        <v>0.32705279250715208</v>
      </c>
    </row>
    <row r="20" spans="1:5">
      <c r="A20" s="46" t="s">
        <v>11</v>
      </c>
      <c r="B20" s="46" t="s">
        <v>398</v>
      </c>
      <c r="C20" s="46" t="s">
        <v>21</v>
      </c>
      <c r="D20" s="46">
        <v>2023</v>
      </c>
      <c r="E20" s="46">
        <v>0.10520240557787922</v>
      </c>
    </row>
    <row r="21" spans="1:5">
      <c r="A21" s="46" t="s">
        <v>11</v>
      </c>
      <c r="B21" s="46" t="s">
        <v>398</v>
      </c>
      <c r="C21" s="46" t="s">
        <v>22</v>
      </c>
      <c r="D21" s="46">
        <v>2023</v>
      </c>
      <c r="E21" s="46">
        <v>7.1004707654646435E-2</v>
      </c>
    </row>
    <row r="22" spans="1:5">
      <c r="A22" s="46" t="s">
        <v>11</v>
      </c>
      <c r="B22" s="46" t="s">
        <v>398</v>
      </c>
      <c r="C22" s="46" t="s">
        <v>18</v>
      </c>
      <c r="D22" s="46">
        <v>2024</v>
      </c>
      <c r="E22" s="46">
        <v>0.58306818967242036</v>
      </c>
    </row>
    <row r="23" spans="1:5">
      <c r="A23" s="46" t="s">
        <v>11</v>
      </c>
      <c r="B23" s="46" t="s">
        <v>398</v>
      </c>
      <c r="C23" s="46" t="s">
        <v>19</v>
      </c>
      <c r="D23" s="46">
        <v>2024</v>
      </c>
      <c r="E23" s="46">
        <v>0.69053688959995951</v>
      </c>
    </row>
    <row r="24" spans="1:5">
      <c r="A24" s="46" t="s">
        <v>11</v>
      </c>
      <c r="B24" s="46" t="s">
        <v>398</v>
      </c>
      <c r="C24" s="46" t="s">
        <v>20</v>
      </c>
      <c r="D24" s="46">
        <v>2024</v>
      </c>
      <c r="E24" s="46">
        <v>0.32705279250715208</v>
      </c>
    </row>
    <row r="25" spans="1:5">
      <c r="A25" s="46" t="s">
        <v>11</v>
      </c>
      <c r="B25" s="46" t="s">
        <v>398</v>
      </c>
      <c r="C25" s="46" t="s">
        <v>21</v>
      </c>
      <c r="D25" s="46">
        <v>2024</v>
      </c>
      <c r="E25" s="46">
        <v>0.10520240557787922</v>
      </c>
    </row>
    <row r="26" spans="1:5">
      <c r="A26" s="46" t="s">
        <v>11</v>
      </c>
      <c r="B26" s="46" t="s">
        <v>398</v>
      </c>
      <c r="C26" s="46" t="s">
        <v>22</v>
      </c>
      <c r="D26" s="46">
        <v>2024</v>
      </c>
      <c r="E26" s="46">
        <v>7.1004707654646435E-2</v>
      </c>
    </row>
    <row r="27" spans="1:5">
      <c r="A27" s="46" t="s">
        <v>11</v>
      </c>
      <c r="B27" s="46" t="s">
        <v>398</v>
      </c>
      <c r="C27" s="46" t="s">
        <v>18</v>
      </c>
      <c r="D27" s="46">
        <v>2025</v>
      </c>
      <c r="E27" s="46">
        <v>0.58306818967242036</v>
      </c>
    </row>
    <row r="28" spans="1:5">
      <c r="A28" s="46" t="s">
        <v>11</v>
      </c>
      <c r="B28" s="46" t="s">
        <v>398</v>
      </c>
      <c r="C28" s="46" t="s">
        <v>19</v>
      </c>
      <c r="D28" s="46">
        <v>2025</v>
      </c>
      <c r="E28" s="46">
        <v>0.69053688959995951</v>
      </c>
    </row>
    <row r="29" spans="1:5">
      <c r="A29" s="46" t="s">
        <v>11</v>
      </c>
      <c r="B29" s="46" t="s">
        <v>398</v>
      </c>
      <c r="C29" s="46" t="s">
        <v>20</v>
      </c>
      <c r="D29" s="46">
        <v>2025</v>
      </c>
      <c r="E29" s="46">
        <v>0.32705279250715208</v>
      </c>
    </row>
    <row r="30" spans="1:5">
      <c r="A30" s="46" t="s">
        <v>11</v>
      </c>
      <c r="B30" s="46" t="s">
        <v>398</v>
      </c>
      <c r="C30" s="46" t="s">
        <v>21</v>
      </c>
      <c r="D30" s="46">
        <v>2025</v>
      </c>
      <c r="E30" s="46">
        <v>0.10520240557787922</v>
      </c>
    </row>
    <row r="31" spans="1:5">
      <c r="A31" s="46" t="s">
        <v>11</v>
      </c>
      <c r="B31" s="46" t="s">
        <v>398</v>
      </c>
      <c r="C31" s="46" t="s">
        <v>22</v>
      </c>
      <c r="D31" s="46">
        <v>2025</v>
      </c>
      <c r="E31" s="46">
        <v>7.1004707654646435E-2</v>
      </c>
    </row>
    <row r="32" spans="1:5">
      <c r="A32" s="46" t="s">
        <v>11</v>
      </c>
      <c r="B32" s="46" t="s">
        <v>398</v>
      </c>
      <c r="C32" s="46" t="s">
        <v>18</v>
      </c>
      <c r="D32" s="46">
        <v>2026</v>
      </c>
      <c r="E32" s="46">
        <v>0.58306818967242036</v>
      </c>
    </row>
    <row r="33" spans="1:5">
      <c r="A33" s="46" t="s">
        <v>11</v>
      </c>
      <c r="B33" s="46" t="s">
        <v>398</v>
      </c>
      <c r="C33" s="46" t="s">
        <v>19</v>
      </c>
      <c r="D33" s="46">
        <v>2026</v>
      </c>
      <c r="E33" s="46">
        <v>0.69053688959995951</v>
      </c>
    </row>
    <row r="34" spans="1:5">
      <c r="A34" s="46" t="s">
        <v>11</v>
      </c>
      <c r="B34" s="46" t="s">
        <v>398</v>
      </c>
      <c r="C34" s="46" t="s">
        <v>20</v>
      </c>
      <c r="D34" s="46">
        <v>2026</v>
      </c>
      <c r="E34" s="46">
        <v>0.32705279250715208</v>
      </c>
    </row>
    <row r="35" spans="1:5">
      <c r="A35" s="46" t="s">
        <v>11</v>
      </c>
      <c r="B35" s="46" t="s">
        <v>398</v>
      </c>
      <c r="C35" s="46" t="s">
        <v>21</v>
      </c>
      <c r="D35" s="46">
        <v>2026</v>
      </c>
      <c r="E35" s="46">
        <v>0.10520240557787922</v>
      </c>
    </row>
    <row r="36" spans="1:5">
      <c r="A36" s="46" t="s">
        <v>11</v>
      </c>
      <c r="B36" s="46" t="s">
        <v>398</v>
      </c>
      <c r="C36" s="46" t="s">
        <v>22</v>
      </c>
      <c r="D36" s="46">
        <v>2026</v>
      </c>
      <c r="E36" s="46">
        <v>7.1004707654646435E-2</v>
      </c>
    </row>
    <row r="37" spans="1:5">
      <c r="A37" s="46" t="s">
        <v>11</v>
      </c>
      <c r="B37" s="46" t="s">
        <v>398</v>
      </c>
      <c r="C37" s="46" t="s">
        <v>18</v>
      </c>
      <c r="D37" s="46">
        <v>2027</v>
      </c>
      <c r="E37" s="46">
        <v>0.58306818967242036</v>
      </c>
    </row>
    <row r="38" spans="1:5">
      <c r="A38" s="46" t="s">
        <v>11</v>
      </c>
      <c r="B38" s="46" t="s">
        <v>398</v>
      </c>
      <c r="C38" s="46" t="s">
        <v>19</v>
      </c>
      <c r="D38" s="46">
        <v>2027</v>
      </c>
      <c r="E38" s="46">
        <v>0.69053688959995951</v>
      </c>
    </row>
    <row r="39" spans="1:5">
      <c r="A39" s="46" t="s">
        <v>11</v>
      </c>
      <c r="B39" s="46" t="s">
        <v>398</v>
      </c>
      <c r="C39" s="46" t="s">
        <v>20</v>
      </c>
      <c r="D39" s="46">
        <v>2027</v>
      </c>
      <c r="E39" s="46">
        <v>0.32705279250715208</v>
      </c>
    </row>
    <row r="40" spans="1:5">
      <c r="A40" s="46" t="s">
        <v>11</v>
      </c>
      <c r="B40" s="46" t="s">
        <v>398</v>
      </c>
      <c r="C40" s="46" t="s">
        <v>21</v>
      </c>
      <c r="D40" s="46">
        <v>2027</v>
      </c>
      <c r="E40" s="46">
        <v>0.10520240557787922</v>
      </c>
    </row>
    <row r="41" spans="1:5">
      <c r="A41" s="46" t="s">
        <v>11</v>
      </c>
      <c r="B41" s="46" t="s">
        <v>398</v>
      </c>
      <c r="C41" s="46" t="s">
        <v>22</v>
      </c>
      <c r="D41" s="46">
        <v>2027</v>
      </c>
      <c r="E41" s="46">
        <v>7.1004707654646435E-2</v>
      </c>
    </row>
    <row r="42" spans="1:5">
      <c r="A42" s="46" t="s">
        <v>11</v>
      </c>
      <c r="B42" s="46" t="s">
        <v>398</v>
      </c>
      <c r="C42" s="46" t="s">
        <v>18</v>
      </c>
      <c r="D42" s="46">
        <v>2028</v>
      </c>
      <c r="E42" s="46">
        <v>0.58306818967242036</v>
      </c>
    </row>
    <row r="43" spans="1:5">
      <c r="A43" s="46" t="s">
        <v>11</v>
      </c>
      <c r="B43" s="46" t="s">
        <v>398</v>
      </c>
      <c r="C43" s="46" t="s">
        <v>19</v>
      </c>
      <c r="D43" s="46">
        <v>2028</v>
      </c>
      <c r="E43" s="46">
        <v>0.69053688959995951</v>
      </c>
    </row>
    <row r="44" spans="1:5">
      <c r="A44" s="46" t="s">
        <v>11</v>
      </c>
      <c r="B44" s="46" t="s">
        <v>398</v>
      </c>
      <c r="C44" s="46" t="s">
        <v>20</v>
      </c>
      <c r="D44" s="46">
        <v>2028</v>
      </c>
      <c r="E44" s="46">
        <v>0.32705279250715208</v>
      </c>
    </row>
    <row r="45" spans="1:5">
      <c r="A45" s="46" t="s">
        <v>11</v>
      </c>
      <c r="B45" s="46" t="s">
        <v>398</v>
      </c>
      <c r="C45" s="46" t="s">
        <v>21</v>
      </c>
      <c r="D45" s="46">
        <v>2028</v>
      </c>
      <c r="E45" s="46">
        <v>0.10520240557787922</v>
      </c>
    </row>
    <row r="46" spans="1:5">
      <c r="A46" s="46" t="s">
        <v>11</v>
      </c>
      <c r="B46" s="46" t="s">
        <v>398</v>
      </c>
      <c r="C46" s="46" t="s">
        <v>22</v>
      </c>
      <c r="D46" s="46">
        <v>2028</v>
      </c>
      <c r="E46" s="46">
        <v>7.1004707654646435E-2</v>
      </c>
    </row>
    <row r="47" spans="1:5">
      <c r="A47" s="46" t="s">
        <v>11</v>
      </c>
      <c r="B47" s="46" t="s">
        <v>398</v>
      </c>
      <c r="C47" s="46" t="s">
        <v>18</v>
      </c>
      <c r="D47" s="46">
        <v>2029</v>
      </c>
      <c r="E47" s="46">
        <v>0.58306818967242036</v>
      </c>
    </row>
    <row r="48" spans="1:5">
      <c r="A48" s="46" t="s">
        <v>11</v>
      </c>
      <c r="B48" s="46" t="s">
        <v>398</v>
      </c>
      <c r="C48" s="46" t="s">
        <v>19</v>
      </c>
      <c r="D48" s="46">
        <v>2029</v>
      </c>
      <c r="E48" s="46">
        <v>0.69053688959995951</v>
      </c>
    </row>
    <row r="49" spans="1:5">
      <c r="A49" s="46" t="s">
        <v>11</v>
      </c>
      <c r="B49" s="46" t="s">
        <v>398</v>
      </c>
      <c r="C49" s="46" t="s">
        <v>20</v>
      </c>
      <c r="D49" s="46">
        <v>2029</v>
      </c>
      <c r="E49" s="46">
        <v>0.32705279250715208</v>
      </c>
    </row>
    <row r="50" spans="1:5">
      <c r="A50" s="46" t="s">
        <v>11</v>
      </c>
      <c r="B50" s="46" t="s">
        <v>398</v>
      </c>
      <c r="C50" s="46" t="s">
        <v>21</v>
      </c>
      <c r="D50" s="46">
        <v>2029</v>
      </c>
      <c r="E50" s="46">
        <v>0.10520240557787922</v>
      </c>
    </row>
    <row r="51" spans="1:5">
      <c r="A51" s="46" t="s">
        <v>11</v>
      </c>
      <c r="B51" s="46" t="s">
        <v>398</v>
      </c>
      <c r="C51" s="46" t="s">
        <v>22</v>
      </c>
      <c r="D51" s="46">
        <v>2029</v>
      </c>
      <c r="E51" s="46">
        <v>7.1004707654646435E-2</v>
      </c>
    </row>
    <row r="52" spans="1:5">
      <c r="A52" s="46" t="s">
        <v>11</v>
      </c>
      <c r="B52" s="46" t="s">
        <v>398</v>
      </c>
      <c r="C52" s="46" t="s">
        <v>18</v>
      </c>
      <c r="D52" s="46">
        <v>2030</v>
      </c>
      <c r="E52" s="46">
        <v>0.58306818967242036</v>
      </c>
    </row>
    <row r="53" spans="1:5">
      <c r="A53" s="46" t="s">
        <v>11</v>
      </c>
      <c r="B53" s="46" t="s">
        <v>398</v>
      </c>
      <c r="C53" s="46" t="s">
        <v>19</v>
      </c>
      <c r="D53" s="46">
        <v>2030</v>
      </c>
      <c r="E53" s="46">
        <v>0.69053688959995951</v>
      </c>
    </row>
    <row r="54" spans="1:5">
      <c r="A54" s="46" t="s">
        <v>11</v>
      </c>
      <c r="B54" s="46" t="s">
        <v>398</v>
      </c>
      <c r="C54" s="46" t="s">
        <v>20</v>
      </c>
      <c r="D54" s="46">
        <v>2030</v>
      </c>
      <c r="E54" s="46">
        <v>0.32705279250715208</v>
      </c>
    </row>
    <row r="55" spans="1:5">
      <c r="A55" s="46" t="s">
        <v>11</v>
      </c>
      <c r="B55" s="46" t="s">
        <v>398</v>
      </c>
      <c r="C55" s="46" t="s">
        <v>21</v>
      </c>
      <c r="D55" s="46">
        <v>2030</v>
      </c>
      <c r="E55" s="46">
        <v>0.10520240557787922</v>
      </c>
    </row>
    <row r="56" spans="1:5">
      <c r="A56" s="46" t="s">
        <v>11</v>
      </c>
      <c r="B56" s="46" t="s">
        <v>398</v>
      </c>
      <c r="C56" s="46" t="s">
        <v>22</v>
      </c>
      <c r="D56" s="46">
        <v>2030</v>
      </c>
      <c r="E56" s="46">
        <v>7.1004707654646435E-2</v>
      </c>
    </row>
    <row r="57" spans="1:5">
      <c r="A57" s="46" t="s">
        <v>11</v>
      </c>
      <c r="B57" s="46" t="s">
        <v>398</v>
      </c>
      <c r="C57" s="46" t="s">
        <v>18</v>
      </c>
      <c r="D57" s="46">
        <v>2031</v>
      </c>
      <c r="E57" s="46">
        <v>0.58306818967242036</v>
      </c>
    </row>
    <row r="58" spans="1:5">
      <c r="A58" s="46" t="s">
        <v>11</v>
      </c>
      <c r="B58" s="46" t="s">
        <v>398</v>
      </c>
      <c r="C58" s="46" t="s">
        <v>19</v>
      </c>
      <c r="D58" s="46">
        <v>2031</v>
      </c>
      <c r="E58" s="46">
        <v>0.69053688959995951</v>
      </c>
    </row>
    <row r="59" spans="1:5">
      <c r="A59" s="46" t="s">
        <v>11</v>
      </c>
      <c r="B59" s="46" t="s">
        <v>398</v>
      </c>
      <c r="C59" s="46" t="s">
        <v>20</v>
      </c>
      <c r="D59" s="46">
        <v>2031</v>
      </c>
      <c r="E59" s="46">
        <v>0.32705279250715208</v>
      </c>
    </row>
    <row r="60" spans="1:5">
      <c r="A60" s="46" t="s">
        <v>11</v>
      </c>
      <c r="B60" s="46" t="s">
        <v>398</v>
      </c>
      <c r="C60" s="46" t="s">
        <v>21</v>
      </c>
      <c r="D60" s="46">
        <v>2031</v>
      </c>
      <c r="E60" s="46">
        <v>0.10520240557787922</v>
      </c>
    </row>
    <row r="61" spans="1:5">
      <c r="A61" s="46" t="s">
        <v>11</v>
      </c>
      <c r="B61" s="46" t="s">
        <v>398</v>
      </c>
      <c r="C61" s="46" t="s">
        <v>22</v>
      </c>
      <c r="D61" s="46">
        <v>2031</v>
      </c>
      <c r="E61" s="46">
        <v>7.1004707654646435E-2</v>
      </c>
    </row>
    <row r="62" spans="1:5">
      <c r="A62" s="46" t="s">
        <v>14</v>
      </c>
      <c r="B62" s="46" t="s">
        <v>398</v>
      </c>
      <c r="C62" s="46"/>
      <c r="D62" s="46">
        <v>2020</v>
      </c>
      <c r="E62" s="46">
        <v>9007.8700501135208</v>
      </c>
    </row>
    <row r="63" spans="1:5">
      <c r="A63" s="46" t="s">
        <v>14</v>
      </c>
      <c r="B63" s="46" t="s">
        <v>398</v>
      </c>
      <c r="C63" s="46"/>
      <c r="D63" s="46">
        <v>2021</v>
      </c>
      <c r="E63" s="46">
        <v>8528.718563444847</v>
      </c>
    </row>
    <row r="64" spans="1:5">
      <c r="A64" s="46" t="s">
        <v>14</v>
      </c>
      <c r="B64" s="46" t="s">
        <v>398</v>
      </c>
      <c r="C64" s="46"/>
      <c r="D64" s="46">
        <v>2022</v>
      </c>
      <c r="E64" s="46">
        <v>8610.9440295363202</v>
      </c>
    </row>
    <row r="65" spans="1:5">
      <c r="A65" s="46" t="s">
        <v>14</v>
      </c>
      <c r="B65" s="46" t="s">
        <v>398</v>
      </c>
      <c r="C65" s="46"/>
      <c r="D65" s="46">
        <v>2023</v>
      </c>
      <c r="E65" s="46">
        <v>8766.5489472902955</v>
      </c>
    </row>
    <row r="66" spans="1:5">
      <c r="A66" s="46" t="s">
        <v>14</v>
      </c>
      <c r="B66" s="46" t="s">
        <v>398</v>
      </c>
      <c r="C66" s="46"/>
      <c r="D66" s="46">
        <v>2024</v>
      </c>
      <c r="E66" s="46">
        <v>8824.0505710928865</v>
      </c>
    </row>
    <row r="67" spans="1:5">
      <c r="A67" s="46" t="s">
        <v>14</v>
      </c>
      <c r="B67" s="46" t="s">
        <v>398</v>
      </c>
      <c r="C67" s="46"/>
      <c r="D67" s="46">
        <v>2025</v>
      </c>
      <c r="E67" s="46">
        <v>8886.0583166953766</v>
      </c>
    </row>
    <row r="68" spans="1:5">
      <c r="A68" s="46" t="s">
        <v>14</v>
      </c>
      <c r="B68" s="46" t="s">
        <v>398</v>
      </c>
      <c r="C68" s="46"/>
      <c r="D68" s="46">
        <v>2026</v>
      </c>
      <c r="E68" s="46">
        <v>8947.2414232068622</v>
      </c>
    </row>
    <row r="69" spans="1:5">
      <c r="A69" s="46" t="s">
        <v>14</v>
      </c>
      <c r="B69" s="46" t="s">
        <v>398</v>
      </c>
      <c r="C69" s="46"/>
      <c r="D69" s="46">
        <v>2027</v>
      </c>
      <c r="E69" s="46">
        <v>9010.9322012355133</v>
      </c>
    </row>
    <row r="70" spans="1:5">
      <c r="A70" s="46" t="s">
        <v>14</v>
      </c>
      <c r="B70" s="46" t="s">
        <v>398</v>
      </c>
      <c r="C70" s="46"/>
      <c r="D70" s="46">
        <v>2028</v>
      </c>
      <c r="E70" s="46">
        <v>9077.4059206187048</v>
      </c>
    </row>
    <row r="71" spans="1:5">
      <c r="A71" s="46" t="s">
        <v>14</v>
      </c>
      <c r="B71" s="46" t="s">
        <v>398</v>
      </c>
      <c r="C71" s="46"/>
      <c r="D71" s="46">
        <v>2029</v>
      </c>
      <c r="E71" s="46">
        <v>9146.7841807908062</v>
      </c>
    </row>
    <row r="72" spans="1:5">
      <c r="A72" s="46" t="s">
        <v>14</v>
      </c>
      <c r="B72" s="46" t="s">
        <v>398</v>
      </c>
      <c r="C72" s="46"/>
      <c r="D72" s="46">
        <v>2030</v>
      </c>
      <c r="E72" s="46">
        <v>9219.1938944215526</v>
      </c>
    </row>
    <row r="73" spans="1:5">
      <c r="A73" s="46" t="s">
        <v>14</v>
      </c>
      <c r="B73" s="46" t="s">
        <v>398</v>
      </c>
      <c r="C73" s="46"/>
      <c r="D73" s="46">
        <v>2031</v>
      </c>
      <c r="E73" s="46">
        <v>9294.7675195756074</v>
      </c>
    </row>
    <row r="74" spans="1:5">
      <c r="A74" s="46" t="s">
        <v>12</v>
      </c>
      <c r="B74" s="46" t="s">
        <v>398</v>
      </c>
      <c r="C74" s="46"/>
      <c r="D74" s="46">
        <v>2020</v>
      </c>
      <c r="E74" s="46">
        <v>59592.089990114953</v>
      </c>
    </row>
    <row r="75" spans="1:5">
      <c r="A75" s="46" t="s">
        <v>12</v>
      </c>
      <c r="B75" s="46" t="s">
        <v>398</v>
      </c>
      <c r="C75" s="46"/>
      <c r="D75" s="46">
        <v>2021</v>
      </c>
      <c r="E75" s="46">
        <v>79986.501960962007</v>
      </c>
    </row>
    <row r="76" spans="1:5">
      <c r="A76" s="46" t="s">
        <v>12</v>
      </c>
      <c r="B76" s="46" t="s">
        <v>398</v>
      </c>
      <c r="C76" s="46"/>
      <c r="D76" s="46">
        <v>2022</v>
      </c>
      <c r="E76" s="46">
        <v>79986.501960962007</v>
      </c>
    </row>
    <row r="77" spans="1:5">
      <c r="A77" s="46" t="s">
        <v>12</v>
      </c>
      <c r="B77" s="46" t="s">
        <v>398</v>
      </c>
      <c r="C77" s="46"/>
      <c r="D77" s="46">
        <v>2023</v>
      </c>
      <c r="E77" s="46">
        <v>79986.501960962007</v>
      </c>
    </row>
    <row r="78" spans="1:5">
      <c r="A78" s="46" t="s">
        <v>12</v>
      </c>
      <c r="B78" s="46" t="s">
        <v>398</v>
      </c>
      <c r="C78" s="46"/>
      <c r="D78" s="46">
        <v>2024</v>
      </c>
      <c r="E78" s="46">
        <v>79986.501960962007</v>
      </c>
    </row>
    <row r="79" spans="1:5">
      <c r="A79" s="46" t="s">
        <v>12</v>
      </c>
      <c r="B79" s="46" t="s">
        <v>398</v>
      </c>
      <c r="C79" s="46"/>
      <c r="D79" s="46">
        <v>2025</v>
      </c>
      <c r="E79" s="46">
        <v>79986.501960962007</v>
      </c>
    </row>
    <row r="80" spans="1:5">
      <c r="A80" s="46" t="s">
        <v>12</v>
      </c>
      <c r="B80" s="46" t="s">
        <v>398</v>
      </c>
      <c r="C80" s="46"/>
      <c r="D80" s="46">
        <v>2026</v>
      </c>
      <c r="E80" s="46">
        <v>79986.501960962007</v>
      </c>
    </row>
    <row r="81" spans="1:5">
      <c r="A81" s="46" t="s">
        <v>12</v>
      </c>
      <c r="B81" s="46" t="s">
        <v>398</v>
      </c>
      <c r="C81" s="46"/>
      <c r="D81" s="46">
        <v>2027</v>
      </c>
      <c r="E81" s="46">
        <v>79986.501960962007</v>
      </c>
    </row>
    <row r="82" spans="1:5">
      <c r="A82" s="46" t="s">
        <v>12</v>
      </c>
      <c r="B82" s="46" t="s">
        <v>398</v>
      </c>
      <c r="C82" s="46"/>
      <c r="D82" s="46">
        <v>2028</v>
      </c>
      <c r="E82" s="46">
        <v>79986.501960962007</v>
      </c>
    </row>
    <row r="83" spans="1:5">
      <c r="A83" s="46" t="s">
        <v>12</v>
      </c>
      <c r="B83" s="46" t="s">
        <v>398</v>
      </c>
      <c r="C83" s="46"/>
      <c r="D83" s="46">
        <v>2029</v>
      </c>
      <c r="E83" s="46">
        <v>79986.501960962007</v>
      </c>
    </row>
    <row r="84" spans="1:5">
      <c r="A84" s="46" t="s">
        <v>12</v>
      </c>
      <c r="B84" s="46" t="s">
        <v>398</v>
      </c>
      <c r="C84" s="46"/>
      <c r="D84" s="46">
        <v>2030</v>
      </c>
      <c r="E84" s="46">
        <v>79986.501960962007</v>
      </c>
    </row>
    <row r="85" spans="1:5">
      <c r="A85" s="46" t="s">
        <v>12</v>
      </c>
      <c r="B85" s="46" t="s">
        <v>398</v>
      </c>
      <c r="C85" s="46"/>
      <c r="D85" s="46">
        <v>2031</v>
      </c>
      <c r="E85" s="46">
        <v>79986.501960962007</v>
      </c>
    </row>
    <row r="86" spans="1:5">
      <c r="A86" s="46" t="s">
        <v>13</v>
      </c>
      <c r="B86" s="46" t="s">
        <v>398</v>
      </c>
      <c r="C86" s="46"/>
      <c r="D86" s="46">
        <v>2020</v>
      </c>
      <c r="E86" s="46">
        <v>38069.344910972985</v>
      </c>
    </row>
    <row r="87" spans="1:5">
      <c r="A87" s="46" t="s">
        <v>13</v>
      </c>
      <c r="B87" s="46" t="s">
        <v>398</v>
      </c>
      <c r="C87" s="46"/>
      <c r="D87" s="46">
        <v>2021</v>
      </c>
      <c r="E87" s="46">
        <v>55009.66394364454</v>
      </c>
    </row>
    <row r="88" spans="1:5">
      <c r="A88" s="46" t="s">
        <v>13</v>
      </c>
      <c r="B88" s="46" t="s">
        <v>398</v>
      </c>
      <c r="C88" s="46"/>
      <c r="D88" s="46">
        <v>2022</v>
      </c>
      <c r="E88" s="46">
        <v>55009.66394364454</v>
      </c>
    </row>
    <row r="89" spans="1:5">
      <c r="A89" s="46" t="s">
        <v>13</v>
      </c>
      <c r="B89" s="46" t="s">
        <v>398</v>
      </c>
      <c r="C89" s="46"/>
      <c r="D89" s="46">
        <v>2023</v>
      </c>
      <c r="E89" s="46">
        <v>55009.66394364454</v>
      </c>
    </row>
    <row r="90" spans="1:5">
      <c r="A90" s="46" t="s">
        <v>13</v>
      </c>
      <c r="B90" s="46" t="s">
        <v>398</v>
      </c>
      <c r="C90" s="46"/>
      <c r="D90" s="46">
        <v>2024</v>
      </c>
      <c r="E90" s="46">
        <v>55009.66394364454</v>
      </c>
    </row>
    <row r="91" spans="1:5">
      <c r="A91" s="46" t="s">
        <v>13</v>
      </c>
      <c r="B91" s="46" t="s">
        <v>398</v>
      </c>
      <c r="C91" s="46"/>
      <c r="D91" s="46">
        <v>2025</v>
      </c>
      <c r="E91" s="46">
        <v>55009.66394364454</v>
      </c>
    </row>
    <row r="92" spans="1:5">
      <c r="A92" s="46" t="s">
        <v>13</v>
      </c>
      <c r="B92" s="46" t="s">
        <v>398</v>
      </c>
      <c r="C92" s="46"/>
      <c r="D92" s="46">
        <v>2026</v>
      </c>
      <c r="E92" s="46">
        <v>55009.66394364454</v>
      </c>
    </row>
    <row r="93" spans="1:5">
      <c r="A93" s="46" t="s">
        <v>13</v>
      </c>
      <c r="B93" s="46" t="s">
        <v>398</v>
      </c>
      <c r="C93" s="46"/>
      <c r="D93" s="46">
        <v>2027</v>
      </c>
      <c r="E93" s="46">
        <v>55009.66394364454</v>
      </c>
    </row>
    <row r="94" spans="1:5">
      <c r="A94" s="46" t="s">
        <v>13</v>
      </c>
      <c r="B94" s="46" t="s">
        <v>398</v>
      </c>
      <c r="C94" s="46"/>
      <c r="D94" s="46">
        <v>2028</v>
      </c>
      <c r="E94" s="46">
        <v>55009.66394364454</v>
      </c>
    </row>
    <row r="95" spans="1:5">
      <c r="A95" s="46" t="s">
        <v>13</v>
      </c>
      <c r="B95" s="46" t="s">
        <v>398</v>
      </c>
      <c r="C95" s="46"/>
      <c r="D95" s="46">
        <v>2029</v>
      </c>
      <c r="E95" s="46">
        <v>55009.66394364454</v>
      </c>
    </row>
    <row r="96" spans="1:5">
      <c r="A96" s="46" t="s">
        <v>13</v>
      </c>
      <c r="B96" s="46" t="s">
        <v>398</v>
      </c>
      <c r="C96" s="46"/>
      <c r="D96" s="46">
        <v>2030</v>
      </c>
      <c r="E96" s="46">
        <v>55009.66394364454</v>
      </c>
    </row>
    <row r="97" spans="1:5">
      <c r="A97" s="46" t="s">
        <v>13</v>
      </c>
      <c r="B97" s="46" t="s">
        <v>398</v>
      </c>
      <c r="C97" s="46"/>
      <c r="D97" s="46">
        <v>2031</v>
      </c>
      <c r="E97" s="46">
        <v>55009.66394364454</v>
      </c>
    </row>
    <row r="98" spans="1:5">
      <c r="A98" s="46" t="s">
        <v>15</v>
      </c>
      <c r="B98" s="46" t="s">
        <v>398</v>
      </c>
      <c r="C98" s="46"/>
      <c r="D98" s="46">
        <v>2020</v>
      </c>
      <c r="E98" s="46">
        <v>13611.258091468437</v>
      </c>
    </row>
    <row r="99" spans="1:5">
      <c r="A99" s="46" t="s">
        <v>15</v>
      </c>
      <c r="B99" s="46" t="s">
        <v>398</v>
      </c>
      <c r="C99" s="46"/>
      <c r="D99" s="46">
        <v>2021</v>
      </c>
      <c r="E99" s="46">
        <v>13611.258091468437</v>
      </c>
    </row>
    <row r="100" spans="1:5">
      <c r="A100" s="46" t="s">
        <v>15</v>
      </c>
      <c r="B100" s="46" t="s">
        <v>398</v>
      </c>
      <c r="C100" s="46"/>
      <c r="D100" s="46">
        <v>2022</v>
      </c>
      <c r="E100" s="46">
        <v>13611.258091468437</v>
      </c>
    </row>
    <row r="101" spans="1:5">
      <c r="A101" s="46" t="s">
        <v>15</v>
      </c>
      <c r="B101" s="46" t="s">
        <v>398</v>
      </c>
      <c r="C101" s="46"/>
      <c r="D101" s="46">
        <v>2023</v>
      </c>
      <c r="E101" s="46">
        <v>13611.258091468437</v>
      </c>
    </row>
    <row r="102" spans="1:5">
      <c r="A102" s="46" t="s">
        <v>15</v>
      </c>
      <c r="B102" s="46" t="s">
        <v>398</v>
      </c>
      <c r="C102" s="46"/>
      <c r="D102" s="46">
        <v>2024</v>
      </c>
      <c r="E102" s="46">
        <v>13611.258091468437</v>
      </c>
    </row>
    <row r="103" spans="1:5">
      <c r="A103" s="46" t="s">
        <v>15</v>
      </c>
      <c r="B103" s="46" t="s">
        <v>398</v>
      </c>
      <c r="C103" s="46"/>
      <c r="D103" s="46">
        <v>2025</v>
      </c>
      <c r="E103" s="46">
        <v>13611.258091468437</v>
      </c>
    </row>
    <row r="104" spans="1:5">
      <c r="A104" s="46" t="s">
        <v>15</v>
      </c>
      <c r="B104" s="46" t="s">
        <v>398</v>
      </c>
      <c r="C104" s="46"/>
      <c r="D104" s="46">
        <v>2026</v>
      </c>
      <c r="E104" s="46">
        <v>13611.258091468437</v>
      </c>
    </row>
    <row r="105" spans="1:5">
      <c r="A105" s="46" t="s">
        <v>15</v>
      </c>
      <c r="B105" s="46" t="s">
        <v>398</v>
      </c>
      <c r="C105" s="46"/>
      <c r="D105" s="46">
        <v>2027</v>
      </c>
      <c r="E105" s="46">
        <v>13611.258091468437</v>
      </c>
    </row>
    <row r="106" spans="1:5">
      <c r="A106" s="46" t="s">
        <v>15</v>
      </c>
      <c r="B106" s="46" t="s">
        <v>398</v>
      </c>
      <c r="C106" s="46"/>
      <c r="D106" s="46">
        <v>2028</v>
      </c>
      <c r="E106" s="46">
        <v>13611.258091468437</v>
      </c>
    </row>
    <row r="107" spans="1:5">
      <c r="A107" s="46" t="s">
        <v>15</v>
      </c>
      <c r="B107" s="46" t="s">
        <v>398</v>
      </c>
      <c r="C107" s="46"/>
      <c r="D107" s="46">
        <v>2029</v>
      </c>
      <c r="E107" s="46">
        <v>13611.258091468437</v>
      </c>
    </row>
    <row r="108" spans="1:5">
      <c r="A108" s="46" t="s">
        <v>15</v>
      </c>
      <c r="B108" s="46" t="s">
        <v>398</v>
      </c>
      <c r="C108" s="46"/>
      <c r="D108" s="46">
        <v>2030</v>
      </c>
      <c r="E108" s="46">
        <v>13611.258091468437</v>
      </c>
    </row>
    <row r="109" spans="1:5">
      <c r="A109" s="46" t="s">
        <v>15</v>
      </c>
      <c r="B109" s="46" t="s">
        <v>398</v>
      </c>
      <c r="C109" s="46"/>
      <c r="D109" s="46">
        <v>2031</v>
      </c>
      <c r="E109" s="46">
        <v>13611.258091468437</v>
      </c>
    </row>
    <row r="110" spans="1:5">
      <c r="A110" s="46" t="s">
        <v>16</v>
      </c>
      <c r="B110" s="46" t="s">
        <v>398</v>
      </c>
      <c r="C110" s="46"/>
      <c r="D110" s="46">
        <v>2020</v>
      </c>
      <c r="E110" s="46">
        <v>5465.7522708938604</v>
      </c>
    </row>
    <row r="111" spans="1:5">
      <c r="A111" s="46" t="s">
        <v>16</v>
      </c>
      <c r="B111" s="46" t="s">
        <v>398</v>
      </c>
      <c r="C111" s="46"/>
      <c r="D111" s="46">
        <v>2021</v>
      </c>
      <c r="E111" s="46">
        <v>3740.8069188866439</v>
      </c>
    </row>
    <row r="112" spans="1:5">
      <c r="A112" s="46" t="s">
        <v>16</v>
      </c>
      <c r="B112" s="46" t="s">
        <v>398</v>
      </c>
      <c r="C112" s="46"/>
      <c r="D112" s="46">
        <v>2022</v>
      </c>
      <c r="E112" s="46">
        <v>4036.8185968159355</v>
      </c>
    </row>
    <row r="113" spans="1:5">
      <c r="A113" s="46" t="s">
        <v>16</v>
      </c>
      <c r="B113" s="46" t="s">
        <v>398</v>
      </c>
      <c r="C113" s="46"/>
      <c r="D113" s="46">
        <v>2023</v>
      </c>
      <c r="E113" s="46">
        <v>4596.9963007302558</v>
      </c>
    </row>
    <row r="114" spans="1:5">
      <c r="A114" s="46" t="s">
        <v>16</v>
      </c>
      <c r="B114" s="46" t="s">
        <v>398</v>
      </c>
      <c r="C114" s="46"/>
      <c r="D114" s="46">
        <v>2024</v>
      </c>
      <c r="E114" s="46">
        <v>4804.0021464195815</v>
      </c>
    </row>
    <row r="115" spans="1:5">
      <c r="A115" s="46" t="s">
        <v>16</v>
      </c>
      <c r="B115" s="46" t="s">
        <v>398</v>
      </c>
      <c r="C115" s="46"/>
      <c r="D115" s="46">
        <v>2025</v>
      </c>
      <c r="E115" s="46">
        <v>5027.2300305885401</v>
      </c>
    </row>
    <row r="116" spans="1:5">
      <c r="A116" s="46" t="s">
        <v>16</v>
      </c>
      <c r="B116" s="46" t="s">
        <v>398</v>
      </c>
      <c r="C116" s="46"/>
      <c r="D116" s="46">
        <v>2026</v>
      </c>
      <c r="E116" s="46">
        <v>5247.4892140298907</v>
      </c>
    </row>
    <row r="117" spans="1:5">
      <c r="A117" s="46" t="s">
        <v>16</v>
      </c>
      <c r="B117" s="46" t="s">
        <v>398</v>
      </c>
      <c r="C117" s="46"/>
      <c r="D117" s="46">
        <v>2027</v>
      </c>
      <c r="E117" s="46">
        <v>5476.7760149330388</v>
      </c>
    </row>
    <row r="118" spans="1:5">
      <c r="A118" s="46" t="s">
        <v>16</v>
      </c>
      <c r="B118" s="46" t="s">
        <v>398</v>
      </c>
      <c r="C118" s="46"/>
      <c r="D118" s="46">
        <v>2028</v>
      </c>
      <c r="E118" s="46">
        <v>5716.0814047125277</v>
      </c>
    </row>
    <row r="119" spans="1:5">
      <c r="A119" s="46" t="s">
        <v>16</v>
      </c>
      <c r="B119" s="46" t="s">
        <v>398</v>
      </c>
      <c r="C119" s="46"/>
      <c r="D119" s="46">
        <v>2029</v>
      </c>
      <c r="E119" s="46">
        <v>5965.8431413320868</v>
      </c>
    </row>
    <row r="120" spans="1:5">
      <c r="A120" s="46" t="s">
        <v>16</v>
      </c>
      <c r="B120" s="46" t="s">
        <v>398</v>
      </c>
      <c r="C120" s="46"/>
      <c r="D120" s="46">
        <v>2030</v>
      </c>
      <c r="E120" s="46">
        <v>6226.518110402777</v>
      </c>
    </row>
    <row r="121" spans="1:5">
      <c r="A121" s="46" t="s">
        <v>16</v>
      </c>
      <c r="B121" s="46" t="s">
        <v>398</v>
      </c>
      <c r="C121" s="46"/>
      <c r="D121" s="46">
        <v>2031</v>
      </c>
      <c r="E121" s="46">
        <v>6498.5831609573797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Normal="100" workbookViewId="0"/>
  </sheetViews>
  <sheetFormatPr defaultRowHeight="15"/>
  <cols>
    <col min="1" max="1" width="15.140625" customWidth="1"/>
    <col min="2" max="2" width="23.28515625" customWidth="1"/>
    <col min="3" max="3" width="17.5703125" customWidth="1"/>
    <col min="5" max="5" width="23.28515625" customWidth="1"/>
    <col min="6" max="6" width="24.28515625" customWidth="1"/>
  </cols>
  <sheetData>
    <row r="1" spans="1:9">
      <c r="A1" s="1" t="s">
        <v>0</v>
      </c>
      <c r="B1" s="1" t="s">
        <v>1</v>
      </c>
      <c r="C1" s="1" t="s">
        <v>2</v>
      </c>
      <c r="E1" s="4" t="s">
        <v>1</v>
      </c>
      <c r="F1" s="4" t="s">
        <v>178</v>
      </c>
    </row>
    <row r="2" spans="1:9">
      <c r="A2" t="s">
        <v>6</v>
      </c>
      <c r="B2" t="s">
        <v>7</v>
      </c>
      <c r="C2" t="s">
        <v>5</v>
      </c>
      <c r="E2" s="2" t="s">
        <v>4</v>
      </c>
      <c r="F2" t="s">
        <v>18</v>
      </c>
      <c r="I2" s="1"/>
    </row>
    <row r="3" spans="1:9">
      <c r="A3" t="s">
        <v>8</v>
      </c>
      <c r="B3" t="s">
        <v>7</v>
      </c>
      <c r="C3" t="s">
        <v>5</v>
      </c>
      <c r="E3" s="2" t="s">
        <v>4</v>
      </c>
      <c r="F3" t="s">
        <v>19</v>
      </c>
      <c r="I3" s="165"/>
    </row>
    <row r="4" spans="1:9">
      <c r="A4" t="s">
        <v>9</v>
      </c>
      <c r="B4" t="s">
        <v>7</v>
      </c>
      <c r="C4" t="s">
        <v>5</v>
      </c>
      <c r="E4" s="2" t="s">
        <v>4</v>
      </c>
      <c r="F4" t="s">
        <v>20</v>
      </c>
      <c r="I4" s="165"/>
    </row>
    <row r="5" spans="1:9">
      <c r="A5" t="s">
        <v>10</v>
      </c>
      <c r="B5" t="s">
        <v>7</v>
      </c>
      <c r="C5" t="s">
        <v>5</v>
      </c>
      <c r="E5" s="2" t="s">
        <v>4</v>
      </c>
      <c r="F5" t="s">
        <v>21</v>
      </c>
    </row>
    <row r="6" spans="1:9">
      <c r="A6" t="s">
        <v>12</v>
      </c>
      <c r="B6" t="s">
        <v>7</v>
      </c>
      <c r="C6" t="s">
        <v>5</v>
      </c>
      <c r="E6" s="2" t="s">
        <v>4</v>
      </c>
      <c r="F6" t="s">
        <v>22</v>
      </c>
    </row>
    <row r="7" spans="1:9">
      <c r="A7" t="s">
        <v>13</v>
      </c>
      <c r="B7" t="s">
        <v>7</v>
      </c>
      <c r="C7" t="s">
        <v>5</v>
      </c>
    </row>
    <row r="8" spans="1:9">
      <c r="A8" t="s">
        <v>14</v>
      </c>
      <c r="B8" t="s">
        <v>7</v>
      </c>
      <c r="C8" t="s">
        <v>5</v>
      </c>
    </row>
    <row r="9" spans="1:9">
      <c r="A9" t="s">
        <v>15</v>
      </c>
      <c r="B9" t="s">
        <v>7</v>
      </c>
      <c r="C9" t="s">
        <v>5</v>
      </c>
    </row>
    <row r="10" spans="1:9">
      <c r="A10" t="s">
        <v>16</v>
      </c>
      <c r="B10" t="s">
        <v>7</v>
      </c>
      <c r="C10" t="s">
        <v>5</v>
      </c>
    </row>
    <row r="11" spans="1:9">
      <c r="A11" s="55" t="s">
        <v>3</v>
      </c>
      <c r="B11" s="56" t="s">
        <v>4</v>
      </c>
      <c r="C11" s="57" t="s">
        <v>5</v>
      </c>
    </row>
    <row r="12" spans="1:9">
      <c r="A12" s="55" t="s">
        <v>17</v>
      </c>
      <c r="B12" s="56" t="s">
        <v>4</v>
      </c>
      <c r="C12" s="57" t="s">
        <v>5</v>
      </c>
    </row>
    <row r="13" spans="1:9">
      <c r="A13" s="55" t="s">
        <v>11</v>
      </c>
      <c r="B13" s="56" t="s">
        <v>4</v>
      </c>
      <c r="C13" s="57" t="s">
        <v>5</v>
      </c>
    </row>
    <row r="16" spans="1:9" ht="30">
      <c r="A16" s="13" t="s">
        <v>383</v>
      </c>
      <c r="B16" t="s">
        <v>444</v>
      </c>
    </row>
    <row r="17" spans="1:8">
      <c r="A17" s="384" t="s">
        <v>27</v>
      </c>
      <c r="B17" s="384"/>
      <c r="C17" s="384"/>
      <c r="D17" s="384"/>
      <c r="E17" s="384"/>
      <c r="F17" s="31"/>
      <c r="G17" s="31"/>
    </row>
    <row r="18" spans="1:8">
      <c r="A18" s="380" t="s">
        <v>146</v>
      </c>
      <c r="B18" s="380"/>
      <c r="C18" s="380"/>
      <c r="D18" s="380"/>
      <c r="E18" s="380"/>
      <c r="F18" s="31"/>
      <c r="G18" s="31"/>
    </row>
    <row r="19" spans="1:8">
      <c r="A19" s="381" t="s">
        <v>147</v>
      </c>
      <c r="B19" s="32" t="s">
        <v>148</v>
      </c>
      <c r="C19" s="32" t="s">
        <v>149</v>
      </c>
      <c r="D19" s="382" t="s">
        <v>150</v>
      </c>
      <c r="E19" s="383" t="s">
        <v>151</v>
      </c>
      <c r="F19" s="31"/>
      <c r="G19" s="31"/>
    </row>
    <row r="20" spans="1:8" ht="30.75" customHeight="1">
      <c r="A20" s="381"/>
      <c r="B20" s="32" t="s">
        <v>152</v>
      </c>
      <c r="C20" s="32" t="s">
        <v>153</v>
      </c>
      <c r="D20" s="382"/>
      <c r="E20" s="383"/>
      <c r="F20" s="31"/>
      <c r="G20" s="31"/>
    </row>
    <row r="21" spans="1:8">
      <c r="A21" s="33" t="s">
        <v>154</v>
      </c>
      <c r="B21" s="34">
        <v>1</v>
      </c>
      <c r="C21" s="35">
        <v>1.411</v>
      </c>
      <c r="D21" s="36">
        <v>8.5</v>
      </c>
      <c r="E21" s="33">
        <v>0.98319999999999996</v>
      </c>
      <c r="F21" s="31"/>
      <c r="G21" s="31">
        <f>1/C21</f>
        <v>0.7087172218284904</v>
      </c>
    </row>
    <row r="22" spans="1:8">
      <c r="A22" s="33" t="s">
        <v>155</v>
      </c>
      <c r="B22" s="34">
        <v>1</v>
      </c>
      <c r="C22" s="35">
        <v>1.21</v>
      </c>
      <c r="D22" s="36">
        <v>7.45</v>
      </c>
      <c r="E22" s="33">
        <v>0.9879</v>
      </c>
      <c r="F22" s="31"/>
      <c r="G22" s="31">
        <f>1/C22</f>
        <v>0.82644628099173556</v>
      </c>
    </row>
    <row r="23" spans="1:8">
      <c r="A23" s="33" t="s">
        <v>156</v>
      </c>
      <c r="B23" s="34">
        <v>1</v>
      </c>
      <c r="C23" s="35">
        <v>1.2849999999999999</v>
      </c>
      <c r="D23" s="36">
        <v>7.9</v>
      </c>
      <c r="E23" s="33">
        <v>0.98640000000000005</v>
      </c>
      <c r="F23" s="31"/>
      <c r="G23" s="31"/>
    </row>
    <row r="24" spans="1:8">
      <c r="A24" s="33" t="s">
        <v>15</v>
      </c>
      <c r="B24" s="34">
        <v>1</v>
      </c>
      <c r="C24" s="35">
        <v>1.288</v>
      </c>
      <c r="D24" s="36">
        <v>8.1</v>
      </c>
      <c r="E24" s="33">
        <v>0.98619999999999997</v>
      </c>
      <c r="F24" s="31"/>
      <c r="G24" s="31">
        <f>1/C24</f>
        <v>0.77639751552795033</v>
      </c>
    </row>
    <row r="25" spans="1:8">
      <c r="A25" s="33" t="s">
        <v>157</v>
      </c>
      <c r="B25" s="34">
        <v>1</v>
      </c>
      <c r="C25" s="35">
        <v>1.1719999999999999</v>
      </c>
      <c r="D25" s="36">
        <v>7.37</v>
      </c>
      <c r="E25" s="33">
        <v>0.98770000000000002</v>
      </c>
      <c r="F25" s="31"/>
      <c r="G25" s="31"/>
    </row>
    <row r="26" spans="1:8">
      <c r="A26" s="33" t="s">
        <v>158</v>
      </c>
      <c r="B26" s="34">
        <v>1</v>
      </c>
      <c r="C26" s="35">
        <v>1.071</v>
      </c>
      <c r="D26" s="36">
        <v>6.74</v>
      </c>
      <c r="E26" s="33">
        <v>0.9899</v>
      </c>
      <c r="F26" s="31"/>
      <c r="G26" s="31"/>
    </row>
    <row r="27" spans="1:8">
      <c r="A27" s="33" t="s">
        <v>159</v>
      </c>
      <c r="B27" s="34">
        <v>1</v>
      </c>
      <c r="C27" s="35">
        <v>1.17</v>
      </c>
      <c r="D27" s="36">
        <v>7.33</v>
      </c>
      <c r="E27" s="33"/>
      <c r="F27" s="31"/>
      <c r="G27" s="31"/>
    </row>
    <row r="28" spans="1:8">
      <c r="A28" s="37" t="s">
        <v>499</v>
      </c>
      <c r="B28" s="38"/>
      <c r="C28" s="39"/>
      <c r="D28" s="40"/>
      <c r="E28" s="41"/>
      <c r="F28" s="31"/>
      <c r="G28" s="31"/>
    </row>
    <row r="29" spans="1:8">
      <c r="A29" s="37" t="s">
        <v>160</v>
      </c>
      <c r="B29" s="38"/>
      <c r="C29" s="39"/>
      <c r="D29" s="40"/>
      <c r="E29" s="41"/>
      <c r="F29" s="31"/>
      <c r="G29" s="31"/>
    </row>
    <row r="30" spans="1:8" ht="15.75" customHeight="1"/>
    <row r="31" spans="1:8">
      <c r="A31" s="268" t="s">
        <v>386</v>
      </c>
    </row>
    <row r="32" spans="1:8">
      <c r="A32" s="206"/>
      <c r="B32" s="206" t="s">
        <v>423</v>
      </c>
      <c r="C32" s="206" t="s">
        <v>387</v>
      </c>
      <c r="D32" s="206" t="s">
        <v>388</v>
      </c>
      <c r="E32" s="206" t="s">
        <v>389</v>
      </c>
      <c r="F32" s="206" t="s">
        <v>390</v>
      </c>
      <c r="G32" s="206" t="s">
        <v>391</v>
      </c>
      <c r="H32" s="206" t="s">
        <v>385</v>
      </c>
    </row>
    <row r="33" spans="1:8" ht="45">
      <c r="A33" s="23" t="s">
        <v>498</v>
      </c>
      <c r="B33" s="22">
        <v>228.28526963402925</v>
      </c>
      <c r="C33" s="22">
        <v>237.17194257563904</v>
      </c>
      <c r="D33" s="22">
        <v>245.90596632523025</v>
      </c>
      <c r="E33" s="22">
        <v>254.65958996483329</v>
      </c>
      <c r="F33" s="22">
        <v>265.04497323089169</v>
      </c>
      <c r="G33" s="22">
        <v>274.29250127053189</v>
      </c>
      <c r="H33" s="22">
        <v>284.3670778109306</v>
      </c>
    </row>
  </sheetData>
  <mergeCells count="5">
    <mergeCell ref="A18:E18"/>
    <mergeCell ref="A19:A20"/>
    <mergeCell ref="D19:D20"/>
    <mergeCell ref="E19:E20"/>
    <mergeCell ref="A17:E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0"/>
  <sheetViews>
    <sheetView zoomScaleNormal="100" workbookViewId="0"/>
  </sheetViews>
  <sheetFormatPr defaultColWidth="12.85546875" defaultRowHeight="15"/>
  <cols>
    <col min="1" max="2" width="12.85546875" style="222"/>
    <col min="3" max="4" width="12.85546875" style="7"/>
    <col min="5" max="5" width="12.85546875" style="222"/>
    <col min="6" max="7" width="12.85546875" style="7"/>
    <col min="8" max="8" width="12.85546875" style="222"/>
    <col min="9" max="10" width="12.85546875" style="7"/>
    <col min="11" max="11" width="12.85546875" style="222"/>
    <col min="12" max="13" width="12.85546875" style="7"/>
    <col min="14" max="14" width="12.85546875" style="222"/>
    <col min="15" max="27" width="12.85546875" style="7"/>
    <col min="28" max="28" width="39.42578125" style="10" customWidth="1"/>
    <col min="29" max="16384" width="12.85546875" style="7"/>
  </cols>
  <sheetData>
    <row r="1" spans="1:35" ht="39" customHeight="1" thickBot="1">
      <c r="A1" s="223" t="s">
        <v>501</v>
      </c>
    </row>
    <row r="2" spans="1:35" ht="45">
      <c r="A2" s="278"/>
      <c r="B2" s="385" t="s">
        <v>36</v>
      </c>
      <c r="C2" s="386"/>
      <c r="D2" s="280"/>
      <c r="E2" s="387" t="s">
        <v>39</v>
      </c>
      <c r="F2" s="388"/>
      <c r="G2" s="389"/>
      <c r="H2" s="392" t="s">
        <v>381</v>
      </c>
      <c r="I2" s="388"/>
      <c r="J2" s="389"/>
      <c r="K2" s="392" t="s">
        <v>380</v>
      </c>
      <c r="L2" s="388"/>
      <c r="M2" s="389"/>
      <c r="N2" s="392" t="s">
        <v>379</v>
      </c>
      <c r="O2" s="388"/>
      <c r="P2" s="389"/>
      <c r="Q2" s="390" t="s">
        <v>42</v>
      </c>
      <c r="R2" s="390"/>
      <c r="S2" s="391"/>
      <c r="T2" s="235" t="s">
        <v>44</v>
      </c>
      <c r="U2" s="235" t="s">
        <v>46</v>
      </c>
      <c r="V2" s="222"/>
      <c r="W2" s="265" t="s">
        <v>50</v>
      </c>
      <c r="X2" s="222"/>
      <c r="Z2" s="222"/>
    </row>
    <row r="3" spans="1:35" ht="30.75" thickBot="1">
      <c r="A3" s="278" t="s">
        <v>500</v>
      </c>
      <c r="B3" s="284" t="s">
        <v>37</v>
      </c>
      <c r="C3" s="290" t="s">
        <v>38</v>
      </c>
      <c r="D3" s="291" t="s">
        <v>41</v>
      </c>
      <c r="E3" s="275" t="s">
        <v>40</v>
      </c>
      <c r="F3" s="264" t="s">
        <v>38</v>
      </c>
      <c r="G3" s="263" t="s">
        <v>41</v>
      </c>
      <c r="H3" s="231" t="s">
        <v>40</v>
      </c>
      <c r="I3" s="264" t="s">
        <v>38</v>
      </c>
      <c r="J3" s="263" t="s">
        <v>41</v>
      </c>
      <c r="K3" s="231" t="s">
        <v>40</v>
      </c>
      <c r="L3" s="264" t="s">
        <v>38</v>
      </c>
      <c r="M3" s="263" t="s">
        <v>41</v>
      </c>
      <c r="N3" s="231" t="s">
        <v>40</v>
      </c>
      <c r="O3" s="264" t="s">
        <v>38</v>
      </c>
      <c r="P3" s="263" t="s">
        <v>41</v>
      </c>
      <c r="Q3" s="262" t="s">
        <v>43</v>
      </c>
      <c r="R3" s="234" t="s">
        <v>38</v>
      </c>
      <c r="S3" s="234" t="s">
        <v>41</v>
      </c>
      <c r="T3" s="235" t="s">
        <v>45</v>
      </c>
      <c r="U3" s="235" t="s">
        <v>45</v>
      </c>
      <c r="V3" s="222"/>
      <c r="W3" s="222"/>
      <c r="X3" s="222"/>
      <c r="Z3" s="261"/>
      <c r="AA3" s="235"/>
      <c r="AB3" s="260"/>
      <c r="AC3" s="235" t="s">
        <v>40</v>
      </c>
      <c r="AD3" s="235" t="s">
        <v>378</v>
      </c>
      <c r="AF3" s="235" t="s">
        <v>378</v>
      </c>
      <c r="AG3" s="235" t="s">
        <v>40</v>
      </c>
      <c r="AH3" s="235" t="s">
        <v>202</v>
      </c>
      <c r="AI3" s="235" t="s">
        <v>377</v>
      </c>
    </row>
    <row r="4" spans="1:35" ht="30">
      <c r="A4" s="278">
        <v>2014</v>
      </c>
      <c r="B4" s="287">
        <v>88.9</v>
      </c>
      <c r="C4" s="288"/>
      <c r="D4" s="289"/>
      <c r="E4" s="276">
        <v>4</v>
      </c>
      <c r="F4" s="259"/>
      <c r="G4" s="258"/>
      <c r="H4" s="256">
        <v>9.3000000000000007</v>
      </c>
      <c r="I4" s="254"/>
      <c r="J4" s="257"/>
      <c r="K4" s="256">
        <v>14.8</v>
      </c>
      <c r="L4" s="254"/>
      <c r="M4" s="253"/>
      <c r="N4" s="255">
        <f t="shared" ref="N4:N16" si="0">AVERAGE(E4,H4,K4)</f>
        <v>9.3666666666666671</v>
      </c>
      <c r="O4" s="254"/>
      <c r="P4" s="253"/>
      <c r="Q4" s="227">
        <v>64.8</v>
      </c>
      <c r="R4" s="251"/>
      <c r="S4" s="251"/>
      <c r="T4" s="243"/>
      <c r="U4" s="243"/>
      <c r="AA4" s="243" t="s">
        <v>376</v>
      </c>
      <c r="AB4" s="245" t="s">
        <v>375</v>
      </c>
      <c r="AC4" s="243">
        <v>5.05</v>
      </c>
      <c r="AD4" s="243">
        <v>2015</v>
      </c>
      <c r="AF4" s="235">
        <v>2015</v>
      </c>
      <c r="AG4" s="243">
        <f>AC4</f>
        <v>5.05</v>
      </c>
      <c r="AH4" s="243"/>
      <c r="AI4" s="252"/>
    </row>
    <row r="5" spans="1:35" ht="30">
      <c r="A5" s="278">
        <v>2015</v>
      </c>
      <c r="B5" s="281">
        <v>51.9</v>
      </c>
      <c r="C5" s="247">
        <f t="shared" ref="C5:C15" si="1">(B5/B4)-1</f>
        <v>-0.41619797525309343</v>
      </c>
      <c r="D5" s="282">
        <f>(1+C5)*(1+$W5)-1</f>
        <v>-0.40452193475815534</v>
      </c>
      <c r="E5" s="277">
        <v>2.7</v>
      </c>
      <c r="F5" s="246">
        <f t="shared" ref="F5:F15" si="2">(E5/E4)-1</f>
        <v>-0.32499999999999996</v>
      </c>
      <c r="G5" s="241">
        <f>(1+F5)*(1+$W5)-1</f>
        <v>-0.31149999999999989</v>
      </c>
      <c r="H5" s="240">
        <v>7</v>
      </c>
      <c r="I5" s="246">
        <f t="shared" ref="I5:I15" si="3">(H5/H4)-1</f>
        <v>-0.24731182795698925</v>
      </c>
      <c r="J5" s="241">
        <f t="shared" ref="J5:J20" si="4">(1+I5)*(1+$W5)-1</f>
        <v>-0.23225806451612907</v>
      </c>
      <c r="K5" s="240">
        <v>11.2</v>
      </c>
      <c r="L5" s="246">
        <f t="shared" ref="L5:L15" si="5">(K5/K4)-1</f>
        <v>-0.24324324324324331</v>
      </c>
      <c r="M5" s="237">
        <f t="shared" ref="M5:M20" si="6">(1+L5)*(1+$W5)-1</f>
        <v>-0.22810810810810811</v>
      </c>
      <c r="N5" s="239">
        <f t="shared" si="0"/>
        <v>6.9666666666666659</v>
      </c>
      <c r="O5" s="246">
        <f t="shared" ref="O5:O15" si="7">(N5/N4)-1</f>
        <v>-0.25622775800711761</v>
      </c>
      <c r="P5" s="237">
        <f>(1+O5)*(1+$W5)-1</f>
        <v>-0.24135231316725991</v>
      </c>
      <c r="Q5" s="227">
        <v>60.2</v>
      </c>
      <c r="R5" s="251"/>
      <c r="S5" s="251"/>
      <c r="T5" s="243"/>
      <c r="U5" s="243"/>
      <c r="W5" s="9">
        <v>0.02</v>
      </c>
      <c r="AA5" s="243" t="s">
        <v>374</v>
      </c>
      <c r="AB5" s="245" t="s">
        <v>373</v>
      </c>
      <c r="AC5" s="243">
        <v>4.66</v>
      </c>
      <c r="AD5" s="243">
        <v>2016</v>
      </c>
      <c r="AF5" s="235">
        <v>2016</v>
      </c>
      <c r="AG5" s="243">
        <f>AVERAGE(AC5:AC6)</f>
        <v>4.24</v>
      </c>
      <c r="AH5" s="250">
        <f t="shared" ref="AH5:AH11" si="8">AG5/AG4-1</f>
        <v>-0.16039603960396032</v>
      </c>
      <c r="AI5" s="250">
        <f t="shared" ref="AI5:AI11" si="9">O5</f>
        <v>-0.25622775800711761</v>
      </c>
    </row>
    <row r="6" spans="1:35" ht="30">
      <c r="A6" s="278">
        <v>2016</v>
      </c>
      <c r="B6" s="281">
        <v>45.5</v>
      </c>
      <c r="C6" s="247">
        <f t="shared" si="1"/>
        <v>-0.12331406551059731</v>
      </c>
      <c r="D6" s="282">
        <f t="shared" ref="D6:D20" si="10">(1+C6)*(1+$W6)-1</f>
        <v>-0.10578034682080928</v>
      </c>
      <c r="E6" s="277">
        <v>2.7</v>
      </c>
      <c r="F6" s="246">
        <f t="shared" si="2"/>
        <v>0</v>
      </c>
      <c r="G6" s="241">
        <f t="shared" ref="G6:G20" si="11">(1+F6)*(1+$W6)-1</f>
        <v>2.0000000000000018E-2</v>
      </c>
      <c r="H6" s="240">
        <v>4.9000000000000004</v>
      </c>
      <c r="I6" s="246">
        <f t="shared" si="3"/>
        <v>-0.29999999999999993</v>
      </c>
      <c r="J6" s="241">
        <f t="shared" si="4"/>
        <v>-0.28599999999999992</v>
      </c>
      <c r="K6" s="240">
        <v>7.8</v>
      </c>
      <c r="L6" s="246">
        <f t="shared" si="5"/>
        <v>-0.30357142857142849</v>
      </c>
      <c r="M6" s="237">
        <f t="shared" si="6"/>
        <v>-0.28964285714285709</v>
      </c>
      <c r="N6" s="239">
        <f t="shared" si="0"/>
        <v>5.1333333333333337</v>
      </c>
      <c r="O6" s="246">
        <f t="shared" si="7"/>
        <v>-0.26315789473684192</v>
      </c>
      <c r="P6" s="237">
        <f t="shared" ref="P6:P20" si="12">(1+O6)*(1+$W6)-1</f>
        <v>-0.24842105263157876</v>
      </c>
      <c r="Q6" s="227">
        <v>70.3</v>
      </c>
      <c r="R6" s="251"/>
      <c r="S6" s="251"/>
      <c r="T6" s="243"/>
      <c r="U6" s="243"/>
      <c r="W6" s="9">
        <v>0.02</v>
      </c>
      <c r="AA6" s="243" t="s">
        <v>372</v>
      </c>
      <c r="AB6" s="245" t="s">
        <v>371</v>
      </c>
      <c r="AC6" s="243">
        <v>3.82</v>
      </c>
      <c r="AD6" s="243">
        <v>2016</v>
      </c>
      <c r="AF6" s="235">
        <v>2017</v>
      </c>
      <c r="AG6" s="243">
        <f>AVERAGE(AC7:AC8)</f>
        <v>2.7800000000000002</v>
      </c>
      <c r="AH6" s="250">
        <f t="shared" si="8"/>
        <v>-0.34433962264150941</v>
      </c>
      <c r="AI6" s="250">
        <f t="shared" si="9"/>
        <v>-0.26315789473684192</v>
      </c>
    </row>
    <row r="7" spans="1:35" ht="30">
      <c r="A7" s="278">
        <v>2017</v>
      </c>
      <c r="B7" s="281">
        <v>54.3</v>
      </c>
      <c r="C7" s="247">
        <f t="shared" si="1"/>
        <v>0.19340659340659339</v>
      </c>
      <c r="D7" s="282">
        <f t="shared" si="10"/>
        <v>0.21727472527472536</v>
      </c>
      <c r="E7" s="277">
        <v>3.1</v>
      </c>
      <c r="F7" s="246">
        <f t="shared" si="2"/>
        <v>0.14814814814814814</v>
      </c>
      <c r="G7" s="241">
        <f t="shared" si="11"/>
        <v>0.17111111111111121</v>
      </c>
      <c r="H7" s="240">
        <v>5.9</v>
      </c>
      <c r="I7" s="246">
        <f t="shared" si="3"/>
        <v>0.20408163265306123</v>
      </c>
      <c r="J7" s="241">
        <f t="shared" si="4"/>
        <v>0.22816326530612252</v>
      </c>
      <c r="K7" s="240">
        <v>8.8000000000000007</v>
      </c>
      <c r="L7" s="246">
        <f t="shared" si="5"/>
        <v>0.12820512820512842</v>
      </c>
      <c r="M7" s="237">
        <f t="shared" si="6"/>
        <v>0.15076923076923099</v>
      </c>
      <c r="N7" s="239">
        <f t="shared" si="0"/>
        <v>5.9333333333333336</v>
      </c>
      <c r="O7" s="246">
        <f t="shared" si="7"/>
        <v>0.1558441558441559</v>
      </c>
      <c r="P7" s="237">
        <f t="shared" si="12"/>
        <v>0.17896103896103899</v>
      </c>
      <c r="Q7" s="249">
        <v>91</v>
      </c>
      <c r="R7" s="225">
        <f t="shared" ref="R7:R15" si="13">(Q7/Q6)-1</f>
        <v>0.29445234708392598</v>
      </c>
      <c r="S7" s="225">
        <f t="shared" ref="S7:S20" si="14">(1+R7)*(1+$W7)-1</f>
        <v>0.32034139402560458</v>
      </c>
      <c r="T7" s="224">
        <v>0.01</v>
      </c>
      <c r="U7" s="224">
        <v>0.05</v>
      </c>
      <c r="V7" s="8"/>
      <c r="W7" s="9">
        <v>0.02</v>
      </c>
      <c r="Y7" s="8"/>
      <c r="Z7" s="8"/>
      <c r="AA7" s="224" t="s">
        <v>370</v>
      </c>
      <c r="AB7" s="244" t="s">
        <v>369</v>
      </c>
      <c r="AC7" s="243">
        <v>3.06</v>
      </c>
      <c r="AD7" s="243">
        <v>2017</v>
      </c>
      <c r="AF7" s="235">
        <v>2018</v>
      </c>
      <c r="AG7" s="243">
        <f>AVERAGE(AC9:AC10)</f>
        <v>2.6850000000000001</v>
      </c>
      <c r="AH7" s="250">
        <f t="shared" si="8"/>
        <v>-3.4172661870503718E-2</v>
      </c>
      <c r="AI7" s="250">
        <f t="shared" si="9"/>
        <v>0.1558441558441559</v>
      </c>
    </row>
    <row r="8" spans="1:35" ht="30">
      <c r="A8" s="278">
        <v>2018</v>
      </c>
      <c r="B8" s="281">
        <v>67.2</v>
      </c>
      <c r="C8" s="247">
        <f t="shared" si="1"/>
        <v>0.23756906077348083</v>
      </c>
      <c r="D8" s="282">
        <f t="shared" si="10"/>
        <v>0.26232044198895044</v>
      </c>
      <c r="E8" s="277">
        <v>3.1</v>
      </c>
      <c r="F8" s="246">
        <f t="shared" si="2"/>
        <v>0</v>
      </c>
      <c r="G8" s="241">
        <f t="shared" si="11"/>
        <v>2.0000000000000018E-2</v>
      </c>
      <c r="H8" s="240">
        <v>7.5</v>
      </c>
      <c r="I8" s="246">
        <f t="shared" si="3"/>
        <v>0.27118644067796605</v>
      </c>
      <c r="J8" s="241">
        <f t="shared" si="4"/>
        <v>0.2966101694915253</v>
      </c>
      <c r="K8" s="240">
        <v>10.5</v>
      </c>
      <c r="L8" s="246">
        <f t="shared" si="5"/>
        <v>0.19318181818181812</v>
      </c>
      <c r="M8" s="237">
        <f t="shared" si="6"/>
        <v>0.21704545454545454</v>
      </c>
      <c r="N8" s="239">
        <f t="shared" si="0"/>
        <v>7.0333333333333341</v>
      </c>
      <c r="O8" s="246">
        <f t="shared" si="7"/>
        <v>0.18539325842696641</v>
      </c>
      <c r="P8" s="237">
        <f t="shared" si="12"/>
        <v>0.20910112359550581</v>
      </c>
      <c r="Q8" s="249">
        <v>105.2</v>
      </c>
      <c r="R8" s="225">
        <f t="shared" si="13"/>
        <v>0.15604395604395616</v>
      </c>
      <c r="S8" s="225">
        <f t="shared" si="14"/>
        <v>0.17916483516483539</v>
      </c>
      <c r="T8" s="224">
        <v>0.01</v>
      </c>
      <c r="U8" s="224">
        <v>0.05</v>
      </c>
      <c r="V8" s="8"/>
      <c r="W8" s="9">
        <v>0.02</v>
      </c>
      <c r="Y8" s="8"/>
      <c r="Z8" s="8"/>
      <c r="AA8" s="224" t="s">
        <v>368</v>
      </c>
      <c r="AB8" s="245" t="s">
        <v>367</v>
      </c>
      <c r="AC8" s="243">
        <v>2.5</v>
      </c>
      <c r="AD8" s="243">
        <v>2017</v>
      </c>
      <c r="AF8" s="235">
        <v>2019</v>
      </c>
      <c r="AG8" s="243">
        <f>AVERAGE(AC11:AC12)</f>
        <v>3.21</v>
      </c>
      <c r="AH8" s="250">
        <f t="shared" si="8"/>
        <v>0.1955307262569832</v>
      </c>
      <c r="AI8" s="250">
        <f t="shared" si="9"/>
        <v>0.18539325842696641</v>
      </c>
    </row>
    <row r="9" spans="1:35" ht="45">
      <c r="A9" s="278">
        <v>2019</v>
      </c>
      <c r="B9" s="281">
        <v>61.7</v>
      </c>
      <c r="C9" s="247">
        <f t="shared" si="1"/>
        <v>-8.1845238095238138E-2</v>
      </c>
      <c r="D9" s="282">
        <f t="shared" si="10"/>
        <v>-6.3482142857142931E-2</v>
      </c>
      <c r="E9" s="277">
        <v>2.6</v>
      </c>
      <c r="F9" s="246">
        <f t="shared" si="2"/>
        <v>-0.16129032258064513</v>
      </c>
      <c r="G9" s="241">
        <f t="shared" si="11"/>
        <v>-0.14451612903225797</v>
      </c>
      <c r="H9" s="240">
        <v>4.8</v>
      </c>
      <c r="I9" s="246">
        <f t="shared" si="3"/>
        <v>-0.36</v>
      </c>
      <c r="J9" s="241">
        <f t="shared" si="4"/>
        <v>-0.34719999999999995</v>
      </c>
      <c r="K9" s="240">
        <v>10.6</v>
      </c>
      <c r="L9" s="246">
        <f t="shared" si="5"/>
        <v>9.52380952380949E-3</v>
      </c>
      <c r="M9" s="237">
        <f t="shared" si="6"/>
        <v>2.9714285714285804E-2</v>
      </c>
      <c r="N9" s="239">
        <f t="shared" si="0"/>
        <v>6</v>
      </c>
      <c r="O9" s="246">
        <f t="shared" si="7"/>
        <v>-0.14691943127962093</v>
      </c>
      <c r="P9" s="237">
        <f t="shared" si="12"/>
        <v>-0.12985781990521328</v>
      </c>
      <c r="Q9" s="249">
        <v>78.3</v>
      </c>
      <c r="R9" s="225">
        <f t="shared" si="13"/>
        <v>-0.25570342205323193</v>
      </c>
      <c r="S9" s="225">
        <f t="shared" si="14"/>
        <v>-0.24081749049429657</v>
      </c>
      <c r="T9" s="224">
        <v>0.01</v>
      </c>
      <c r="U9" s="224">
        <v>0.05</v>
      </c>
      <c r="V9" s="8"/>
      <c r="W9" s="9">
        <v>0.02</v>
      </c>
      <c r="Y9" s="8"/>
      <c r="Z9" s="8"/>
      <c r="AA9" s="224" t="s">
        <v>366</v>
      </c>
      <c r="AB9" s="245" t="s">
        <v>365</v>
      </c>
      <c r="AC9" s="243">
        <v>2.48</v>
      </c>
      <c r="AD9" s="243">
        <v>2018</v>
      </c>
      <c r="AF9" s="235">
        <v>2020</v>
      </c>
      <c r="AG9" s="243">
        <f>AVERAGE(AC13:AC14)</f>
        <v>3.46</v>
      </c>
      <c r="AH9" s="250">
        <f t="shared" si="8"/>
        <v>7.7881619937694602E-2</v>
      </c>
      <c r="AI9" s="250">
        <f t="shared" si="9"/>
        <v>-0.14691943127962093</v>
      </c>
    </row>
    <row r="10" spans="1:35" ht="30">
      <c r="A10" s="278">
        <v>2020</v>
      </c>
      <c r="B10" s="281">
        <v>41.4</v>
      </c>
      <c r="C10" s="247">
        <f t="shared" si="1"/>
        <v>-0.32901134521880071</v>
      </c>
      <c r="D10" s="282">
        <f t="shared" si="10"/>
        <v>-0.31559157212317668</v>
      </c>
      <c r="E10" s="277">
        <v>1.9</v>
      </c>
      <c r="F10" s="246">
        <f t="shared" si="2"/>
        <v>-0.26923076923076927</v>
      </c>
      <c r="G10" s="241">
        <f t="shared" si="11"/>
        <v>-0.25461538461538469</v>
      </c>
      <c r="H10" s="240">
        <v>2.8</v>
      </c>
      <c r="I10" s="246">
        <f t="shared" si="3"/>
        <v>-0.41666666666666663</v>
      </c>
      <c r="J10" s="241">
        <f t="shared" si="4"/>
        <v>-0.40499999999999992</v>
      </c>
      <c r="K10" s="240">
        <v>8.6999999999999993</v>
      </c>
      <c r="L10" s="246">
        <f t="shared" si="5"/>
        <v>-0.179245283018868</v>
      </c>
      <c r="M10" s="237">
        <f t="shared" si="6"/>
        <v>-0.16283018867924537</v>
      </c>
      <c r="N10" s="239">
        <f t="shared" si="0"/>
        <v>4.4666666666666659</v>
      </c>
      <c r="O10" s="246">
        <f t="shared" si="7"/>
        <v>-0.25555555555555565</v>
      </c>
      <c r="P10" s="237">
        <f t="shared" si="12"/>
        <v>-0.2406666666666667</v>
      </c>
      <c r="Q10" s="249">
        <v>57.8</v>
      </c>
      <c r="R10" s="225">
        <f t="shared" si="13"/>
        <v>-0.26181353767560667</v>
      </c>
      <c r="S10" s="225">
        <f t="shared" si="14"/>
        <v>-0.24704980842911883</v>
      </c>
      <c r="T10" s="224">
        <v>0.01</v>
      </c>
      <c r="U10" s="224">
        <v>0.05</v>
      </c>
      <c r="V10" s="8"/>
      <c r="W10" s="9">
        <v>0.02</v>
      </c>
      <c r="Y10" s="8"/>
      <c r="Z10" s="8"/>
      <c r="AA10" s="224" t="s">
        <v>364</v>
      </c>
      <c r="AB10" s="245" t="s">
        <v>363</v>
      </c>
      <c r="AC10" s="243">
        <v>2.89</v>
      </c>
      <c r="AD10" s="243">
        <v>2018</v>
      </c>
      <c r="AF10" s="235">
        <v>2021</v>
      </c>
      <c r="AG10" s="243">
        <f>AVERAGE(AC15:AC16)</f>
        <v>2.09</v>
      </c>
      <c r="AH10" s="250">
        <f t="shared" si="8"/>
        <v>-0.39595375722543358</v>
      </c>
      <c r="AI10" s="250">
        <f t="shared" si="9"/>
        <v>-0.25555555555555565</v>
      </c>
    </row>
    <row r="11" spans="1:35" ht="30">
      <c r="A11" s="278">
        <v>2021</v>
      </c>
      <c r="B11" s="281">
        <v>43.8</v>
      </c>
      <c r="C11" s="247">
        <f t="shared" si="1"/>
        <v>5.7971014492753659E-2</v>
      </c>
      <c r="D11" s="282">
        <f t="shared" si="10"/>
        <v>7.9130434782608727E-2</v>
      </c>
      <c r="E11" s="277">
        <v>2.6</v>
      </c>
      <c r="F11" s="246">
        <f t="shared" si="2"/>
        <v>0.36842105263157898</v>
      </c>
      <c r="G11" s="241">
        <f t="shared" si="11"/>
        <v>0.39578947368421069</v>
      </c>
      <c r="H11" s="240">
        <v>4</v>
      </c>
      <c r="I11" s="246">
        <f t="shared" si="3"/>
        <v>0.4285714285714286</v>
      </c>
      <c r="J11" s="241">
        <f t="shared" si="4"/>
        <v>0.4571428571428573</v>
      </c>
      <c r="K11" s="240">
        <v>8.6</v>
      </c>
      <c r="L11" s="246">
        <f t="shared" si="5"/>
        <v>-1.1494252873563204E-2</v>
      </c>
      <c r="M11" s="237">
        <f t="shared" si="6"/>
        <v>8.2758620689655782E-3</v>
      </c>
      <c r="N11" s="239">
        <f t="shared" si="0"/>
        <v>5.0666666666666664</v>
      </c>
      <c r="O11" s="246">
        <f t="shared" si="7"/>
        <v>0.13432835820895539</v>
      </c>
      <c r="P11" s="237">
        <f t="shared" si="12"/>
        <v>0.15701492537313455</v>
      </c>
      <c r="Q11" s="249">
        <v>57.5</v>
      </c>
      <c r="R11" s="225">
        <f t="shared" si="13"/>
        <v>-5.1903114186850896E-3</v>
      </c>
      <c r="S11" s="225">
        <f t="shared" si="14"/>
        <v>1.4705882352941124E-2</v>
      </c>
      <c r="T11" s="224">
        <v>0.01</v>
      </c>
      <c r="U11" s="224">
        <v>0.05</v>
      </c>
      <c r="V11" s="8"/>
      <c r="W11" s="9">
        <v>0.02</v>
      </c>
      <c r="Y11" s="8"/>
      <c r="Z11" s="8"/>
      <c r="AA11" s="224" t="s">
        <v>362</v>
      </c>
      <c r="AB11" s="245" t="s">
        <v>361</v>
      </c>
      <c r="AC11" s="243">
        <v>3.06</v>
      </c>
      <c r="AD11" s="243">
        <v>2019</v>
      </c>
      <c r="AF11" s="235">
        <v>2022</v>
      </c>
      <c r="AG11" s="243">
        <f>AC17</f>
        <v>1.79</v>
      </c>
      <c r="AH11" s="250">
        <f t="shared" si="8"/>
        <v>-0.1435406698564593</v>
      </c>
      <c r="AI11" s="250">
        <f t="shared" si="9"/>
        <v>0.13432835820895539</v>
      </c>
    </row>
    <row r="12" spans="1:35">
      <c r="A12" s="278">
        <v>2022</v>
      </c>
      <c r="B12" s="281">
        <v>48.9</v>
      </c>
      <c r="C12" s="247">
        <f t="shared" si="1"/>
        <v>0.11643835616438358</v>
      </c>
      <c r="D12" s="282">
        <f t="shared" si="10"/>
        <v>0.13876712328767127</v>
      </c>
      <c r="E12" s="277">
        <v>2.7</v>
      </c>
      <c r="F12" s="246">
        <f t="shared" si="2"/>
        <v>3.8461538461538547E-2</v>
      </c>
      <c r="G12" s="241">
        <f t="shared" si="11"/>
        <v>5.923076923076942E-2</v>
      </c>
      <c r="H12" s="240">
        <v>4.2</v>
      </c>
      <c r="I12" s="246">
        <f t="shared" si="3"/>
        <v>5.0000000000000044E-2</v>
      </c>
      <c r="J12" s="241">
        <f t="shared" si="4"/>
        <v>7.1000000000000174E-2</v>
      </c>
      <c r="K12" s="240">
        <v>8.4</v>
      </c>
      <c r="L12" s="246">
        <f t="shared" si="5"/>
        <v>-2.3255813953488302E-2</v>
      </c>
      <c r="M12" s="237">
        <f t="shared" si="6"/>
        <v>-3.7209302325580396E-3</v>
      </c>
      <c r="N12" s="239">
        <f t="shared" si="0"/>
        <v>5.1000000000000005</v>
      </c>
      <c r="O12" s="246">
        <f t="shared" si="7"/>
        <v>6.5789473684212396E-3</v>
      </c>
      <c r="P12" s="237">
        <f t="shared" si="12"/>
        <v>2.6710526315789629E-2</v>
      </c>
      <c r="Q12" s="249">
        <v>56.8</v>
      </c>
      <c r="R12" s="225">
        <f t="shared" si="13"/>
        <v>-1.2173913043478257E-2</v>
      </c>
      <c r="S12" s="225">
        <f t="shared" si="14"/>
        <v>7.5826086956523042E-3</v>
      </c>
      <c r="T12" s="224">
        <v>0.01</v>
      </c>
      <c r="U12" s="224">
        <v>0.05</v>
      </c>
      <c r="V12" s="8"/>
      <c r="W12" s="9">
        <v>0.02</v>
      </c>
      <c r="Y12" s="8"/>
      <c r="Z12" s="8"/>
      <c r="AA12" s="224" t="s">
        <v>360</v>
      </c>
      <c r="AB12" s="245" t="s">
        <v>359</v>
      </c>
      <c r="AC12" s="243">
        <v>3.36</v>
      </c>
      <c r="AD12" s="243">
        <v>2019</v>
      </c>
    </row>
    <row r="13" spans="1:35" ht="45">
      <c r="A13" s="278">
        <v>2023</v>
      </c>
      <c r="B13" s="281">
        <v>50.1</v>
      </c>
      <c r="C13" s="247">
        <f t="shared" si="1"/>
        <v>2.4539877300613577E-2</v>
      </c>
      <c r="D13" s="282">
        <f t="shared" si="10"/>
        <v>4.5030674846625818E-2</v>
      </c>
      <c r="E13" s="277">
        <v>2.8</v>
      </c>
      <c r="F13" s="246">
        <f t="shared" si="2"/>
        <v>3.7037037037036979E-2</v>
      </c>
      <c r="G13" s="241">
        <f t="shared" si="11"/>
        <v>5.7777777777777706E-2</v>
      </c>
      <c r="H13" s="240">
        <v>4.4000000000000004</v>
      </c>
      <c r="I13" s="246">
        <f t="shared" si="3"/>
        <v>4.7619047619047672E-2</v>
      </c>
      <c r="J13" s="241">
        <f t="shared" si="4"/>
        <v>6.8571428571428727E-2</v>
      </c>
      <c r="K13" s="240">
        <v>8.1999999999999993</v>
      </c>
      <c r="L13" s="246">
        <f t="shared" si="5"/>
        <v>-2.3809523809523947E-2</v>
      </c>
      <c r="M13" s="237">
        <f t="shared" si="6"/>
        <v>-4.2857142857144481E-3</v>
      </c>
      <c r="N13" s="239">
        <f t="shared" si="0"/>
        <v>5.1333333333333329</v>
      </c>
      <c r="O13" s="246">
        <f t="shared" si="7"/>
        <v>6.5359477124180554E-3</v>
      </c>
      <c r="P13" s="237">
        <f t="shared" si="12"/>
        <v>2.6666666666666394E-2</v>
      </c>
      <c r="Q13" s="248">
        <v>56</v>
      </c>
      <c r="R13" s="225">
        <f t="shared" si="13"/>
        <v>-1.4084507042253502E-2</v>
      </c>
      <c r="S13" s="225">
        <f t="shared" si="14"/>
        <v>5.6338028169014009E-3</v>
      </c>
      <c r="T13" s="224">
        <v>0.01</v>
      </c>
      <c r="U13" s="224">
        <v>0.05</v>
      </c>
      <c r="V13" s="8"/>
      <c r="W13" s="9">
        <v>0.02</v>
      </c>
      <c r="Y13" s="8"/>
      <c r="Z13" s="8"/>
      <c r="AA13" s="224" t="s">
        <v>358</v>
      </c>
      <c r="AB13" s="245" t="s">
        <v>357</v>
      </c>
      <c r="AC13" s="243">
        <v>3.69</v>
      </c>
      <c r="AD13" s="243">
        <v>2020</v>
      </c>
    </row>
    <row r="14" spans="1:35" ht="30">
      <c r="A14" s="278">
        <v>2024</v>
      </c>
      <c r="B14" s="281">
        <v>51.4</v>
      </c>
      <c r="C14" s="247">
        <f t="shared" si="1"/>
        <v>2.5948103792415189E-2</v>
      </c>
      <c r="D14" s="282">
        <f t="shared" si="10"/>
        <v>4.6467065868263546E-2</v>
      </c>
      <c r="E14" s="277">
        <v>2.8</v>
      </c>
      <c r="F14" s="246">
        <f t="shared" si="2"/>
        <v>0</v>
      </c>
      <c r="G14" s="241">
        <f t="shared" si="11"/>
        <v>2.0000000000000018E-2</v>
      </c>
      <c r="H14" s="240">
        <v>4.5999999999999996</v>
      </c>
      <c r="I14" s="246">
        <f t="shared" si="3"/>
        <v>4.5454545454545192E-2</v>
      </c>
      <c r="J14" s="241">
        <f t="shared" si="4"/>
        <v>6.636363636363618E-2</v>
      </c>
      <c r="K14" s="240">
        <v>8.1</v>
      </c>
      <c r="L14" s="246">
        <f t="shared" si="5"/>
        <v>-1.2195121951219523E-2</v>
      </c>
      <c r="M14" s="237">
        <f t="shared" si="6"/>
        <v>7.5609756097561043E-3</v>
      </c>
      <c r="N14" s="239">
        <f t="shared" si="0"/>
        <v>5.166666666666667</v>
      </c>
      <c r="O14" s="246">
        <f t="shared" si="7"/>
        <v>6.4935064935065512E-3</v>
      </c>
      <c r="P14" s="237">
        <f t="shared" si="12"/>
        <v>2.6623376623376771E-2</v>
      </c>
      <c r="Q14" s="248">
        <v>55.3</v>
      </c>
      <c r="R14" s="225">
        <f t="shared" si="13"/>
        <v>-1.2500000000000067E-2</v>
      </c>
      <c r="S14" s="225">
        <f t="shared" si="14"/>
        <v>7.2499999999999787E-3</v>
      </c>
      <c r="T14" s="224">
        <v>0.01</v>
      </c>
      <c r="U14" s="224">
        <v>0.05</v>
      </c>
      <c r="V14" s="8"/>
      <c r="W14" s="9">
        <v>0.02</v>
      </c>
      <c r="Y14" s="8"/>
      <c r="Z14" s="8"/>
      <c r="AA14" s="224" t="s">
        <v>356</v>
      </c>
      <c r="AB14" s="245" t="s">
        <v>355</v>
      </c>
      <c r="AC14" s="243">
        <v>3.23</v>
      </c>
      <c r="AD14" s="243">
        <v>2020</v>
      </c>
    </row>
    <row r="15" spans="1:35" ht="45">
      <c r="A15" s="278">
        <v>2025</v>
      </c>
      <c r="B15" s="281">
        <v>52.6</v>
      </c>
      <c r="C15" s="247">
        <f t="shared" si="1"/>
        <v>2.3346303501945664E-2</v>
      </c>
      <c r="D15" s="282">
        <f t="shared" si="10"/>
        <v>4.3813229571984635E-2</v>
      </c>
      <c r="E15" s="277">
        <v>2.9</v>
      </c>
      <c r="F15" s="246">
        <f t="shared" si="2"/>
        <v>3.5714285714285809E-2</v>
      </c>
      <c r="G15" s="241">
        <f t="shared" si="11"/>
        <v>5.6428571428571495E-2</v>
      </c>
      <c r="H15" s="240">
        <v>4.8</v>
      </c>
      <c r="I15" s="246">
        <f t="shared" si="3"/>
        <v>4.3478260869565188E-2</v>
      </c>
      <c r="J15" s="241">
        <f t="shared" si="4"/>
        <v>6.434782608695655E-2</v>
      </c>
      <c r="K15" s="240">
        <v>7.9</v>
      </c>
      <c r="L15" s="246">
        <f t="shared" si="5"/>
        <v>-2.4691358024691246E-2</v>
      </c>
      <c r="M15" s="237">
        <f t="shared" si="6"/>
        <v>-5.1851851851850705E-3</v>
      </c>
      <c r="N15" s="239">
        <f t="shared" si="0"/>
        <v>5.2</v>
      </c>
      <c r="O15" s="246">
        <f t="shared" si="7"/>
        <v>6.4516129032257119E-3</v>
      </c>
      <c r="P15" s="237">
        <f t="shared" si="12"/>
        <v>2.6580645161290217E-2</v>
      </c>
      <c r="Q15" s="227">
        <v>54.5</v>
      </c>
      <c r="R15" s="225">
        <f t="shared" si="13"/>
        <v>-1.446654611211573E-2</v>
      </c>
      <c r="S15" s="225">
        <f t="shared" si="14"/>
        <v>5.2441229656419175E-3</v>
      </c>
      <c r="T15" s="224">
        <v>0.01</v>
      </c>
      <c r="U15" s="224">
        <v>0.05</v>
      </c>
      <c r="V15" s="8"/>
      <c r="W15" s="9">
        <v>0.02</v>
      </c>
      <c r="Y15" s="8"/>
      <c r="Z15" s="8"/>
      <c r="AA15" s="224" t="s">
        <v>354</v>
      </c>
      <c r="AB15" s="245" t="s">
        <v>353</v>
      </c>
      <c r="AC15" s="243">
        <v>2.39</v>
      </c>
      <c r="AD15" s="243">
        <v>2021</v>
      </c>
    </row>
    <row r="16" spans="1:35" ht="30">
      <c r="A16" s="279">
        <v>2026</v>
      </c>
      <c r="B16" s="281"/>
      <c r="C16" s="233">
        <f>(B$20/B$15)^(1/5)-1</f>
        <v>2.3229973599287579E-2</v>
      </c>
      <c r="D16" s="283">
        <f t="shared" si="10"/>
        <v>4.3694573071273446E-2</v>
      </c>
      <c r="E16" s="277"/>
      <c r="F16" s="238">
        <f>(E$20/E$15)^(1/5)-1</f>
        <v>3.2324379535307868E-2</v>
      </c>
      <c r="G16" s="241">
        <f t="shared" si="11"/>
        <v>5.2970867126014065E-2</v>
      </c>
      <c r="H16" s="240"/>
      <c r="I16" s="238">
        <f>(H$20/H$15)^(1/5)-1</f>
        <v>4.21306158714021E-2</v>
      </c>
      <c r="J16" s="241">
        <f t="shared" si="4"/>
        <v>6.2973228188830221E-2</v>
      </c>
      <c r="K16" s="240">
        <v>7.2</v>
      </c>
      <c r="L16" s="238">
        <f>(K$20/K$15)^(1/5)-1</f>
        <v>-1.838523770942635E-2</v>
      </c>
      <c r="M16" s="237">
        <f t="shared" si="6"/>
        <v>1.2470575363852099E-3</v>
      </c>
      <c r="N16" s="239">
        <f t="shared" si="0"/>
        <v>7.2</v>
      </c>
      <c r="O16" s="238">
        <f>(N$20/N$15)^(1/5)-1</f>
        <v>1.1281049835639045E-2</v>
      </c>
      <c r="P16" s="237">
        <f t="shared" si="12"/>
        <v>3.1506670832351924E-2</v>
      </c>
      <c r="Q16" s="236"/>
      <c r="R16" s="226">
        <f>(Q$20/Q$15)^(1/5)-1</f>
        <v>-1.4740110176515664E-2</v>
      </c>
      <c r="S16" s="225">
        <f t="shared" si="14"/>
        <v>4.9650876199540672E-3</v>
      </c>
      <c r="T16" s="224">
        <v>0.01</v>
      </c>
      <c r="U16" s="224">
        <v>0.05</v>
      </c>
      <c r="V16" s="8"/>
      <c r="W16" s="9">
        <v>0.02</v>
      </c>
      <c r="Y16" s="8"/>
      <c r="Z16" s="8"/>
      <c r="AA16" s="224" t="s">
        <v>352</v>
      </c>
      <c r="AB16" s="244" t="s">
        <v>351</v>
      </c>
      <c r="AC16" s="243">
        <v>1.79</v>
      </c>
      <c r="AD16" s="243">
        <v>2021</v>
      </c>
    </row>
    <row r="17" spans="1:30" ht="45">
      <c r="A17" s="278">
        <v>2027</v>
      </c>
      <c r="B17" s="281"/>
      <c r="C17" s="233">
        <f>(B$20/B$15)^(1/5)-1</f>
        <v>2.3229973599287579E-2</v>
      </c>
      <c r="D17" s="283">
        <f t="shared" si="10"/>
        <v>4.3694573071273446E-2</v>
      </c>
      <c r="E17" s="277"/>
      <c r="F17" s="238">
        <f>(E$20/E$15)^(1/5)-1</f>
        <v>3.2324379535307868E-2</v>
      </c>
      <c r="G17" s="241">
        <f>(1+F17)*(1+$W17)-1</f>
        <v>5.2970867126014065E-2</v>
      </c>
      <c r="H17" s="242"/>
      <c r="I17" s="238">
        <f>(H$20/H$15)^(1/5)-1</f>
        <v>4.21306158714021E-2</v>
      </c>
      <c r="J17" s="241">
        <f>(1+I17)*(1+$W17)-1</f>
        <v>6.2973228188830221E-2</v>
      </c>
      <c r="K17" s="240"/>
      <c r="L17" s="238">
        <f>(K$20/K$15)^(1/5)-1</f>
        <v>-1.838523770942635E-2</v>
      </c>
      <c r="M17" s="237">
        <f>(1+L17)*(1+$W17)-1</f>
        <v>1.2470575363852099E-3</v>
      </c>
      <c r="N17" s="239"/>
      <c r="O17" s="238">
        <f>(N$20/N$15)^(1/5)-1</f>
        <v>1.1281049835639045E-2</v>
      </c>
      <c r="P17" s="237">
        <f>(1+O17)*(1+$W17)-1</f>
        <v>3.1506670832351924E-2</v>
      </c>
      <c r="Q17" s="236"/>
      <c r="R17" s="226">
        <f>(Q$20/Q$15)^(1/5)-1</f>
        <v>-1.4740110176515664E-2</v>
      </c>
      <c r="S17" s="225">
        <f t="shared" si="14"/>
        <v>4.9650876199540672E-3</v>
      </c>
      <c r="T17" s="224">
        <v>0.01</v>
      </c>
      <c r="U17" s="224">
        <v>0.05</v>
      </c>
      <c r="W17" s="9">
        <v>0.02</v>
      </c>
      <c r="Y17" s="8"/>
      <c r="Z17" s="8"/>
      <c r="AA17" s="224" t="s">
        <v>512</v>
      </c>
      <c r="AB17" s="244" t="s">
        <v>350</v>
      </c>
      <c r="AC17" s="243">
        <v>1.79</v>
      </c>
      <c r="AD17" s="243">
        <v>2022</v>
      </c>
    </row>
    <row r="18" spans="1:30">
      <c r="A18" s="278">
        <v>2028</v>
      </c>
      <c r="B18" s="281"/>
      <c r="C18" s="233">
        <f>(B$20/B$15)^(1/5)-1</f>
        <v>2.3229973599287579E-2</v>
      </c>
      <c r="D18" s="283">
        <f t="shared" si="10"/>
        <v>4.3694573071273446E-2</v>
      </c>
      <c r="E18" s="277"/>
      <c r="F18" s="238">
        <f>(E$20/E$15)^(1/5)-1</f>
        <v>3.2324379535307868E-2</v>
      </c>
      <c r="G18" s="241">
        <f t="shared" si="11"/>
        <v>5.2970867126014065E-2</v>
      </c>
      <c r="H18" s="242"/>
      <c r="I18" s="238">
        <f>(H$20/H$15)^(1/5)-1</f>
        <v>4.21306158714021E-2</v>
      </c>
      <c r="J18" s="241">
        <f t="shared" si="4"/>
        <v>6.2973228188830221E-2</v>
      </c>
      <c r="K18" s="240"/>
      <c r="L18" s="238">
        <f>(K$20/K$15)^(1/5)-1</f>
        <v>-1.838523770942635E-2</v>
      </c>
      <c r="M18" s="237">
        <f t="shared" si="6"/>
        <v>1.2470575363852099E-3</v>
      </c>
      <c r="N18" s="239"/>
      <c r="O18" s="238">
        <f>(N$20/N$15)^(1/5)-1</f>
        <v>1.1281049835639045E-2</v>
      </c>
      <c r="P18" s="237">
        <f t="shared" si="12"/>
        <v>3.1506670832351924E-2</v>
      </c>
      <c r="Q18" s="236"/>
      <c r="R18" s="226">
        <f>(Q$20/Q$15)^(1/5)-1</f>
        <v>-1.4740110176515664E-2</v>
      </c>
      <c r="S18" s="225">
        <f t="shared" si="14"/>
        <v>4.9650876199540672E-3</v>
      </c>
      <c r="T18" s="224">
        <v>0.01</v>
      </c>
      <c r="U18" s="224">
        <v>0.05</v>
      </c>
      <c r="W18" s="9">
        <v>0.02</v>
      </c>
      <c r="Y18" s="8"/>
      <c r="Z18" s="8"/>
      <c r="AA18" s="8"/>
    </row>
    <row r="19" spans="1:30">
      <c r="A19" s="278">
        <v>2029</v>
      </c>
      <c r="B19" s="281"/>
      <c r="C19" s="233">
        <f>(B$20/B$15)^(1/5)-1</f>
        <v>2.3229973599287579E-2</v>
      </c>
      <c r="D19" s="283">
        <f t="shared" si="10"/>
        <v>4.3694573071273446E-2</v>
      </c>
      <c r="E19" s="277"/>
      <c r="F19" s="238">
        <f>(E$20/E$15)^(1/5)-1</f>
        <v>3.2324379535307868E-2</v>
      </c>
      <c r="G19" s="241">
        <f t="shared" si="11"/>
        <v>5.2970867126014065E-2</v>
      </c>
      <c r="H19" s="242"/>
      <c r="I19" s="238">
        <f>(H$20/H$15)^(1/5)-1</f>
        <v>4.21306158714021E-2</v>
      </c>
      <c r="J19" s="241">
        <f t="shared" si="4"/>
        <v>6.2973228188830221E-2</v>
      </c>
      <c r="K19" s="240"/>
      <c r="L19" s="238">
        <f>(K$20/K$15)^(1/5)-1</f>
        <v>-1.838523770942635E-2</v>
      </c>
      <c r="M19" s="237">
        <f t="shared" si="6"/>
        <v>1.2470575363852099E-3</v>
      </c>
      <c r="N19" s="239"/>
      <c r="O19" s="238">
        <f>(N$20/N$15)^(1/5)-1</f>
        <v>1.1281049835639045E-2</v>
      </c>
      <c r="P19" s="237">
        <f t="shared" si="12"/>
        <v>3.1506670832351924E-2</v>
      </c>
      <c r="Q19" s="236"/>
      <c r="R19" s="226">
        <f>(Q$20/Q$15)^(1/5)-1</f>
        <v>-1.4740110176515664E-2</v>
      </c>
      <c r="S19" s="225">
        <f t="shared" si="14"/>
        <v>4.9650876199540672E-3</v>
      </c>
      <c r="T19" s="224">
        <v>0.01</v>
      </c>
      <c r="U19" s="224">
        <v>0.05</v>
      </c>
      <c r="W19" s="9">
        <v>0.02</v>
      </c>
      <c r="Y19" s="8"/>
      <c r="Z19" s="8"/>
      <c r="AA19" s="8"/>
    </row>
    <row r="20" spans="1:30" ht="15.75" thickBot="1">
      <c r="A20" s="278">
        <v>2030</v>
      </c>
      <c r="B20" s="284">
        <v>59</v>
      </c>
      <c r="C20" s="285">
        <f>(B$20/B$15)^(1/5)-1</f>
        <v>2.3229973599287579E-2</v>
      </c>
      <c r="D20" s="286">
        <f t="shared" si="10"/>
        <v>4.3694573071273446E-2</v>
      </c>
      <c r="E20" s="275">
        <v>3.4</v>
      </c>
      <c r="F20" s="229">
        <f>(E$20/E$15)^(1/5)-1</f>
        <v>3.2324379535307868E-2</v>
      </c>
      <c r="G20" s="232">
        <f t="shared" si="11"/>
        <v>5.2970867126014065E-2</v>
      </c>
      <c r="H20" s="231">
        <v>5.9</v>
      </c>
      <c r="I20" s="229">
        <f>(H$20/H$15)^(1/5)-1</f>
        <v>4.21306158714021E-2</v>
      </c>
      <c r="J20" s="232">
        <f t="shared" si="4"/>
        <v>6.2973228188830221E-2</v>
      </c>
      <c r="K20" s="231">
        <v>7.2</v>
      </c>
      <c r="L20" s="229">
        <f>(K$20/K$15)^(1/5)-1</f>
        <v>-1.838523770942635E-2</v>
      </c>
      <c r="M20" s="228">
        <f t="shared" si="6"/>
        <v>1.2470575363852099E-3</v>
      </c>
      <c r="N20" s="230">
        <f>AVERAGE(E20,H20,K20)</f>
        <v>5.5</v>
      </c>
      <c r="O20" s="229">
        <f>(N$20/N$15)^(1/5)-1</f>
        <v>1.1281049835639045E-2</v>
      </c>
      <c r="P20" s="228">
        <f t="shared" si="12"/>
        <v>3.1506670832351924E-2</v>
      </c>
      <c r="Q20" s="227">
        <v>50.6</v>
      </c>
      <c r="R20" s="226">
        <f>(Q$20/Q$15)^(1/5)-1</f>
        <v>-1.4740110176515664E-2</v>
      </c>
      <c r="S20" s="225">
        <f t="shared" si="14"/>
        <v>4.9650876199540672E-3</v>
      </c>
      <c r="T20" s="224">
        <v>0.01</v>
      </c>
      <c r="U20" s="224">
        <v>0.05</v>
      </c>
      <c r="W20" s="9">
        <v>0.02</v>
      </c>
      <c r="Y20" s="8"/>
      <c r="Z20" s="8"/>
      <c r="AA20" s="8"/>
    </row>
    <row r="24" spans="1:30">
      <c r="A24" s="223" t="s">
        <v>502</v>
      </c>
    </row>
    <row r="27" spans="1:30">
      <c r="G27"/>
    </row>
    <row r="30" spans="1:30">
      <c r="H30" s="1"/>
    </row>
  </sheetData>
  <mergeCells count="6">
    <mergeCell ref="B2:C2"/>
    <mergeCell ref="E2:G2"/>
    <mergeCell ref="Q2:S2"/>
    <mergeCell ref="H2:J2"/>
    <mergeCell ref="K2:M2"/>
    <mergeCell ref="N2:P2"/>
  </mergeCells>
  <hyperlinks>
    <hyperlink ref="AB4" r:id="rId1"/>
    <hyperlink ref="AB5" r:id="rId2"/>
    <hyperlink ref="AB6" r:id="rId3"/>
    <hyperlink ref="AB8" r:id="rId4"/>
    <hyperlink ref="AB9" r:id="rId5"/>
    <hyperlink ref="AB10" r:id="rId6"/>
    <hyperlink ref="AB11" r:id="rId7"/>
    <hyperlink ref="AB12" r:id="rId8"/>
    <hyperlink ref="AB13" r:id="rId9"/>
    <hyperlink ref="AB14" r:id="rId10"/>
    <hyperlink ref="AB15" r:id="rId11"/>
    <hyperlink ref="AB16" r:id="rId12"/>
    <hyperlink ref="AB7" r:id="rId13"/>
    <hyperlink ref="AB17" r:id="rId14"/>
  </hyperlinks>
  <pageMargins left="0.7" right="0.7" top="0.75" bottom="0.75" header="0.51180555555555496" footer="0.51180555555555496"/>
  <pageSetup firstPageNumber="0" orientation="portrait" horizontalDpi="300" verticalDpi="300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30"/>
  <sheetViews>
    <sheetView zoomScaleNormal="100" workbookViewId="0"/>
  </sheetViews>
  <sheetFormatPr defaultRowHeight="15"/>
  <cols>
    <col min="1" max="1" width="23" bestFit="1" customWidth="1"/>
    <col min="2" max="2" width="33.7109375" bestFit="1" customWidth="1"/>
    <col min="4" max="4" width="18.28515625" customWidth="1"/>
    <col min="5" max="5" width="42.85546875" bestFit="1" customWidth="1"/>
    <col min="6" max="6" width="16" customWidth="1"/>
    <col min="7" max="7" width="18.28515625" customWidth="1"/>
    <col min="8" max="8" width="14" customWidth="1"/>
    <col min="9" max="9" width="15.28515625" customWidth="1"/>
    <col min="10" max="10" width="17.5703125" customWidth="1"/>
    <col min="12" max="12" width="6.28515625" customWidth="1"/>
    <col min="15" max="15" width="11.85546875" bestFit="1" customWidth="1"/>
    <col min="16" max="16" width="21.140625" bestFit="1" customWidth="1"/>
    <col min="17" max="17" width="12.140625" customWidth="1"/>
    <col min="19" max="19" width="19" customWidth="1"/>
    <col min="21" max="21" width="18.5703125" bestFit="1" customWidth="1"/>
    <col min="23" max="23" width="11.85546875" bestFit="1" customWidth="1"/>
    <col min="24" max="24" width="9.28515625" bestFit="1" customWidth="1"/>
    <col min="34" max="34" width="22.140625" customWidth="1"/>
    <col min="35" max="35" width="21.28515625" customWidth="1"/>
    <col min="40" max="40" width="14.42578125" customWidth="1"/>
    <col min="41" max="41" width="9.28515625" bestFit="1" customWidth="1"/>
    <col min="42" max="42" width="11" customWidth="1"/>
    <col min="43" max="44" width="11.85546875" bestFit="1" customWidth="1"/>
    <col min="45" max="45" width="12.140625" bestFit="1" customWidth="1"/>
    <col min="46" max="46" width="11.85546875" bestFit="1" customWidth="1"/>
    <col min="47" max="47" width="12.140625" bestFit="1" customWidth="1"/>
    <col min="48" max="49" width="9.28515625" bestFit="1" customWidth="1"/>
    <col min="52" max="52" width="14.140625" customWidth="1"/>
    <col min="55" max="55" width="11.5703125" bestFit="1" customWidth="1"/>
    <col min="61" max="61" width="5.140625" customWidth="1"/>
    <col min="63" max="63" width="23.28515625" bestFit="1" customWidth="1"/>
    <col min="64" max="64" width="15" bestFit="1" customWidth="1"/>
    <col min="65" max="65" width="11.28515625" bestFit="1" customWidth="1"/>
    <col min="66" max="66" width="14.140625" bestFit="1" customWidth="1"/>
  </cols>
  <sheetData>
    <row r="1" spans="1:21">
      <c r="A1" t="s">
        <v>23</v>
      </c>
      <c r="D1" t="s">
        <v>406</v>
      </c>
      <c r="E1" s="292" t="s">
        <v>407</v>
      </c>
      <c r="F1" t="s">
        <v>408</v>
      </c>
      <c r="G1" s="292" t="s">
        <v>407</v>
      </c>
      <c r="H1" s="292" t="s">
        <v>407</v>
      </c>
      <c r="I1" t="s">
        <v>408</v>
      </c>
      <c r="J1" s="292" t="s">
        <v>407</v>
      </c>
      <c r="K1" s="6"/>
      <c r="Q1" s="1"/>
      <c r="R1" s="1"/>
      <c r="S1" s="1"/>
      <c r="T1" s="1"/>
      <c r="U1" s="1"/>
    </row>
    <row r="2" spans="1:21" s="126" customFormat="1" ht="86.25" customHeight="1">
      <c r="A2" s="126" t="s">
        <v>0</v>
      </c>
      <c r="B2" s="127" t="s">
        <v>1</v>
      </c>
      <c r="C2" s="126" t="s">
        <v>24</v>
      </c>
      <c r="D2" s="126" t="s">
        <v>400</v>
      </c>
      <c r="E2" s="126" t="s">
        <v>401</v>
      </c>
      <c r="F2" s="126" t="s">
        <v>402</v>
      </c>
      <c r="G2" s="126" t="s">
        <v>403</v>
      </c>
      <c r="H2" s="126" t="s">
        <v>404</v>
      </c>
      <c r="I2" s="126" t="s">
        <v>405</v>
      </c>
      <c r="J2" s="126" t="s">
        <v>399</v>
      </c>
      <c r="K2" s="128"/>
      <c r="M2" s="293" t="s">
        <v>208</v>
      </c>
      <c r="N2" s="293" t="s">
        <v>409</v>
      </c>
      <c r="O2" s="294" t="s">
        <v>410</v>
      </c>
      <c r="P2" s="294" t="s">
        <v>503</v>
      </c>
      <c r="Q2" s="293" t="s">
        <v>411</v>
      </c>
      <c r="R2" s="294" t="s">
        <v>446</v>
      </c>
    </row>
    <row r="3" spans="1:21" ht="18.75" customHeight="1">
      <c r="A3" t="s">
        <v>17</v>
      </c>
      <c r="B3" s="3" t="str">
        <f>VLOOKUP(A3,Maps!$A$1:$C$13,2,FALSE)</f>
        <v>SUBGEOGRAPHY1</v>
      </c>
      <c r="C3">
        <v>2019</v>
      </c>
      <c r="D3">
        <v>0</v>
      </c>
      <c r="E3" s="119">
        <f>P74</f>
        <v>1.1925088514700681</v>
      </c>
      <c r="F3">
        <f>(M3+N3+(R3*N3)+(O3*N3))</f>
        <v>0.2208</v>
      </c>
      <c r="G3">
        <f>P3/1000</f>
        <v>0.4</v>
      </c>
      <c r="H3" s="58">
        <f>BN34</f>
        <v>5.3877554356710808</v>
      </c>
      <c r="I3">
        <f t="shared" ref="I3" si="0">M3+Q3</f>
        <v>0.15000000000000002</v>
      </c>
      <c r="J3">
        <f>P3/1000</f>
        <v>0.4</v>
      </c>
      <c r="K3" s="6"/>
      <c r="M3" s="295">
        <v>0.05</v>
      </c>
      <c r="N3" s="295">
        <v>0.14000000000000001</v>
      </c>
      <c r="O3" s="295">
        <v>0.2</v>
      </c>
      <c r="P3" s="22">
        <v>400</v>
      </c>
      <c r="Q3" s="295">
        <v>0.1</v>
      </c>
      <c r="R3" s="295">
        <v>0.02</v>
      </c>
    </row>
    <row r="4" spans="1:21" ht="18.75" customHeight="1">
      <c r="A4" t="s">
        <v>17</v>
      </c>
      <c r="B4" s="3" t="str">
        <f>VLOOKUP(A4,Maps!$A$1:$C$13,2,FALSE)</f>
        <v>SUBGEOGRAPHY1</v>
      </c>
      <c r="C4">
        <v>2020</v>
      </c>
      <c r="D4">
        <v>0</v>
      </c>
      <c r="E4" s="119">
        <f>P123</f>
        <v>1.1575416897280861</v>
      </c>
      <c r="F4">
        <f>F3</f>
        <v>0.2208</v>
      </c>
      <c r="G4">
        <f>G3</f>
        <v>0.4</v>
      </c>
      <c r="H4" s="58">
        <f>BN83</f>
        <v>4.4931282858430643</v>
      </c>
      <c r="I4">
        <f>I3</f>
        <v>0.15000000000000002</v>
      </c>
      <c r="J4">
        <f>J3</f>
        <v>0.4</v>
      </c>
      <c r="K4" s="6"/>
      <c r="P4" s="126"/>
    </row>
    <row r="5" spans="1:21">
      <c r="A5" t="s">
        <v>17</v>
      </c>
      <c r="B5" s="3" t="str">
        <f>VLOOKUP(A5,Maps!$A$1:$C$13,2,FALSE)</f>
        <v>SUBGEOGRAPHY1</v>
      </c>
      <c r="C5">
        <v>2021</v>
      </c>
      <c r="D5">
        <v>0</v>
      </c>
      <c r="E5" s="129">
        <f>E4*(1+'Growth-Rates'!T10)</f>
        <v>1.1691171066253669</v>
      </c>
      <c r="F5">
        <f t="shared" ref="F5:F15" si="1">F4</f>
        <v>0.2208</v>
      </c>
      <c r="G5">
        <f t="shared" ref="G5:G15" si="2">G4</f>
        <v>0.4</v>
      </c>
      <c r="H5" s="133">
        <f>H4*(1+'Growth-Rates'!S10)</f>
        <v>3.38310180357808</v>
      </c>
      <c r="I5">
        <f t="shared" ref="I5:J15" si="3">I4</f>
        <v>0.15000000000000002</v>
      </c>
      <c r="J5">
        <f t="shared" si="3"/>
        <v>0.4</v>
      </c>
      <c r="K5" s="6"/>
      <c r="P5" s="126"/>
    </row>
    <row r="6" spans="1:21">
      <c r="A6" t="s">
        <v>17</v>
      </c>
      <c r="B6" s="3" t="str">
        <f>VLOOKUP(A6,Maps!$A$1:$C$13,2,FALSE)</f>
        <v>SUBGEOGRAPHY1</v>
      </c>
      <c r="C6">
        <v>2022</v>
      </c>
      <c r="D6">
        <v>0</v>
      </c>
      <c r="E6" s="129">
        <f>E5*(1+'Growth-Rates'!T11)</f>
        <v>1.1808082776916207</v>
      </c>
      <c r="F6">
        <f t="shared" si="1"/>
        <v>0.2208</v>
      </c>
      <c r="G6">
        <f t="shared" si="2"/>
        <v>0.4</v>
      </c>
      <c r="H6" s="133">
        <f>H5*(1+'Growth-Rates'!S11)</f>
        <v>3.4328533006895223</v>
      </c>
      <c r="I6">
        <f t="shared" si="3"/>
        <v>0.15000000000000002</v>
      </c>
      <c r="J6">
        <f t="shared" si="3"/>
        <v>0.4</v>
      </c>
      <c r="K6" s="6"/>
      <c r="N6" t="s">
        <v>481</v>
      </c>
    </row>
    <row r="7" spans="1:21">
      <c r="A7" t="s">
        <v>17</v>
      </c>
      <c r="B7" s="3" t="str">
        <f>VLOOKUP(A7,Maps!$A$1:$C$13,2,FALSE)</f>
        <v>SUBGEOGRAPHY1</v>
      </c>
      <c r="C7">
        <v>2023</v>
      </c>
      <c r="D7">
        <v>0</v>
      </c>
      <c r="E7" s="129">
        <f>E6*(1+'Growth-Rates'!T12)</f>
        <v>1.1926163604685369</v>
      </c>
      <c r="F7">
        <f t="shared" si="1"/>
        <v>0.2208</v>
      </c>
      <c r="G7">
        <f t="shared" si="2"/>
        <v>0.4</v>
      </c>
      <c r="H7" s="133">
        <f>H6*(1+'Growth-Rates'!S12)</f>
        <v>3.4588832839782295</v>
      </c>
      <c r="I7">
        <f t="shared" si="3"/>
        <v>0.15000000000000002</v>
      </c>
      <c r="J7">
        <f t="shared" si="3"/>
        <v>0.4</v>
      </c>
      <c r="K7" s="6"/>
      <c r="N7">
        <v>1</v>
      </c>
      <c r="O7" t="s">
        <v>439</v>
      </c>
    </row>
    <row r="8" spans="1:21">
      <c r="A8" t="s">
        <v>17</v>
      </c>
      <c r="B8" s="3" t="str">
        <f>VLOOKUP(A8,Maps!$A$1:$C$13,2,FALSE)</f>
        <v>SUBGEOGRAPHY1</v>
      </c>
      <c r="C8">
        <v>2024</v>
      </c>
      <c r="D8">
        <v>0</v>
      </c>
      <c r="E8" s="129">
        <f>E7*(1+'Growth-Rates'!T13)</f>
        <v>1.2045425240732224</v>
      </c>
      <c r="F8">
        <f t="shared" si="1"/>
        <v>0.2208</v>
      </c>
      <c r="G8">
        <f t="shared" si="2"/>
        <v>0.4</v>
      </c>
      <c r="H8" s="133">
        <f>H7*(1+'Growth-Rates'!S13)</f>
        <v>3.4783699503668393</v>
      </c>
      <c r="I8">
        <f t="shared" si="3"/>
        <v>0.15000000000000002</v>
      </c>
      <c r="J8">
        <f t="shared" si="3"/>
        <v>0.4</v>
      </c>
      <c r="K8" s="6"/>
      <c r="N8">
        <v>2</v>
      </c>
      <c r="O8" t="s">
        <v>438</v>
      </c>
    </row>
    <row r="9" spans="1:21">
      <c r="A9" t="s">
        <v>17</v>
      </c>
      <c r="B9" s="3" t="str">
        <f>VLOOKUP(A9,Maps!$A$1:$C$13,2,FALSE)</f>
        <v>SUBGEOGRAPHY1</v>
      </c>
      <c r="C9">
        <v>2025</v>
      </c>
      <c r="D9">
        <v>0</v>
      </c>
      <c r="E9" s="129">
        <f>E8*(1+'Growth-Rates'!T14)</f>
        <v>1.2165879493139546</v>
      </c>
      <c r="F9">
        <f t="shared" si="1"/>
        <v>0.2208</v>
      </c>
      <c r="G9">
        <f t="shared" si="2"/>
        <v>0.4</v>
      </c>
      <c r="H9" s="133">
        <f>H8*(1+'Growth-Rates'!S14)</f>
        <v>3.5035881325069989</v>
      </c>
      <c r="I9">
        <f t="shared" si="3"/>
        <v>0.15000000000000002</v>
      </c>
      <c r="J9">
        <f t="shared" si="3"/>
        <v>0.4</v>
      </c>
      <c r="K9" s="6"/>
      <c r="N9">
        <v>3</v>
      </c>
      <c r="O9" t="s">
        <v>440</v>
      </c>
    </row>
    <row r="10" spans="1:21">
      <c r="A10" t="s">
        <v>17</v>
      </c>
      <c r="B10" s="3" t="str">
        <f>VLOOKUP(A10,Maps!$A$1:$C$13,2,FALSE)</f>
        <v>SUBGEOGRAPHY1</v>
      </c>
      <c r="C10">
        <v>2026</v>
      </c>
      <c r="D10">
        <v>0</v>
      </c>
      <c r="E10" s="129">
        <f>E9*(1+'Growth-Rates'!T15)</f>
        <v>1.2287538288070943</v>
      </c>
      <c r="F10">
        <f t="shared" si="1"/>
        <v>0.2208</v>
      </c>
      <c r="G10">
        <f t="shared" si="2"/>
        <v>0.4</v>
      </c>
      <c r="H10" s="133">
        <f>H9*(1+'Growth-Rates'!S15)</f>
        <v>3.5219613794948295</v>
      </c>
      <c r="I10">
        <f t="shared" si="3"/>
        <v>0.15000000000000002</v>
      </c>
      <c r="J10">
        <f t="shared" si="3"/>
        <v>0.4</v>
      </c>
      <c r="K10" s="6"/>
    </row>
    <row r="11" spans="1:21">
      <c r="A11" t="s">
        <v>17</v>
      </c>
      <c r="B11" s="3" t="str">
        <f>VLOOKUP(A11,Maps!$A$1:$C$13,2,FALSE)</f>
        <v>SUBGEOGRAPHY1</v>
      </c>
      <c r="C11">
        <v>2027</v>
      </c>
      <c r="D11">
        <v>0</v>
      </c>
      <c r="E11" s="129">
        <f>E10*(1+'Growth-Rates'!T16)</f>
        <v>1.2410413670951652</v>
      </c>
      <c r="F11">
        <f t="shared" si="1"/>
        <v>0.2208</v>
      </c>
      <c r="G11">
        <f t="shared" si="2"/>
        <v>0.4</v>
      </c>
      <c r="H11" s="133">
        <f>H10*(1+'Growth-Rates'!S16)</f>
        <v>3.5394482263381155</v>
      </c>
      <c r="I11">
        <f t="shared" si="3"/>
        <v>0.15000000000000002</v>
      </c>
      <c r="J11">
        <f t="shared" si="3"/>
        <v>0.4</v>
      </c>
      <c r="K11" s="6"/>
    </row>
    <row r="12" spans="1:21">
      <c r="A12" t="s">
        <v>17</v>
      </c>
      <c r="B12" s="3" t="str">
        <f>VLOOKUP(A12,Maps!$A$1:$C$13,2,FALSE)</f>
        <v>SUBGEOGRAPHY1</v>
      </c>
      <c r="C12">
        <v>2028</v>
      </c>
      <c r="D12">
        <v>0</v>
      </c>
      <c r="E12" s="129">
        <f>E11*(1+'Growth-Rates'!T17)</f>
        <v>1.253451780766117</v>
      </c>
      <c r="F12">
        <f t="shared" si="1"/>
        <v>0.2208</v>
      </c>
      <c r="G12">
        <f t="shared" si="2"/>
        <v>0.4</v>
      </c>
      <c r="H12" s="133">
        <f>H11*(1+'Growth-Rates'!S17)</f>
        <v>3.5570218969081751</v>
      </c>
      <c r="I12">
        <f t="shared" si="3"/>
        <v>0.15000000000000002</v>
      </c>
      <c r="J12">
        <f t="shared" si="3"/>
        <v>0.4</v>
      </c>
      <c r="K12" s="6"/>
    </row>
    <row r="13" spans="1:21">
      <c r="A13" t="s">
        <v>17</v>
      </c>
      <c r="B13" s="3" t="str">
        <f>VLOOKUP(A13,Maps!$A$1:$C$13,2,FALSE)</f>
        <v>SUBGEOGRAPHY1</v>
      </c>
      <c r="C13">
        <v>2029</v>
      </c>
      <c r="D13">
        <v>0</v>
      </c>
      <c r="E13" s="129">
        <f>E12*(1+'Growth-Rates'!T18)</f>
        <v>1.2659862985737782</v>
      </c>
      <c r="F13">
        <f t="shared" si="1"/>
        <v>0.2208</v>
      </c>
      <c r="G13">
        <f t="shared" si="2"/>
        <v>0.4</v>
      </c>
      <c r="H13" s="133">
        <f>H12*(1+'Growth-Rates'!S18)</f>
        <v>3.5746828222924192</v>
      </c>
      <c r="I13">
        <f t="shared" si="3"/>
        <v>0.15000000000000002</v>
      </c>
      <c r="J13">
        <f t="shared" si="3"/>
        <v>0.4</v>
      </c>
      <c r="K13" s="6"/>
    </row>
    <row r="14" spans="1:21">
      <c r="A14" t="s">
        <v>17</v>
      </c>
      <c r="B14" s="3" t="str">
        <f>VLOOKUP(A14,Maps!$A$1:$C$13,2,FALSE)</f>
        <v>SUBGEOGRAPHY1</v>
      </c>
      <c r="C14">
        <v>2030</v>
      </c>
      <c r="D14">
        <v>0</v>
      </c>
      <c r="E14" s="129">
        <f>E13*(1+'Growth-Rates'!T19)</f>
        <v>1.2786461615595159</v>
      </c>
      <c r="F14">
        <f t="shared" si="1"/>
        <v>0.2208</v>
      </c>
      <c r="G14">
        <f t="shared" si="2"/>
        <v>0.4</v>
      </c>
      <c r="H14" s="133">
        <f>H13*(1+'Growth-Rates'!S19)</f>
        <v>3.5924314357186455</v>
      </c>
      <c r="I14">
        <f t="shared" si="3"/>
        <v>0.15000000000000002</v>
      </c>
      <c r="J14">
        <f t="shared" si="3"/>
        <v>0.4</v>
      </c>
      <c r="K14" s="6"/>
    </row>
    <row r="15" spans="1:21">
      <c r="A15" t="s">
        <v>17</v>
      </c>
      <c r="B15" s="3" t="str">
        <f>VLOOKUP(A15,Maps!$A$1:$C$13,2,FALSE)</f>
        <v>SUBGEOGRAPHY1</v>
      </c>
      <c r="C15">
        <v>2031</v>
      </c>
      <c r="D15">
        <v>0</v>
      </c>
      <c r="E15" s="129">
        <f>E14*(1+'Growth-Rates'!T20)</f>
        <v>1.2914326231751112</v>
      </c>
      <c r="F15">
        <f t="shared" si="1"/>
        <v>0.2208</v>
      </c>
      <c r="G15">
        <f t="shared" si="2"/>
        <v>0.4</v>
      </c>
      <c r="H15" s="133">
        <f>H14*(1+'Growth-Rates'!S20)</f>
        <v>3.6102681725656658</v>
      </c>
      <c r="I15">
        <f t="shared" si="3"/>
        <v>0.15000000000000002</v>
      </c>
      <c r="J15">
        <f t="shared" si="3"/>
        <v>0.4</v>
      </c>
      <c r="K15" s="6"/>
    </row>
    <row r="16" spans="1:21">
      <c r="A16" t="s">
        <v>3</v>
      </c>
      <c r="B16" s="3" t="str">
        <f>VLOOKUP(A16,Maps!$A$1:$C$13,2,FALSE)</f>
        <v>SUBGEOGRAPHY1</v>
      </c>
      <c r="C16">
        <v>2019</v>
      </c>
      <c r="D16">
        <v>0</v>
      </c>
      <c r="E16">
        <v>0</v>
      </c>
      <c r="F16">
        <v>0</v>
      </c>
      <c r="G16">
        <v>0</v>
      </c>
      <c r="H16" s="58">
        <f>BN35</f>
        <v>13.899280436753671</v>
      </c>
      <c r="I16">
        <f t="shared" ref="I16" si="4">I15</f>
        <v>0.15000000000000002</v>
      </c>
      <c r="J16">
        <f t="shared" ref="J16:J28" si="5">J15</f>
        <v>0.4</v>
      </c>
      <c r="K16" s="6"/>
    </row>
    <row r="17" spans="1:63">
      <c r="A17" t="s">
        <v>3</v>
      </c>
      <c r="B17" s="3" t="str">
        <f>VLOOKUP(A17,Maps!$A$1:$C$13,2,FALSE)</f>
        <v>SUBGEOGRAPHY1</v>
      </c>
      <c r="C17">
        <v>2020</v>
      </c>
      <c r="D17">
        <v>0</v>
      </c>
      <c r="E17">
        <v>0</v>
      </c>
      <c r="F17">
        <v>0</v>
      </c>
      <c r="G17">
        <v>0</v>
      </c>
      <c r="H17" s="58">
        <f>BN84</f>
        <v>11.421596419149811</v>
      </c>
      <c r="I17">
        <f t="shared" ref="I17" si="6">I16</f>
        <v>0.15000000000000002</v>
      </c>
      <c r="J17">
        <f t="shared" si="5"/>
        <v>0.4</v>
      </c>
      <c r="K17" s="6"/>
    </row>
    <row r="18" spans="1:63">
      <c r="A18" t="s">
        <v>3</v>
      </c>
      <c r="B18" s="3" t="str">
        <f>VLOOKUP(A18,Maps!$A$1:$C$13,2,FALSE)</f>
        <v>SUBGEOGRAPHY1</v>
      </c>
      <c r="C18">
        <v>2021</v>
      </c>
      <c r="D18">
        <v>0</v>
      </c>
      <c r="E18">
        <v>0</v>
      </c>
      <c r="F18">
        <v>0</v>
      </c>
      <c r="G18">
        <v>0</v>
      </c>
      <c r="H18" s="53">
        <f>H17*(1+'Growth-Rates'!S10)</f>
        <v>8.5998932118441402</v>
      </c>
      <c r="I18">
        <f t="shared" ref="I18" si="7">I17</f>
        <v>0.15000000000000002</v>
      </c>
      <c r="J18">
        <f t="shared" si="5"/>
        <v>0.4</v>
      </c>
      <c r="K18" s="6"/>
    </row>
    <row r="19" spans="1:63">
      <c r="A19" t="s">
        <v>3</v>
      </c>
      <c r="B19" s="3" t="str">
        <f>VLOOKUP(A19,Maps!$A$1:$C$13,2,FALSE)</f>
        <v>SUBGEOGRAPHY1</v>
      </c>
      <c r="C19">
        <v>2022</v>
      </c>
      <c r="D19">
        <v>0</v>
      </c>
      <c r="E19">
        <v>0</v>
      </c>
      <c r="F19">
        <v>0</v>
      </c>
      <c r="G19">
        <v>0</v>
      </c>
      <c r="H19" s="53">
        <f>H18*(1+'Growth-Rates'!S11)</f>
        <v>8.7263622296653764</v>
      </c>
      <c r="I19">
        <f t="shared" ref="I19" si="8">I18</f>
        <v>0.15000000000000002</v>
      </c>
      <c r="J19">
        <f t="shared" si="5"/>
        <v>0.4</v>
      </c>
      <c r="K19" s="6"/>
    </row>
    <row r="20" spans="1:63">
      <c r="A20" t="s">
        <v>3</v>
      </c>
      <c r="B20" s="3" t="str">
        <f>VLOOKUP(A20,Maps!$A$1:$C$13,2,FALSE)</f>
        <v>SUBGEOGRAPHY1</v>
      </c>
      <c r="C20">
        <v>2023</v>
      </c>
      <c r="D20">
        <v>0</v>
      </c>
      <c r="E20">
        <v>0</v>
      </c>
      <c r="F20">
        <v>0</v>
      </c>
      <c r="G20">
        <v>0</v>
      </c>
      <c r="H20" s="53">
        <f>H19*(1+'Growth-Rates'!S12)</f>
        <v>8.7925308197894498</v>
      </c>
      <c r="I20">
        <f t="shared" ref="I20" si="9">I19</f>
        <v>0.15000000000000002</v>
      </c>
      <c r="J20">
        <f t="shared" si="5"/>
        <v>0.4</v>
      </c>
      <c r="K20" s="6"/>
    </row>
    <row r="21" spans="1:63">
      <c r="A21" t="s">
        <v>3</v>
      </c>
      <c r="B21" s="3" t="str">
        <f>VLOOKUP(A21,Maps!$A$1:$C$13,2,FALSE)</f>
        <v>SUBGEOGRAPHY1</v>
      </c>
      <c r="C21">
        <v>2024</v>
      </c>
      <c r="D21">
        <v>0</v>
      </c>
      <c r="E21">
        <v>0</v>
      </c>
      <c r="F21">
        <v>0</v>
      </c>
      <c r="G21">
        <v>0</v>
      </c>
      <c r="H21" s="53">
        <f>H20*(1+'Growth-Rates'!S13)</f>
        <v>8.8420662046896723</v>
      </c>
      <c r="I21">
        <f t="shared" ref="I21" si="10">I20</f>
        <v>0.15000000000000002</v>
      </c>
      <c r="J21">
        <f t="shared" si="5"/>
        <v>0.4</v>
      </c>
      <c r="K21" s="6"/>
    </row>
    <row r="22" spans="1:63">
      <c r="A22" t="s">
        <v>3</v>
      </c>
      <c r="B22" s="3" t="str">
        <f>VLOOKUP(A22,Maps!$A$1:$C$13,2,FALSE)</f>
        <v>SUBGEOGRAPHY1</v>
      </c>
      <c r="C22">
        <v>2025</v>
      </c>
      <c r="D22">
        <v>0</v>
      </c>
      <c r="E22">
        <v>0</v>
      </c>
      <c r="F22">
        <v>0</v>
      </c>
      <c r="G22">
        <v>0</v>
      </c>
      <c r="H22" s="53">
        <f>H21*(1+'Growth-Rates'!S14)</f>
        <v>8.9061711846736724</v>
      </c>
      <c r="I22">
        <f t="shared" ref="I22" si="11">I21</f>
        <v>0.15000000000000002</v>
      </c>
      <c r="J22">
        <f t="shared" si="5"/>
        <v>0.4</v>
      </c>
      <c r="K22" s="6"/>
    </row>
    <row r="23" spans="1:63">
      <c r="A23" t="s">
        <v>3</v>
      </c>
      <c r="B23" s="3" t="str">
        <f>VLOOKUP(A23,Maps!$A$1:$C$13,2,FALSE)</f>
        <v>SUBGEOGRAPHY1</v>
      </c>
      <c r="C23">
        <v>2026</v>
      </c>
      <c r="D23">
        <v>0</v>
      </c>
      <c r="E23">
        <v>0</v>
      </c>
      <c r="F23">
        <v>0</v>
      </c>
      <c r="G23">
        <v>0</v>
      </c>
      <c r="H23" s="53">
        <f>H22*(1+'Growth-Rates'!S15)</f>
        <v>8.9528762415191583</v>
      </c>
      <c r="I23">
        <f t="shared" ref="I23" si="12">I22</f>
        <v>0.15000000000000002</v>
      </c>
      <c r="J23">
        <f t="shared" si="5"/>
        <v>0.4</v>
      </c>
      <c r="K23" s="6"/>
    </row>
    <row r="24" spans="1:63">
      <c r="A24" t="s">
        <v>3</v>
      </c>
      <c r="B24" s="3" t="str">
        <f>VLOOKUP(A24,Maps!$A$1:$C$13,2,FALSE)</f>
        <v>SUBGEOGRAPHY1</v>
      </c>
      <c r="C24">
        <v>2027</v>
      </c>
      <c r="D24">
        <v>0</v>
      </c>
      <c r="E24">
        <v>0</v>
      </c>
      <c r="F24">
        <v>0</v>
      </c>
      <c r="G24">
        <v>0</v>
      </c>
      <c r="H24" s="53">
        <f>H23*(1+'Growth-Rates'!S16)</f>
        <v>8.9973280565089055</v>
      </c>
      <c r="I24">
        <f t="shared" ref="I24" si="13">I23</f>
        <v>0.15000000000000002</v>
      </c>
      <c r="J24">
        <f t="shared" si="5"/>
        <v>0.4</v>
      </c>
      <c r="K24" s="6"/>
    </row>
    <row r="25" spans="1:63">
      <c r="A25" t="s">
        <v>3</v>
      </c>
      <c r="B25" s="3" t="str">
        <f>VLOOKUP(A25,Maps!$A$1:$C$13,2,FALSE)</f>
        <v>SUBGEOGRAPHY1</v>
      </c>
      <c r="C25">
        <v>2028</v>
      </c>
      <c r="D25">
        <v>0</v>
      </c>
      <c r="E25">
        <v>0</v>
      </c>
      <c r="F25">
        <v>0</v>
      </c>
      <c r="G25">
        <v>0</v>
      </c>
      <c r="H25" s="53">
        <f>H24*(1+'Growth-Rates'!S17)</f>
        <v>9.0420005786549424</v>
      </c>
      <c r="I25">
        <f t="shared" ref="I25" si="14">I24</f>
        <v>0.15000000000000002</v>
      </c>
      <c r="J25">
        <f t="shared" si="5"/>
        <v>0.4</v>
      </c>
      <c r="K25" s="6"/>
    </row>
    <row r="26" spans="1:63">
      <c r="A26" t="s">
        <v>3</v>
      </c>
      <c r="B26" s="3" t="str">
        <f>VLOOKUP(A26,Maps!$A$1:$C$13,2,FALSE)</f>
        <v>SUBGEOGRAPHY1</v>
      </c>
      <c r="C26">
        <v>2029</v>
      </c>
      <c r="D26">
        <v>0</v>
      </c>
      <c r="E26">
        <v>0</v>
      </c>
      <c r="F26">
        <v>0</v>
      </c>
      <c r="G26">
        <v>0</v>
      </c>
      <c r="H26" s="53">
        <f>H25*(1+'Growth-Rates'!S18)</f>
        <v>9.0868949037876394</v>
      </c>
      <c r="I26">
        <f t="shared" ref="I26" si="15">I25</f>
        <v>0.15000000000000002</v>
      </c>
      <c r="J26">
        <f t="shared" si="5"/>
        <v>0.4</v>
      </c>
      <c r="K26" s="6"/>
    </row>
    <row r="27" spans="1:63">
      <c r="A27" t="s">
        <v>3</v>
      </c>
      <c r="B27" s="3" t="str">
        <f>VLOOKUP(A27,Maps!$A$1:$C$13,2,FALSE)</f>
        <v>SUBGEOGRAPHY1</v>
      </c>
      <c r="C27">
        <v>2030</v>
      </c>
      <c r="D27">
        <v>0</v>
      </c>
      <c r="E27">
        <v>0</v>
      </c>
      <c r="F27">
        <v>0</v>
      </c>
      <c r="G27">
        <v>0</v>
      </c>
      <c r="H27" s="53">
        <f>H26*(1+'Growth-Rates'!S19)</f>
        <v>9.1320121331782591</v>
      </c>
      <c r="I27">
        <f t="shared" ref="I27" si="16">I26</f>
        <v>0.15000000000000002</v>
      </c>
      <c r="J27">
        <f t="shared" si="5"/>
        <v>0.4</v>
      </c>
      <c r="K27" s="6"/>
    </row>
    <row r="28" spans="1:63">
      <c r="A28" t="s">
        <v>3</v>
      </c>
      <c r="B28" s="3" t="str">
        <f>VLOOKUP(A28,Maps!$A$1:$C$13,2,FALSE)</f>
        <v>SUBGEOGRAPHY1</v>
      </c>
      <c r="C28">
        <v>2031</v>
      </c>
      <c r="D28">
        <v>0</v>
      </c>
      <c r="E28">
        <v>0</v>
      </c>
      <c r="F28">
        <v>0</v>
      </c>
      <c r="G28">
        <v>0</v>
      </c>
      <c r="H28" s="53">
        <f>H27*(1+'Growth-Rates'!S20)</f>
        <v>9.1773533735659729</v>
      </c>
      <c r="I28">
        <f t="shared" ref="I28" si="17">I27</f>
        <v>0.15000000000000002</v>
      </c>
      <c r="J28">
        <f t="shared" si="5"/>
        <v>0.4</v>
      </c>
      <c r="K28" s="6"/>
    </row>
    <row r="29" spans="1:6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63" ht="2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108"/>
      <c r="M30" s="116" t="s">
        <v>243</v>
      </c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2"/>
      <c r="BK30" s="116" t="s">
        <v>244</v>
      </c>
    </row>
    <row r="31" spans="1:63" ht="18.75">
      <c r="A31" t="s">
        <v>445</v>
      </c>
      <c r="L31" s="108"/>
      <c r="M31" s="63" t="s">
        <v>518</v>
      </c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2"/>
    </row>
    <row r="32" spans="1:63" ht="33.75">
      <c r="E32" s="312"/>
      <c r="L32" s="108"/>
      <c r="M32" s="64" t="s">
        <v>513</v>
      </c>
      <c r="N32" s="64"/>
      <c r="O32" s="64"/>
      <c r="P32" s="64"/>
      <c r="Q32" s="65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 t="s">
        <v>183</v>
      </c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11"/>
      <c r="BJ32" s="60"/>
    </row>
    <row r="33" spans="5:67" ht="60" customHeight="1">
      <c r="E33" s="297"/>
      <c r="L33" s="108"/>
      <c r="M33" s="407" t="s">
        <v>514</v>
      </c>
      <c r="N33" s="407"/>
      <c r="O33" s="407"/>
      <c r="P33" s="407"/>
      <c r="Q33" s="407"/>
      <c r="R33" s="407"/>
      <c r="S33" s="407"/>
      <c r="T33" s="407"/>
      <c r="U33" s="407"/>
      <c r="V33" s="407"/>
      <c r="W33" s="407"/>
      <c r="X33" s="407"/>
      <c r="Y33" s="407"/>
      <c r="Z33" s="407"/>
      <c r="AA33" s="407"/>
      <c r="AB33" s="407"/>
      <c r="AC33" s="407"/>
      <c r="AD33" s="407"/>
      <c r="AE33" s="407"/>
      <c r="AF33" s="67"/>
      <c r="AG33" s="67"/>
      <c r="AH33" s="67"/>
      <c r="AI33" s="67"/>
      <c r="AJ33" s="67"/>
      <c r="AK33" s="67"/>
      <c r="AL33" s="65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11"/>
      <c r="BK33" s="118" t="s">
        <v>172</v>
      </c>
      <c r="BL33" s="118" t="s">
        <v>173</v>
      </c>
      <c r="BM33" s="118" t="s">
        <v>174</v>
      </c>
      <c r="BN33" s="118" t="s">
        <v>175</v>
      </c>
    </row>
    <row r="34" spans="5:67" ht="45.75" customHeight="1">
      <c r="E34" s="297"/>
      <c r="L34" s="108"/>
      <c r="M34" s="408" t="s">
        <v>51</v>
      </c>
      <c r="N34" s="409" t="s">
        <v>52</v>
      </c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  <c r="Z34" s="409"/>
      <c r="AA34" s="409"/>
      <c r="AB34" s="409"/>
      <c r="AC34" s="409"/>
      <c r="AD34" s="409"/>
      <c r="AE34" s="409"/>
      <c r="AF34" s="67"/>
      <c r="AG34" s="67"/>
      <c r="AH34" s="67"/>
      <c r="AI34" s="67"/>
      <c r="AJ34" s="67"/>
      <c r="AK34" s="67"/>
      <c r="AL34" s="69"/>
      <c r="AM34" s="412" t="s">
        <v>69</v>
      </c>
      <c r="AN34" s="412"/>
      <c r="AO34" s="412"/>
      <c r="AP34" s="412"/>
      <c r="AQ34" s="412"/>
      <c r="AR34" s="412"/>
      <c r="AS34" s="412"/>
      <c r="AT34" s="412"/>
      <c r="AU34" s="412"/>
      <c r="AV34" s="412"/>
      <c r="AW34" s="412"/>
      <c r="AX34" s="70"/>
      <c r="AY34" s="412" t="s">
        <v>70</v>
      </c>
      <c r="AZ34" s="412"/>
      <c r="BA34" s="412"/>
      <c r="BB34" s="412"/>
      <c r="BC34" s="412"/>
      <c r="BD34" s="412"/>
      <c r="BE34" s="412"/>
      <c r="BF34" s="412"/>
      <c r="BG34" s="412"/>
      <c r="BH34" s="412"/>
      <c r="BI34" s="14"/>
      <c r="BK34" s="17" t="s">
        <v>176</v>
      </c>
      <c r="BL34" s="17">
        <v>183.51</v>
      </c>
      <c r="BM34" s="17">
        <v>988707</v>
      </c>
      <c r="BN34" s="117">
        <f>(BM34*10^3)/(BL34*10^6)</f>
        <v>5.3877554356710808</v>
      </c>
      <c r="BO34" s="61" t="s">
        <v>188</v>
      </c>
    </row>
    <row r="35" spans="5:67">
      <c r="L35" s="108"/>
      <c r="M35" s="408"/>
      <c r="N35" s="394" t="s">
        <v>53</v>
      </c>
      <c r="O35" s="394" t="s">
        <v>54</v>
      </c>
      <c r="P35" s="410" t="s">
        <v>55</v>
      </c>
      <c r="Q35" s="410"/>
      <c r="R35" s="410"/>
      <c r="S35" s="394" t="s">
        <v>56</v>
      </c>
      <c r="T35" s="394" t="s">
        <v>57</v>
      </c>
      <c r="U35" s="394" t="s">
        <v>58</v>
      </c>
      <c r="V35" s="394" t="s">
        <v>59</v>
      </c>
      <c r="W35" s="394" t="s">
        <v>60</v>
      </c>
      <c r="X35" s="394" t="s">
        <v>61</v>
      </c>
      <c r="Y35" s="394" t="s">
        <v>62</v>
      </c>
      <c r="Z35" s="394" t="s">
        <v>63</v>
      </c>
      <c r="AA35" s="394" t="s">
        <v>64</v>
      </c>
      <c r="AB35" s="394" t="s">
        <v>65</v>
      </c>
      <c r="AC35" s="394" t="s">
        <v>66</v>
      </c>
      <c r="AD35" s="411" t="s">
        <v>67</v>
      </c>
      <c r="AE35" s="394" t="s">
        <v>68</v>
      </c>
      <c r="AF35" s="67"/>
      <c r="AG35" s="67"/>
      <c r="AH35" s="67"/>
      <c r="AI35" s="67"/>
      <c r="AJ35" s="67"/>
      <c r="AK35" s="67"/>
      <c r="AL35" s="65"/>
      <c r="AM35" s="413" t="s">
        <v>74</v>
      </c>
      <c r="AN35" s="414" t="s">
        <v>75</v>
      </c>
      <c r="AO35" s="414" t="s">
        <v>76</v>
      </c>
      <c r="AP35" s="414"/>
      <c r="AQ35" s="414"/>
      <c r="AR35" s="414"/>
      <c r="AS35" s="414"/>
      <c r="AT35" s="414"/>
      <c r="AU35" s="414"/>
      <c r="AV35" s="414"/>
      <c r="AW35" s="414"/>
      <c r="AX35" s="71"/>
      <c r="AY35" s="413" t="s">
        <v>74</v>
      </c>
      <c r="AZ35" s="414" t="s">
        <v>75</v>
      </c>
      <c r="BA35" s="414" t="s">
        <v>76</v>
      </c>
      <c r="BB35" s="414"/>
      <c r="BC35" s="414"/>
      <c r="BD35" s="414"/>
      <c r="BE35" s="414"/>
      <c r="BF35" s="414"/>
      <c r="BG35" s="414"/>
      <c r="BH35" s="414"/>
      <c r="BI35" s="11"/>
      <c r="BK35" s="17" t="s">
        <v>177</v>
      </c>
      <c r="BL35" s="17">
        <v>51.837000000000003</v>
      </c>
      <c r="BM35" s="17">
        <v>720497</v>
      </c>
      <c r="BN35" s="117">
        <f>(BM35*10^3)/(BL35*10^6)</f>
        <v>13.899280436753671</v>
      </c>
      <c r="BO35" s="61" t="s">
        <v>188</v>
      </c>
    </row>
    <row r="36" spans="5:67" ht="50.25">
      <c r="E36" s="297"/>
      <c r="L36" s="108"/>
      <c r="M36" s="408"/>
      <c r="N36" s="394"/>
      <c r="O36" s="394"/>
      <c r="P36" s="72" t="s">
        <v>71</v>
      </c>
      <c r="Q36" s="72" t="s">
        <v>72</v>
      </c>
      <c r="R36" s="72" t="s">
        <v>73</v>
      </c>
      <c r="S36" s="394"/>
      <c r="T36" s="394"/>
      <c r="U36" s="394"/>
      <c r="V36" s="394"/>
      <c r="W36" s="394"/>
      <c r="X36" s="394"/>
      <c r="Y36" s="394"/>
      <c r="Z36" s="394"/>
      <c r="AA36" s="394"/>
      <c r="AB36" s="394"/>
      <c r="AC36" s="394"/>
      <c r="AD36" s="411"/>
      <c r="AE36" s="394"/>
      <c r="AF36" s="67"/>
      <c r="AG36" s="67"/>
      <c r="AH36" s="67"/>
      <c r="AI36" s="67"/>
      <c r="AJ36" s="67"/>
      <c r="AK36" s="67"/>
      <c r="AL36" s="65"/>
      <c r="AM36" s="413"/>
      <c r="AN36" s="414"/>
      <c r="AO36" s="73" t="s">
        <v>78</v>
      </c>
      <c r="AP36" s="73" t="s">
        <v>79</v>
      </c>
      <c r="AQ36" s="73" t="s">
        <v>80</v>
      </c>
      <c r="AR36" s="73" t="s">
        <v>81</v>
      </c>
      <c r="AS36" s="73" t="s">
        <v>82</v>
      </c>
      <c r="AT36" s="73" t="s">
        <v>83</v>
      </c>
      <c r="AU36" s="73" t="s">
        <v>84</v>
      </c>
      <c r="AV36" s="73" t="s">
        <v>85</v>
      </c>
      <c r="AW36" s="74" t="s">
        <v>71</v>
      </c>
      <c r="AX36" s="71"/>
      <c r="AY36" s="413"/>
      <c r="AZ36" s="414"/>
      <c r="BA36" s="73" t="s">
        <v>78</v>
      </c>
      <c r="BB36" s="73" t="s">
        <v>79</v>
      </c>
      <c r="BC36" s="73" t="s">
        <v>80</v>
      </c>
      <c r="BD36" s="73" t="s">
        <v>81</v>
      </c>
      <c r="BE36" s="73" t="s">
        <v>82</v>
      </c>
      <c r="BF36" s="73" t="s">
        <v>83</v>
      </c>
      <c r="BG36" s="73" t="s">
        <v>84</v>
      </c>
      <c r="BH36" s="73" t="s">
        <v>85</v>
      </c>
      <c r="BI36" s="11"/>
      <c r="BK36" s="23"/>
      <c r="BL36" s="23"/>
      <c r="BM36" s="23"/>
      <c r="BN36" s="54">
        <f>SUMPRODUCT(BL34:BL35,BN34:BN35)/SUM(BL34:BL35)</f>
        <v>7.2624847565509665</v>
      </c>
    </row>
    <row r="37" spans="5:67">
      <c r="E37" s="313"/>
      <c r="L37" s="108"/>
      <c r="M37" s="75" t="s">
        <v>77</v>
      </c>
      <c r="N37" s="76"/>
      <c r="O37" s="77"/>
      <c r="P37" s="77">
        <v>0.11700000000000001</v>
      </c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8">
        <f t="shared" ref="AD37:AD63" si="18">SUM(P37:AC37)</f>
        <v>0.11700000000000001</v>
      </c>
      <c r="AE37" s="79">
        <f t="shared" ref="AE37:AE63" si="19">N37+O37</f>
        <v>0</v>
      </c>
      <c r="AF37" s="67"/>
      <c r="AG37" s="67"/>
      <c r="AH37" s="67"/>
      <c r="AI37" s="67"/>
      <c r="AJ37" s="67"/>
      <c r="AK37" s="67"/>
      <c r="AL37" s="65"/>
      <c r="AM37" s="80">
        <v>-1</v>
      </c>
      <c r="AN37" s="81">
        <v>-2</v>
      </c>
      <c r="AO37" s="82">
        <v>-3</v>
      </c>
      <c r="AP37" s="82">
        <v>-4</v>
      </c>
      <c r="AQ37" s="82">
        <v>-5</v>
      </c>
      <c r="AR37" s="82">
        <v>-6</v>
      </c>
      <c r="AS37" s="82">
        <v>-7</v>
      </c>
      <c r="AT37" s="82">
        <v>-8</v>
      </c>
      <c r="AU37" s="82">
        <v>-9</v>
      </c>
      <c r="AV37" s="82">
        <v>-10</v>
      </c>
      <c r="AW37" s="82">
        <v>-11</v>
      </c>
      <c r="AX37" s="70"/>
      <c r="AY37" s="80">
        <v>-1</v>
      </c>
      <c r="AZ37" s="81">
        <v>-2</v>
      </c>
      <c r="BA37" s="82">
        <v>-3</v>
      </c>
      <c r="BB37" s="82">
        <v>-4</v>
      </c>
      <c r="BC37" s="82">
        <v>-5</v>
      </c>
      <c r="BD37" s="82">
        <v>-6</v>
      </c>
      <c r="BE37" s="82">
        <v>-7</v>
      </c>
      <c r="BF37" s="82">
        <v>-8</v>
      </c>
      <c r="BG37" s="82">
        <v>-9</v>
      </c>
      <c r="BH37" s="82">
        <v>-10</v>
      </c>
      <c r="BI37" s="11"/>
    </row>
    <row r="38" spans="5:67" ht="45">
      <c r="E38" s="297"/>
      <c r="K38" s="28"/>
      <c r="L38" s="108"/>
      <c r="M38" s="75" t="s">
        <v>86</v>
      </c>
      <c r="N38" s="76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>
        <v>0.17899999999999999</v>
      </c>
      <c r="AD38" s="78">
        <f t="shared" si="18"/>
        <v>0.17899999999999999</v>
      </c>
      <c r="AE38" s="79">
        <f t="shared" si="19"/>
        <v>0</v>
      </c>
      <c r="AF38" s="67"/>
      <c r="AG38" s="67"/>
      <c r="AH38" s="67"/>
      <c r="AI38" s="67"/>
      <c r="AJ38" s="67"/>
      <c r="AK38" s="67"/>
      <c r="AL38" s="65"/>
      <c r="AM38" s="83" t="s">
        <v>139</v>
      </c>
      <c r="AN38" s="84" t="s">
        <v>89</v>
      </c>
      <c r="AO38" s="85"/>
      <c r="AP38" s="85"/>
      <c r="AQ38" s="86">
        <v>3110</v>
      </c>
      <c r="AR38" s="86">
        <v>2590</v>
      </c>
      <c r="AS38" s="87">
        <v>1910</v>
      </c>
      <c r="AT38" s="86">
        <v>1780</v>
      </c>
      <c r="AU38" s="86">
        <v>2800</v>
      </c>
      <c r="AV38" s="87">
        <v>2330</v>
      </c>
      <c r="AW38" s="85"/>
      <c r="AX38" s="88"/>
      <c r="AY38" s="83" t="s">
        <v>88</v>
      </c>
      <c r="AZ38" s="84" t="s">
        <v>89</v>
      </c>
      <c r="BA38" s="85"/>
      <c r="BB38" s="85"/>
      <c r="BC38" s="86">
        <v>2390</v>
      </c>
      <c r="BD38" s="86">
        <v>1990</v>
      </c>
      <c r="BE38" s="87">
        <v>1470</v>
      </c>
      <c r="BF38" s="86">
        <v>1370</v>
      </c>
      <c r="BG38" s="86">
        <v>2150</v>
      </c>
      <c r="BH38" s="87">
        <v>1790</v>
      </c>
      <c r="BI38" s="11"/>
    </row>
    <row r="39" spans="5:67" ht="28.5">
      <c r="L39" s="108"/>
      <c r="M39" s="75" t="s">
        <v>87</v>
      </c>
      <c r="N39" s="76"/>
      <c r="O39" s="77"/>
      <c r="P39" s="77">
        <v>0.253</v>
      </c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8">
        <f t="shared" si="18"/>
        <v>0.253</v>
      </c>
      <c r="AE39" s="79">
        <f t="shared" si="19"/>
        <v>0</v>
      </c>
      <c r="AF39" s="67"/>
      <c r="AG39" s="67"/>
      <c r="AH39" s="395" t="s">
        <v>505</v>
      </c>
      <c r="AI39" s="395"/>
      <c r="AJ39" s="89"/>
      <c r="AK39" s="89"/>
      <c r="AL39" s="65"/>
      <c r="AM39" s="83" t="s">
        <v>92</v>
      </c>
      <c r="AN39" s="84" t="s">
        <v>89</v>
      </c>
      <c r="AO39" s="86">
        <v>5860</v>
      </c>
      <c r="AP39" s="86">
        <v>5635</v>
      </c>
      <c r="AQ39" s="86">
        <v>5028</v>
      </c>
      <c r="AR39" s="86">
        <v>3840</v>
      </c>
      <c r="AS39" s="87">
        <v>3060</v>
      </c>
      <c r="AT39" s="86">
        <v>2892</v>
      </c>
      <c r="AU39" s="85"/>
      <c r="AV39" s="85"/>
      <c r="AW39" s="87">
        <v>5810</v>
      </c>
      <c r="AX39" s="88"/>
      <c r="AY39" s="83" t="s">
        <v>92</v>
      </c>
      <c r="AZ39" s="84" t="s">
        <v>89</v>
      </c>
      <c r="BA39" s="86"/>
      <c r="BB39" s="86"/>
      <c r="BC39" s="86">
        <v>4190</v>
      </c>
      <c r="BD39" s="86">
        <v>3200</v>
      </c>
      <c r="BE39" s="87">
        <v>2550</v>
      </c>
      <c r="BF39" s="86">
        <v>2410</v>
      </c>
      <c r="BG39" s="85"/>
      <c r="BH39" s="85"/>
      <c r="BI39" s="11"/>
    </row>
    <row r="40" spans="5:67" ht="28.5">
      <c r="L40" s="108"/>
      <c r="M40" s="75" t="s">
        <v>90</v>
      </c>
      <c r="N40" s="77">
        <v>4.2000000000000003E-2</v>
      </c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8">
        <f t="shared" si="18"/>
        <v>0</v>
      </c>
      <c r="AE40" s="79">
        <f t="shared" si="19"/>
        <v>4.2000000000000003E-2</v>
      </c>
      <c r="AF40" s="67"/>
      <c r="AG40" s="67"/>
      <c r="AH40" s="395"/>
      <c r="AI40" s="395"/>
      <c r="AJ40" s="89"/>
      <c r="AK40" s="89"/>
      <c r="AL40" s="65"/>
      <c r="AM40" s="83" t="s">
        <v>94</v>
      </c>
      <c r="AN40" s="84" t="s">
        <v>89</v>
      </c>
      <c r="AO40" s="86">
        <v>4880</v>
      </c>
      <c r="AP40" s="86">
        <v>4080</v>
      </c>
      <c r="AQ40" s="86">
        <v>3450</v>
      </c>
      <c r="AR40" s="86">
        <v>3210</v>
      </c>
      <c r="AS40" s="87">
        <v>2750</v>
      </c>
      <c r="AT40" s="86">
        <v>2300</v>
      </c>
      <c r="AU40" s="85"/>
      <c r="AV40" s="85"/>
      <c r="AW40" s="85"/>
      <c r="AX40" s="88"/>
      <c r="AY40" s="83" t="s">
        <v>94</v>
      </c>
      <c r="AZ40" s="84" t="s">
        <v>89</v>
      </c>
      <c r="BA40" s="86"/>
      <c r="BB40" s="86"/>
      <c r="BC40" s="86">
        <v>3450</v>
      </c>
      <c r="BD40" s="86">
        <v>3210</v>
      </c>
      <c r="BE40" s="87">
        <v>2750</v>
      </c>
      <c r="BF40" s="86">
        <v>1120</v>
      </c>
      <c r="BG40" s="85"/>
      <c r="BH40" s="85"/>
      <c r="BI40" s="11"/>
    </row>
    <row r="41" spans="5:67" ht="28.5">
      <c r="L41" s="108"/>
      <c r="M41" s="75" t="s">
        <v>91</v>
      </c>
      <c r="N41" s="90">
        <v>2.508</v>
      </c>
      <c r="O41" s="91"/>
      <c r="P41" s="92">
        <v>0.32</v>
      </c>
      <c r="Q41" s="92">
        <v>0.129</v>
      </c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78">
        <f t="shared" si="18"/>
        <v>0.44900000000000001</v>
      </c>
      <c r="AE41" s="79">
        <f t="shared" si="19"/>
        <v>2.508</v>
      </c>
      <c r="AF41" s="67"/>
      <c r="AG41" s="67"/>
      <c r="AH41" s="395"/>
      <c r="AI41" s="395"/>
      <c r="AJ41" s="89"/>
      <c r="AK41" s="89"/>
      <c r="AL41" s="65"/>
      <c r="AM41" s="83" t="s">
        <v>98</v>
      </c>
      <c r="AN41" s="84" t="s">
        <v>89</v>
      </c>
      <c r="AO41" s="85"/>
      <c r="AP41" s="85"/>
      <c r="AQ41" s="85"/>
      <c r="AR41" s="86">
        <v>2220</v>
      </c>
      <c r="AS41" s="87">
        <v>1830</v>
      </c>
      <c r="AT41" s="86">
        <v>1680</v>
      </c>
      <c r="AU41" s="85"/>
      <c r="AV41" s="85"/>
      <c r="AW41" s="85"/>
      <c r="AX41" s="88"/>
      <c r="AY41" s="83" t="s">
        <v>98</v>
      </c>
      <c r="AZ41" s="84" t="s">
        <v>89</v>
      </c>
      <c r="BA41" s="85"/>
      <c r="BB41" s="85"/>
      <c r="BC41" s="85">
        <v>1710</v>
      </c>
      <c r="BD41" s="86">
        <v>1410</v>
      </c>
      <c r="BE41" s="87">
        <v>1290</v>
      </c>
      <c r="BF41" s="86"/>
      <c r="BG41" s="85"/>
      <c r="BH41" s="85"/>
      <c r="BI41" s="11"/>
    </row>
    <row r="42" spans="5:67" ht="28.5">
      <c r="L42" s="108"/>
      <c r="M42" s="75" t="s">
        <v>93</v>
      </c>
      <c r="N42" s="90">
        <v>5.0529999999999999</v>
      </c>
      <c r="O42" s="91"/>
      <c r="P42" s="92">
        <v>0.156</v>
      </c>
      <c r="Q42" s="92">
        <v>2.5739999999999998</v>
      </c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2">
        <v>1.0820000000000001</v>
      </c>
      <c r="AD42" s="78">
        <f t="shared" si="18"/>
        <v>3.8120000000000003</v>
      </c>
      <c r="AE42" s="79">
        <f t="shared" si="19"/>
        <v>5.0529999999999999</v>
      </c>
      <c r="AF42" s="67"/>
      <c r="AG42" s="67"/>
      <c r="AH42" s="395"/>
      <c r="AI42" s="395"/>
      <c r="AJ42" s="89"/>
      <c r="AK42" s="89"/>
      <c r="AL42" s="65"/>
      <c r="AM42" s="83" t="s">
        <v>100</v>
      </c>
      <c r="AN42" s="84" t="s">
        <v>89</v>
      </c>
      <c r="AO42" s="85"/>
      <c r="AP42" s="85"/>
      <c r="AQ42" s="85"/>
      <c r="AR42" s="85"/>
      <c r="AS42" s="85"/>
      <c r="AT42" s="85"/>
      <c r="AU42" s="86">
        <v>2260</v>
      </c>
      <c r="AV42" s="87">
        <v>1890</v>
      </c>
      <c r="AW42" s="85"/>
      <c r="AX42" s="88"/>
      <c r="AY42" s="83" t="s">
        <v>100</v>
      </c>
      <c r="AZ42" s="84" t="s">
        <v>89</v>
      </c>
      <c r="BA42" s="85"/>
      <c r="BB42" s="85"/>
      <c r="BC42" s="85"/>
      <c r="BD42" s="85"/>
      <c r="BE42" s="85"/>
      <c r="BF42" s="85"/>
      <c r="BG42" s="86">
        <v>1740</v>
      </c>
      <c r="BH42" s="87">
        <v>1450</v>
      </c>
      <c r="BI42" s="11"/>
    </row>
    <row r="43" spans="5:67">
      <c r="L43" s="108"/>
      <c r="M43" s="75" t="s">
        <v>95</v>
      </c>
      <c r="N43" s="90">
        <v>19.224</v>
      </c>
      <c r="O43" s="93">
        <v>1.7999999999999999E-2</v>
      </c>
      <c r="P43" s="92">
        <v>5.1360000000000001</v>
      </c>
      <c r="Q43" s="92">
        <v>2.7629999999999999</v>
      </c>
      <c r="R43" s="92">
        <v>0.60499999999999998</v>
      </c>
      <c r="S43" s="91"/>
      <c r="T43" s="91"/>
      <c r="U43" s="91"/>
      <c r="V43" s="92">
        <v>0.51800000000000002</v>
      </c>
      <c r="W43" s="91"/>
      <c r="X43" s="91"/>
      <c r="Y43" s="91"/>
      <c r="Z43" s="91"/>
      <c r="AA43" s="91"/>
      <c r="AB43" s="91"/>
      <c r="AC43" s="92">
        <v>2.641</v>
      </c>
      <c r="AD43" s="78">
        <f t="shared" si="18"/>
        <v>11.663</v>
      </c>
      <c r="AE43" s="79">
        <f t="shared" si="19"/>
        <v>19.242000000000001</v>
      </c>
      <c r="AF43" s="67"/>
      <c r="AG43" s="94"/>
      <c r="AH43" s="396" t="s">
        <v>515</v>
      </c>
      <c r="AI43" s="396" t="s">
        <v>516</v>
      </c>
      <c r="AJ43" s="89"/>
      <c r="AK43" s="89"/>
      <c r="AL43" s="65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11"/>
    </row>
    <row r="44" spans="5:67" ht="94.5" customHeight="1">
      <c r="L44" s="108"/>
      <c r="M44" s="95" t="s">
        <v>99</v>
      </c>
      <c r="N44" s="96">
        <v>26.827000000000002</v>
      </c>
      <c r="O44" s="97">
        <v>1.7999999999999999E-2</v>
      </c>
      <c r="P44" s="98">
        <v>5.9820000000000002</v>
      </c>
      <c r="Q44" s="98">
        <v>5.4660000000000002</v>
      </c>
      <c r="R44" s="98">
        <v>0.60499999999999998</v>
      </c>
      <c r="S44" s="97">
        <v>0</v>
      </c>
      <c r="T44" s="98">
        <v>0</v>
      </c>
      <c r="U44" s="98">
        <v>0</v>
      </c>
      <c r="V44" s="98">
        <v>0.51800000000000002</v>
      </c>
      <c r="W44" s="99">
        <v>0</v>
      </c>
      <c r="X44" s="96">
        <v>0</v>
      </c>
      <c r="Y44" s="98">
        <v>0</v>
      </c>
      <c r="Z44" s="96">
        <v>0</v>
      </c>
      <c r="AA44" s="98">
        <v>0</v>
      </c>
      <c r="AB44" s="98">
        <v>0</v>
      </c>
      <c r="AC44" s="99">
        <v>3.9020000000000001</v>
      </c>
      <c r="AD44" s="99">
        <f t="shared" si="18"/>
        <v>16.473000000000003</v>
      </c>
      <c r="AE44" s="99">
        <f t="shared" si="19"/>
        <v>26.845000000000002</v>
      </c>
      <c r="AF44" s="67"/>
      <c r="AG44" s="100"/>
      <c r="AH44" s="396"/>
      <c r="AI44" s="396"/>
      <c r="AJ44" s="89"/>
      <c r="AK44" s="89"/>
      <c r="AL44" s="65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11"/>
    </row>
    <row r="45" spans="5:67">
      <c r="L45" s="108"/>
      <c r="M45" s="75" t="s">
        <v>101</v>
      </c>
      <c r="N45" s="90">
        <v>0.09</v>
      </c>
      <c r="O45" s="93">
        <v>8.9999999999999993E-3</v>
      </c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78">
        <f t="shared" si="18"/>
        <v>0</v>
      </c>
      <c r="AE45" s="79">
        <f t="shared" si="19"/>
        <v>9.8999999999999991E-2</v>
      </c>
      <c r="AF45" s="67"/>
      <c r="AG45" s="101" t="s">
        <v>102</v>
      </c>
      <c r="AH45" s="102">
        <f>AH46+150</f>
        <v>3438</v>
      </c>
      <c r="AI45" s="102">
        <f>AI46+150</f>
        <v>3438</v>
      </c>
      <c r="AJ45" s="89"/>
      <c r="AK45" s="89"/>
      <c r="AL45" s="65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11"/>
    </row>
    <row r="46" spans="5:67" ht="28.5" customHeight="1">
      <c r="L46" s="108"/>
      <c r="M46" s="75" t="s">
        <v>103</v>
      </c>
      <c r="N46" s="90">
        <v>0.24399999999999999</v>
      </c>
      <c r="O46" s="93">
        <v>2.3E-2</v>
      </c>
      <c r="P46" s="91"/>
      <c r="Q46" s="91"/>
      <c r="R46" s="91"/>
      <c r="S46" s="91"/>
      <c r="T46" s="91"/>
      <c r="U46" s="92">
        <v>7.4999999999999997E-2</v>
      </c>
      <c r="V46" s="91"/>
      <c r="W46" s="91"/>
      <c r="X46" s="91"/>
      <c r="Y46" s="91"/>
      <c r="Z46" s="91"/>
      <c r="AA46" s="91"/>
      <c r="AB46" s="91"/>
      <c r="AC46" s="92">
        <v>8.7999999999999995E-2</v>
      </c>
      <c r="AD46" s="78">
        <f t="shared" si="18"/>
        <v>0.16299999999999998</v>
      </c>
      <c r="AE46" s="79">
        <f t="shared" si="19"/>
        <v>0.26700000000000002</v>
      </c>
      <c r="AF46" s="67"/>
      <c r="AG46" s="101" t="s">
        <v>104</v>
      </c>
      <c r="AH46" s="102">
        <v>3288</v>
      </c>
      <c r="AI46" s="102">
        <v>3288</v>
      </c>
      <c r="AJ46" s="89"/>
      <c r="AK46" s="89"/>
      <c r="AL46" s="65"/>
      <c r="AM46" s="397" t="s">
        <v>141</v>
      </c>
      <c r="AN46" s="398"/>
      <c r="AO46" s="398"/>
      <c r="AP46" s="398"/>
      <c r="AQ46" s="398"/>
      <c r="AR46" s="398"/>
      <c r="AS46" s="398"/>
      <c r="AT46" s="398"/>
      <c r="AU46" s="398"/>
      <c r="AV46" s="398"/>
      <c r="AW46" s="399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11"/>
    </row>
    <row r="47" spans="5:67">
      <c r="L47" s="108"/>
      <c r="M47" s="75" t="s">
        <v>105</v>
      </c>
      <c r="N47" s="90">
        <v>1.548</v>
      </c>
      <c r="O47" s="93">
        <v>0.20499999999999999</v>
      </c>
      <c r="P47" s="92">
        <v>1.4999999999999999E-2</v>
      </c>
      <c r="Q47" s="91"/>
      <c r="R47" s="91"/>
      <c r="S47" s="91"/>
      <c r="T47" s="91"/>
      <c r="U47" s="92">
        <v>0.52500000000000002</v>
      </c>
      <c r="V47" s="92">
        <v>1.6E-2</v>
      </c>
      <c r="W47" s="92">
        <v>0.19600000000000001</v>
      </c>
      <c r="X47" s="91"/>
      <c r="Y47" s="92">
        <v>1E-3</v>
      </c>
      <c r="Z47" s="90">
        <v>2E-3</v>
      </c>
      <c r="AA47" s="91"/>
      <c r="AB47" s="92">
        <v>2E-3</v>
      </c>
      <c r="AC47" s="92">
        <v>0.82199999999999995</v>
      </c>
      <c r="AD47" s="78">
        <f t="shared" si="18"/>
        <v>1.579</v>
      </c>
      <c r="AE47" s="79">
        <f t="shared" si="19"/>
        <v>1.7530000000000001</v>
      </c>
      <c r="AF47" s="67"/>
      <c r="AG47" s="101" t="s">
        <v>106</v>
      </c>
      <c r="AH47" s="102">
        <v>3144</v>
      </c>
      <c r="AI47" s="102">
        <v>3144</v>
      </c>
      <c r="AJ47" s="89"/>
      <c r="AK47" s="89"/>
      <c r="AL47" s="65"/>
      <c r="AM47" s="400" t="s">
        <v>74</v>
      </c>
      <c r="AN47" s="402" t="s">
        <v>75</v>
      </c>
      <c r="AO47" s="404" t="s">
        <v>76</v>
      </c>
      <c r="AP47" s="405"/>
      <c r="AQ47" s="405"/>
      <c r="AR47" s="405"/>
      <c r="AS47" s="405"/>
      <c r="AT47" s="405"/>
      <c r="AU47" s="405"/>
      <c r="AV47" s="405"/>
      <c r="AW47" s="406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11"/>
    </row>
    <row r="48" spans="5:67" ht="30">
      <c r="L48" s="108"/>
      <c r="M48" s="75" t="s">
        <v>107</v>
      </c>
      <c r="N48" s="90">
        <v>12.706</v>
      </c>
      <c r="O48" s="93">
        <v>0.28899999999999998</v>
      </c>
      <c r="P48" s="92">
        <v>0.17</v>
      </c>
      <c r="Q48" s="91"/>
      <c r="R48" s="91"/>
      <c r="S48" s="91"/>
      <c r="T48" s="92">
        <v>0.153</v>
      </c>
      <c r="U48" s="92">
        <v>7.4999999999999997E-2</v>
      </c>
      <c r="V48" s="91"/>
      <c r="W48" s="92">
        <v>0.41599999999999998</v>
      </c>
      <c r="X48" s="91"/>
      <c r="Y48" s="92">
        <v>1E-3</v>
      </c>
      <c r="Z48" s="90">
        <v>1E-3</v>
      </c>
      <c r="AA48" s="91"/>
      <c r="AB48" s="92">
        <v>1E-3</v>
      </c>
      <c r="AC48" s="92">
        <v>0.89</v>
      </c>
      <c r="AD48" s="78">
        <f t="shared" si="18"/>
        <v>1.7070000000000001</v>
      </c>
      <c r="AE48" s="79">
        <f t="shared" si="19"/>
        <v>12.994999999999999</v>
      </c>
      <c r="AF48" s="67"/>
      <c r="AG48" s="101" t="s">
        <v>108</v>
      </c>
      <c r="AH48" s="102">
        <v>3000</v>
      </c>
      <c r="AI48" s="102">
        <v>3000</v>
      </c>
      <c r="AJ48" s="89"/>
      <c r="AK48" s="89"/>
      <c r="AL48" s="65"/>
      <c r="AM48" s="401"/>
      <c r="AN48" s="403"/>
      <c r="AO48" s="73" t="s">
        <v>78</v>
      </c>
      <c r="AP48" s="73" t="s">
        <v>79</v>
      </c>
      <c r="AQ48" s="73" t="s">
        <v>80</v>
      </c>
      <c r="AR48" s="73" t="s">
        <v>81</v>
      </c>
      <c r="AS48" s="73" t="s">
        <v>82</v>
      </c>
      <c r="AT48" s="73" t="s">
        <v>83</v>
      </c>
      <c r="AU48" s="73" t="s">
        <v>84</v>
      </c>
      <c r="AV48" s="73" t="s">
        <v>85</v>
      </c>
      <c r="AW48" s="74" t="s">
        <v>71</v>
      </c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11"/>
    </row>
    <row r="49" spans="12:61" ht="28.5">
      <c r="L49" s="108"/>
      <c r="M49" s="75" t="s">
        <v>109</v>
      </c>
      <c r="N49" s="90">
        <v>9.4920000000000009</v>
      </c>
      <c r="O49" s="93">
        <v>0.317</v>
      </c>
      <c r="P49" s="92">
        <v>8.5000000000000006E-2</v>
      </c>
      <c r="Q49" s="91"/>
      <c r="R49" s="91"/>
      <c r="S49" s="91"/>
      <c r="T49" s="91"/>
      <c r="U49" s="92">
        <v>0.64900000000000002</v>
      </c>
      <c r="V49" s="91"/>
      <c r="W49" s="92">
        <v>0.622</v>
      </c>
      <c r="X49" s="90">
        <v>4.3999999999999997E-2</v>
      </c>
      <c r="Y49" s="92">
        <v>8.0000000000000002E-3</v>
      </c>
      <c r="Z49" s="91"/>
      <c r="AA49" s="92">
        <v>1E-3</v>
      </c>
      <c r="AB49" s="92">
        <v>6.0000000000000001E-3</v>
      </c>
      <c r="AC49" s="92">
        <v>0.502</v>
      </c>
      <c r="AD49" s="78">
        <f t="shared" si="18"/>
        <v>1.9169999999999998</v>
      </c>
      <c r="AE49" s="79">
        <f t="shared" si="19"/>
        <v>9.8090000000000011</v>
      </c>
      <c r="AF49" s="67"/>
      <c r="AG49" s="101" t="s">
        <v>110</v>
      </c>
      <c r="AH49" s="102">
        <v>2737</v>
      </c>
      <c r="AI49" s="102">
        <v>2737</v>
      </c>
      <c r="AJ49" s="89"/>
      <c r="AK49" s="89"/>
      <c r="AL49" s="65"/>
      <c r="AM49" s="83" t="s">
        <v>139</v>
      </c>
      <c r="AN49" s="84" t="s">
        <v>89</v>
      </c>
      <c r="AO49" s="85"/>
      <c r="AP49" s="85"/>
      <c r="AQ49" s="86"/>
      <c r="AR49" s="86"/>
      <c r="AS49" s="87">
        <v>2.9000000000000001E-2</v>
      </c>
      <c r="AT49" s="86"/>
      <c r="AU49" s="86"/>
      <c r="AV49" s="87"/>
      <c r="AW49" s="85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11"/>
    </row>
    <row r="50" spans="12:61" ht="28.5">
      <c r="L50" s="108"/>
      <c r="M50" s="75" t="s">
        <v>111</v>
      </c>
      <c r="N50" s="90">
        <v>5.5490000000000004</v>
      </c>
      <c r="O50" s="93">
        <v>1.0980000000000001</v>
      </c>
      <c r="P50" s="92">
        <v>3.1E-2</v>
      </c>
      <c r="Q50" s="91"/>
      <c r="R50" s="91"/>
      <c r="S50" s="91"/>
      <c r="T50" s="92">
        <v>0.14499999999999999</v>
      </c>
      <c r="U50" s="92">
        <v>0.126</v>
      </c>
      <c r="V50" s="92">
        <v>0.114</v>
      </c>
      <c r="W50" s="92">
        <v>0.82399999999999995</v>
      </c>
      <c r="X50" s="91"/>
      <c r="Y50" s="92">
        <v>1.2999999999999999E-2</v>
      </c>
      <c r="Z50" s="90">
        <v>3.9E-2</v>
      </c>
      <c r="AA50" s="91"/>
      <c r="AB50" s="91"/>
      <c r="AC50" s="92">
        <v>0.86299999999999999</v>
      </c>
      <c r="AD50" s="78">
        <f t="shared" si="18"/>
        <v>2.1549999999999998</v>
      </c>
      <c r="AE50" s="79">
        <f t="shared" si="19"/>
        <v>6.6470000000000002</v>
      </c>
      <c r="AF50" s="67"/>
      <c r="AG50" s="101" t="s">
        <v>112</v>
      </c>
      <c r="AH50" s="102">
        <v>2524</v>
      </c>
      <c r="AI50" s="102">
        <v>2317</v>
      </c>
      <c r="AJ50" s="103"/>
      <c r="AK50" s="103"/>
      <c r="AL50" s="65"/>
      <c r="AM50" s="83" t="s">
        <v>92</v>
      </c>
      <c r="AN50" s="84" t="s">
        <v>89</v>
      </c>
      <c r="AO50" s="86">
        <v>3.5000000000000003E-2</v>
      </c>
      <c r="AP50" s="86"/>
      <c r="AQ50" s="86">
        <v>5.8000000000000003E-2</v>
      </c>
      <c r="AR50" s="86">
        <v>2.7360000000000002</v>
      </c>
      <c r="AS50" s="87">
        <v>3.28</v>
      </c>
      <c r="AT50" s="86">
        <v>18.23</v>
      </c>
      <c r="AU50" s="85"/>
      <c r="AV50" s="85"/>
      <c r="AW50" s="87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11"/>
    </row>
    <row r="51" spans="12:61" ht="28.5">
      <c r="L51" s="108"/>
      <c r="M51" s="75" t="s">
        <v>113</v>
      </c>
      <c r="N51" s="90">
        <v>36.734000000000002</v>
      </c>
      <c r="O51" s="93">
        <v>0.90300000000000002</v>
      </c>
      <c r="P51" s="92">
        <v>0.161</v>
      </c>
      <c r="Q51" s="91"/>
      <c r="R51" s="91"/>
      <c r="S51" s="91"/>
      <c r="T51" s="91"/>
      <c r="U51" s="92">
        <v>0.84899999999999998</v>
      </c>
      <c r="V51" s="92">
        <v>0.159</v>
      </c>
      <c r="W51" s="92">
        <v>0.55300000000000005</v>
      </c>
      <c r="X51" s="90">
        <v>8.6999999999999994E-2</v>
      </c>
      <c r="Y51" s="92">
        <v>0.13500000000000001</v>
      </c>
      <c r="Z51" s="90">
        <v>0.28899999999999998</v>
      </c>
      <c r="AA51" s="92">
        <v>1.0999999999999999E-2</v>
      </c>
      <c r="AB51" s="92">
        <v>6.0000000000000001E-3</v>
      </c>
      <c r="AC51" s="92">
        <v>2.8069999999999999</v>
      </c>
      <c r="AD51" s="78">
        <f t="shared" si="18"/>
        <v>5.0570000000000004</v>
      </c>
      <c r="AE51" s="79">
        <f t="shared" si="19"/>
        <v>37.637</v>
      </c>
      <c r="AF51" s="67"/>
      <c r="AG51" s="101" t="s">
        <v>114</v>
      </c>
      <c r="AH51" s="102">
        <v>2311</v>
      </c>
      <c r="AI51" s="102">
        <v>1926</v>
      </c>
      <c r="AJ51" s="103"/>
      <c r="AK51" s="103"/>
      <c r="AL51" s="65"/>
      <c r="AM51" s="83" t="s">
        <v>94</v>
      </c>
      <c r="AN51" s="84" t="s">
        <v>89</v>
      </c>
      <c r="AO51" s="86"/>
      <c r="AP51" s="86"/>
      <c r="AQ51" s="86"/>
      <c r="AR51" s="86">
        <v>1.1539999999999999</v>
      </c>
      <c r="AS51" s="87">
        <v>2.4630000000000001</v>
      </c>
      <c r="AT51" s="86">
        <v>5.7210000000000001</v>
      </c>
      <c r="AU51" s="85"/>
      <c r="AV51" s="85"/>
      <c r="AW51" s="85">
        <v>2E-3</v>
      </c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11"/>
    </row>
    <row r="52" spans="12:61" ht="28.5">
      <c r="L52" s="108"/>
      <c r="M52" s="75" t="s">
        <v>115</v>
      </c>
      <c r="N52" s="90">
        <v>43.94</v>
      </c>
      <c r="O52" s="93">
        <v>5.5129999999999999</v>
      </c>
      <c r="P52" s="91"/>
      <c r="Q52" s="91"/>
      <c r="R52" s="91"/>
      <c r="S52" s="91"/>
      <c r="T52" s="91"/>
      <c r="U52" s="92">
        <v>2.4750000000000001</v>
      </c>
      <c r="V52" s="92">
        <v>0.44800000000000001</v>
      </c>
      <c r="W52" s="92">
        <v>0.68899999999999995</v>
      </c>
      <c r="X52" s="91"/>
      <c r="Y52" s="92">
        <v>2.8000000000000001E-2</v>
      </c>
      <c r="Z52" s="90">
        <v>0.18099999999999999</v>
      </c>
      <c r="AA52" s="92">
        <v>1.9E-2</v>
      </c>
      <c r="AB52" s="91"/>
      <c r="AC52" s="92">
        <v>3.3780000000000001</v>
      </c>
      <c r="AD52" s="78">
        <f t="shared" si="18"/>
        <v>7.218</v>
      </c>
      <c r="AE52" s="79">
        <f t="shared" si="19"/>
        <v>49.452999999999996</v>
      </c>
      <c r="AF52" s="67"/>
      <c r="AG52" s="101" t="s">
        <v>116</v>
      </c>
      <c r="AH52" s="102">
        <v>1757</v>
      </c>
      <c r="AI52" s="102">
        <v>1465</v>
      </c>
      <c r="AJ52" s="103"/>
      <c r="AK52" s="103"/>
      <c r="AL52" s="65"/>
      <c r="AM52" s="83" t="s">
        <v>98</v>
      </c>
      <c r="AN52" s="84" t="s">
        <v>89</v>
      </c>
      <c r="AO52" s="85"/>
      <c r="AP52" s="85"/>
      <c r="AQ52" s="85"/>
      <c r="AR52" s="86"/>
      <c r="AS52" s="87"/>
      <c r="AT52" s="86">
        <v>0.188</v>
      </c>
      <c r="AU52" s="85"/>
      <c r="AV52" s="85"/>
      <c r="AW52" s="85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11"/>
    </row>
    <row r="53" spans="12:61" ht="28.5">
      <c r="L53" s="108"/>
      <c r="M53" s="75" t="s">
        <v>117</v>
      </c>
      <c r="N53" s="90">
        <v>27.664999999999999</v>
      </c>
      <c r="O53" s="93">
        <v>0.78</v>
      </c>
      <c r="P53" s="91"/>
      <c r="Q53" s="91"/>
      <c r="R53" s="91"/>
      <c r="S53" s="91"/>
      <c r="T53" s="91"/>
      <c r="U53" s="92">
        <v>0.51800000000000002</v>
      </c>
      <c r="V53" s="92">
        <v>0.36299999999999999</v>
      </c>
      <c r="W53" s="92">
        <v>0.318</v>
      </c>
      <c r="X53" s="90">
        <v>1E-3</v>
      </c>
      <c r="Y53" s="92">
        <v>0.01</v>
      </c>
      <c r="Z53" s="90">
        <v>9.6000000000000002E-2</v>
      </c>
      <c r="AA53" s="92">
        <v>2.3E-2</v>
      </c>
      <c r="AB53" s="91"/>
      <c r="AC53" s="92">
        <v>1.3560000000000001</v>
      </c>
      <c r="AD53" s="78">
        <f t="shared" si="18"/>
        <v>2.6850000000000001</v>
      </c>
      <c r="AE53" s="79">
        <f t="shared" si="19"/>
        <v>28.445</v>
      </c>
      <c r="AF53" s="67"/>
      <c r="AG53" s="101" t="s">
        <v>118</v>
      </c>
      <c r="AH53" s="102">
        <v>1368</v>
      </c>
      <c r="AI53" s="102">
        <v>1140</v>
      </c>
      <c r="AJ53" s="103"/>
      <c r="AK53" s="103"/>
      <c r="AL53" s="65"/>
      <c r="AM53" s="83" t="s">
        <v>100</v>
      </c>
      <c r="AN53" s="84" t="s">
        <v>89</v>
      </c>
      <c r="AO53" s="85"/>
      <c r="AP53" s="85"/>
      <c r="AQ53" s="85"/>
      <c r="AR53" s="85"/>
      <c r="AS53" s="85"/>
      <c r="AT53" s="85"/>
      <c r="AU53" s="86">
        <v>0.247</v>
      </c>
      <c r="AV53" s="87"/>
      <c r="AW53" s="85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11"/>
    </row>
    <row r="54" spans="12:61">
      <c r="L54" s="108"/>
      <c r="M54" s="75" t="s">
        <v>119</v>
      </c>
      <c r="N54" s="90">
        <v>66.882999999999996</v>
      </c>
      <c r="O54" s="93">
        <v>23.01</v>
      </c>
      <c r="P54" s="91"/>
      <c r="Q54" s="91"/>
      <c r="R54" s="91"/>
      <c r="S54" s="93">
        <v>6.7690000000000001</v>
      </c>
      <c r="T54" s="91"/>
      <c r="U54" s="92">
        <v>1.4810000000000001</v>
      </c>
      <c r="V54" s="92">
        <v>3.5999999999999997E-2</v>
      </c>
      <c r="W54" s="92">
        <v>1.321</v>
      </c>
      <c r="X54" s="90">
        <v>0.215</v>
      </c>
      <c r="Y54" s="91"/>
      <c r="Z54" s="90">
        <v>0.17</v>
      </c>
      <c r="AA54" s="92">
        <v>1.7000000000000001E-2</v>
      </c>
      <c r="AB54" s="91"/>
      <c r="AC54" s="92">
        <v>6.0789999999999997</v>
      </c>
      <c r="AD54" s="78">
        <f t="shared" si="18"/>
        <v>16.087999999999997</v>
      </c>
      <c r="AE54" s="79">
        <f t="shared" si="19"/>
        <v>89.893000000000001</v>
      </c>
      <c r="AF54" s="67"/>
      <c r="AG54" s="101" t="s">
        <v>120</v>
      </c>
      <c r="AH54" s="102">
        <v>1228</v>
      </c>
      <c r="AI54" s="102">
        <v>1024</v>
      </c>
      <c r="AJ54" s="103"/>
      <c r="AK54" s="103"/>
      <c r="AL54" s="65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11"/>
    </row>
    <row r="55" spans="12:61">
      <c r="L55" s="108"/>
      <c r="M55" s="75" t="s">
        <v>121</v>
      </c>
      <c r="N55" s="90">
        <v>145.10300000000001</v>
      </c>
      <c r="O55" s="93">
        <v>8.3949999999999996</v>
      </c>
      <c r="P55" s="91"/>
      <c r="Q55" s="91"/>
      <c r="R55" s="91"/>
      <c r="S55" s="93">
        <v>14.183999999999999</v>
      </c>
      <c r="T55" s="91"/>
      <c r="U55" s="92">
        <v>1.397</v>
      </c>
      <c r="V55" s="91"/>
      <c r="W55" s="92">
        <v>3.5950000000000002</v>
      </c>
      <c r="X55" s="91"/>
      <c r="Y55" s="91"/>
      <c r="Z55" s="90">
        <v>9.7000000000000003E-2</v>
      </c>
      <c r="AA55" s="92">
        <v>4.2999999999999997E-2</v>
      </c>
      <c r="AB55" s="91"/>
      <c r="AC55" s="92">
        <v>6.04</v>
      </c>
      <c r="AD55" s="78">
        <f t="shared" si="18"/>
        <v>25.355999999999998</v>
      </c>
      <c r="AE55" s="79">
        <f t="shared" si="19"/>
        <v>153.49800000000002</v>
      </c>
      <c r="AF55" s="67"/>
      <c r="AG55" s="101" t="s">
        <v>122</v>
      </c>
      <c r="AH55" s="102">
        <v>1145</v>
      </c>
      <c r="AI55" s="102">
        <v>955</v>
      </c>
      <c r="AJ55" s="103"/>
      <c r="AK55" s="103"/>
      <c r="AL55" s="65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11"/>
    </row>
    <row r="56" spans="12:61">
      <c r="L56" s="108"/>
      <c r="M56" s="75" t="s">
        <v>123</v>
      </c>
      <c r="N56" s="90">
        <v>53.542000000000002</v>
      </c>
      <c r="O56" s="93">
        <v>6.4370000000000003</v>
      </c>
      <c r="P56" s="91"/>
      <c r="Q56" s="91"/>
      <c r="R56" s="91"/>
      <c r="S56" s="93">
        <v>0.14199999999999999</v>
      </c>
      <c r="T56" s="91"/>
      <c r="U56" s="92">
        <v>0.41799999999999998</v>
      </c>
      <c r="V56" s="92">
        <v>6.3E-2</v>
      </c>
      <c r="W56" s="92">
        <v>1.23</v>
      </c>
      <c r="X56" s="90">
        <v>0.185</v>
      </c>
      <c r="Y56" s="91"/>
      <c r="Z56" s="90">
        <v>0.217</v>
      </c>
      <c r="AA56" s="92">
        <v>5.7000000000000002E-2</v>
      </c>
      <c r="AB56" s="92">
        <v>7.8E-2</v>
      </c>
      <c r="AC56" s="92">
        <v>6.7469999999999999</v>
      </c>
      <c r="AD56" s="78">
        <f t="shared" si="18"/>
        <v>9.1370000000000005</v>
      </c>
      <c r="AE56" s="79">
        <f t="shared" si="19"/>
        <v>59.978999999999999</v>
      </c>
      <c r="AF56" s="67"/>
      <c r="AG56" s="101" t="s">
        <v>124</v>
      </c>
      <c r="AH56" s="102">
        <v>1063</v>
      </c>
      <c r="AI56" s="102">
        <v>886</v>
      </c>
      <c r="AJ56" s="103"/>
      <c r="AK56" s="103"/>
      <c r="AL56" s="65"/>
      <c r="AM56" s="68"/>
      <c r="AN56" s="68"/>
      <c r="AO56" s="68" t="s">
        <v>181</v>
      </c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11"/>
    </row>
    <row r="57" spans="12:61" ht="30">
      <c r="L57" s="108"/>
      <c r="M57" s="75" t="s">
        <v>125</v>
      </c>
      <c r="N57" s="90">
        <v>75.817999999999998</v>
      </c>
      <c r="O57" s="93">
        <v>13.33</v>
      </c>
      <c r="P57" s="91"/>
      <c r="Q57" s="91"/>
      <c r="R57" s="91"/>
      <c r="S57" s="91"/>
      <c r="T57" s="91"/>
      <c r="U57" s="92">
        <v>0.13</v>
      </c>
      <c r="V57" s="92">
        <v>6.4000000000000001E-2</v>
      </c>
      <c r="W57" s="92">
        <v>1.262</v>
      </c>
      <c r="X57" s="90">
        <v>0.17599999999999999</v>
      </c>
      <c r="Y57" s="92">
        <v>4.9000000000000002E-2</v>
      </c>
      <c r="Z57" s="90">
        <v>0.67300000000000004</v>
      </c>
      <c r="AA57" s="92">
        <v>3.3000000000000002E-2</v>
      </c>
      <c r="AB57" s="91"/>
      <c r="AC57" s="92">
        <v>7.9930000000000003</v>
      </c>
      <c r="AD57" s="78">
        <f t="shared" si="18"/>
        <v>10.38</v>
      </c>
      <c r="AE57" s="79">
        <f t="shared" si="19"/>
        <v>89.147999999999996</v>
      </c>
      <c r="AF57" s="67"/>
      <c r="AG57" s="101" t="s">
        <v>126</v>
      </c>
      <c r="AH57" s="102">
        <v>980</v>
      </c>
      <c r="AI57" s="102">
        <v>817</v>
      </c>
      <c r="AJ57" s="103"/>
      <c r="AK57" s="103"/>
      <c r="AL57" s="65"/>
      <c r="AM57" s="68"/>
      <c r="AN57" s="68"/>
      <c r="AO57" s="73" t="s">
        <v>78</v>
      </c>
      <c r="AP57" s="73" t="s">
        <v>79</v>
      </c>
      <c r="AQ57" s="73" t="s">
        <v>80</v>
      </c>
      <c r="AR57" s="73" t="s">
        <v>81</v>
      </c>
      <c r="AS57" s="73" t="s">
        <v>82</v>
      </c>
      <c r="AT57" s="73" t="s">
        <v>83</v>
      </c>
      <c r="AU57" s="73" t="s">
        <v>84</v>
      </c>
      <c r="AV57" s="73" t="s">
        <v>85</v>
      </c>
      <c r="AW57" s="74" t="s">
        <v>71</v>
      </c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11"/>
    </row>
    <row r="58" spans="12:61">
      <c r="L58" s="108"/>
      <c r="M58" s="75" t="s">
        <v>127</v>
      </c>
      <c r="N58" s="90">
        <v>37.088999999999999</v>
      </c>
      <c r="O58" s="93">
        <v>9.2469999999999999</v>
      </c>
      <c r="P58" s="91"/>
      <c r="Q58" s="91"/>
      <c r="R58" s="91"/>
      <c r="S58" s="91"/>
      <c r="T58" s="91"/>
      <c r="U58" s="92">
        <v>8.8999999999999996E-2</v>
      </c>
      <c r="V58" s="92">
        <v>6.0000000000000001E-3</v>
      </c>
      <c r="W58" s="92">
        <v>1.022</v>
      </c>
      <c r="X58" s="90">
        <v>0.35299999999999998</v>
      </c>
      <c r="Y58" s="92">
        <v>5.0000000000000001E-3</v>
      </c>
      <c r="Z58" s="90">
        <v>2.3E-2</v>
      </c>
      <c r="AA58" s="91"/>
      <c r="AB58" s="91"/>
      <c r="AC58" s="92">
        <v>2.8159999999999998</v>
      </c>
      <c r="AD58" s="78">
        <f t="shared" si="18"/>
        <v>4.3140000000000001</v>
      </c>
      <c r="AE58" s="79">
        <f t="shared" si="19"/>
        <v>46.335999999999999</v>
      </c>
      <c r="AF58" s="67"/>
      <c r="AG58" s="101" t="s">
        <v>128</v>
      </c>
      <c r="AH58" s="102">
        <v>897</v>
      </c>
      <c r="AI58" s="102">
        <v>748</v>
      </c>
      <c r="AJ58" s="103"/>
      <c r="AK58" s="103"/>
      <c r="AL58" s="65"/>
      <c r="AM58" s="68"/>
      <c r="AN58" s="68" t="s">
        <v>180</v>
      </c>
      <c r="AO58" s="68">
        <f>IFERROR(SUMPRODUCT(BA38:BA42,AO49:AO53)/SUM(AO49:AO53),0)</f>
        <v>0</v>
      </c>
      <c r="AP58" s="68">
        <f t="shared" ref="AP58:AW58" si="20">IFERROR(SUMPRODUCT(AP38:AP42,AP49:AP53)/SUM(AP49:AP53),0)</f>
        <v>0</v>
      </c>
      <c r="AQ58" s="68">
        <f t="shared" si="20"/>
        <v>5028</v>
      </c>
      <c r="AR58" s="68">
        <f t="shared" si="20"/>
        <v>3653.1053984575838</v>
      </c>
      <c r="AS58" s="68">
        <f t="shared" si="20"/>
        <v>2921.9404019404014</v>
      </c>
      <c r="AT58" s="68">
        <f t="shared" si="20"/>
        <v>2742.2552715522602</v>
      </c>
      <c r="AU58" s="68">
        <f t="shared" si="20"/>
        <v>2260</v>
      </c>
      <c r="AV58" s="68">
        <f t="shared" si="20"/>
        <v>0</v>
      </c>
      <c r="AW58" s="68">
        <f t="shared" si="20"/>
        <v>0</v>
      </c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11"/>
    </row>
    <row r="59" spans="12:61">
      <c r="L59" s="108"/>
      <c r="M59" s="75" t="s">
        <v>129</v>
      </c>
      <c r="N59" s="90">
        <v>5.4169999999999998</v>
      </c>
      <c r="O59" s="93">
        <v>0.53600000000000003</v>
      </c>
      <c r="P59" s="91"/>
      <c r="Q59" s="91"/>
      <c r="R59" s="91"/>
      <c r="S59" s="91"/>
      <c r="T59" s="91"/>
      <c r="U59" s="92">
        <v>8.9999999999999993E-3</v>
      </c>
      <c r="V59" s="92">
        <v>2E-3</v>
      </c>
      <c r="W59" s="92">
        <v>3.5000000000000003E-2</v>
      </c>
      <c r="X59" s="91"/>
      <c r="Y59" s="92">
        <v>1E-3</v>
      </c>
      <c r="Z59" s="90">
        <v>1.6E-2</v>
      </c>
      <c r="AA59" s="91"/>
      <c r="AB59" s="91"/>
      <c r="AC59" s="92">
        <v>0.76700000000000002</v>
      </c>
      <c r="AD59" s="78">
        <f t="shared" si="18"/>
        <v>0.83000000000000007</v>
      </c>
      <c r="AE59" s="79">
        <f t="shared" si="19"/>
        <v>5.9529999999999994</v>
      </c>
      <c r="AF59" s="67"/>
      <c r="AG59" s="101" t="s">
        <v>130</v>
      </c>
      <c r="AH59" s="102">
        <v>708</v>
      </c>
      <c r="AI59" s="102">
        <v>590</v>
      </c>
      <c r="AJ59" s="103"/>
      <c r="AK59" s="103"/>
      <c r="AL59" s="65"/>
      <c r="AM59" s="68"/>
      <c r="AN59" s="68" t="s">
        <v>179</v>
      </c>
      <c r="AO59" s="68">
        <f t="shared" ref="AO59:AW59" si="21">IFERROR(SUMPRODUCT(BA38:BA42,AO49:AO53)/SUM(AO49:AO53),0)</f>
        <v>0</v>
      </c>
      <c r="AP59" s="68">
        <f t="shared" si="21"/>
        <v>0</v>
      </c>
      <c r="AQ59" s="68">
        <f t="shared" si="21"/>
        <v>4190</v>
      </c>
      <c r="AR59" s="68">
        <f t="shared" si="21"/>
        <v>3202.966580976864</v>
      </c>
      <c r="AS59" s="68">
        <f t="shared" si="21"/>
        <v>2629.9168399168398</v>
      </c>
      <c r="AT59" s="68">
        <f t="shared" si="21"/>
        <v>2085.4973279754759</v>
      </c>
      <c r="AU59" s="68">
        <f t="shared" si="21"/>
        <v>1740</v>
      </c>
      <c r="AV59" s="68">
        <f t="shared" si="21"/>
        <v>0</v>
      </c>
      <c r="AW59" s="68">
        <f t="shared" si="21"/>
        <v>0</v>
      </c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11"/>
    </row>
    <row r="60" spans="12:61">
      <c r="L60" s="108"/>
      <c r="M60" s="75" t="s">
        <v>131</v>
      </c>
      <c r="N60" s="90">
        <v>1.5149999999999999</v>
      </c>
      <c r="O60" s="93">
        <v>3.0000000000000001E-3</v>
      </c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2">
        <v>1.5649999999999999</v>
      </c>
      <c r="AD60" s="78">
        <f t="shared" si="18"/>
        <v>1.5649999999999999</v>
      </c>
      <c r="AE60" s="79">
        <f t="shared" si="19"/>
        <v>1.5179999999999998</v>
      </c>
      <c r="AF60" s="67"/>
      <c r="AG60" s="101" t="s">
        <v>132</v>
      </c>
      <c r="AH60" s="102">
        <v>604</v>
      </c>
      <c r="AI60" s="102">
        <v>504</v>
      </c>
      <c r="AJ60" s="103"/>
      <c r="AK60" s="103"/>
      <c r="AL60" s="65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11"/>
    </row>
    <row r="61" spans="12:61">
      <c r="L61" s="108"/>
      <c r="M61" s="75" t="s">
        <v>133</v>
      </c>
      <c r="N61" s="90">
        <v>0.629</v>
      </c>
      <c r="O61" s="93">
        <v>6.6000000000000003E-2</v>
      </c>
      <c r="P61" s="91"/>
      <c r="Q61" s="91"/>
      <c r="R61" s="91"/>
      <c r="S61" s="93">
        <v>1.8280000000000001</v>
      </c>
      <c r="T61" s="91"/>
      <c r="U61" s="91"/>
      <c r="V61" s="91"/>
      <c r="W61" s="91"/>
      <c r="X61" s="91"/>
      <c r="Y61" s="91"/>
      <c r="Z61" s="91"/>
      <c r="AA61" s="91"/>
      <c r="AB61" s="91"/>
      <c r="AC61" s="92">
        <v>0.83299999999999996</v>
      </c>
      <c r="AD61" s="78">
        <f t="shared" si="18"/>
        <v>2.661</v>
      </c>
      <c r="AE61" s="79">
        <f t="shared" si="19"/>
        <v>0.69500000000000006</v>
      </c>
      <c r="AF61" s="67"/>
      <c r="AG61" s="101" t="s">
        <v>134</v>
      </c>
      <c r="AH61" s="102">
        <v>536</v>
      </c>
      <c r="AI61" s="102">
        <v>447</v>
      </c>
      <c r="AJ61" s="103"/>
      <c r="AK61" s="103"/>
      <c r="AL61" s="65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11"/>
    </row>
    <row r="62" spans="12:61" ht="45">
      <c r="L62" s="108"/>
      <c r="M62" s="95" t="s">
        <v>135</v>
      </c>
      <c r="N62" s="96">
        <v>524.58900000000006</v>
      </c>
      <c r="O62" s="97">
        <v>70.209999999999994</v>
      </c>
      <c r="P62" s="98">
        <v>0.46200000000000002</v>
      </c>
      <c r="Q62" s="98">
        <v>0</v>
      </c>
      <c r="R62" s="98">
        <v>0</v>
      </c>
      <c r="S62" s="97">
        <v>22.922999999999998</v>
      </c>
      <c r="T62" s="98">
        <v>0.29799999999999999</v>
      </c>
      <c r="U62" s="98">
        <v>8.8160000000000007</v>
      </c>
      <c r="V62" s="98">
        <v>1.2709999999999999</v>
      </c>
      <c r="W62" s="98">
        <v>12.092000000000001</v>
      </c>
      <c r="X62" s="96">
        <v>1.097</v>
      </c>
      <c r="Y62" s="98">
        <v>0.251</v>
      </c>
      <c r="Z62" s="96">
        <v>1.804</v>
      </c>
      <c r="AA62" s="98">
        <v>0.20399999999999999</v>
      </c>
      <c r="AB62" s="98">
        <v>9.2999999999999999E-2</v>
      </c>
      <c r="AC62" s="98">
        <v>45.366</v>
      </c>
      <c r="AD62" s="98">
        <f t="shared" si="18"/>
        <v>94.676999999999992</v>
      </c>
      <c r="AE62" s="98">
        <f t="shared" si="19"/>
        <v>594.79900000000009</v>
      </c>
      <c r="AF62" s="67"/>
      <c r="AG62" s="67"/>
      <c r="AH62" s="67"/>
      <c r="AI62" s="67"/>
      <c r="AJ62" s="67"/>
      <c r="AK62" s="67"/>
      <c r="AL62" s="65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11"/>
    </row>
    <row r="63" spans="12:61">
      <c r="L63" s="108"/>
      <c r="M63" s="95" t="s">
        <v>136</v>
      </c>
      <c r="N63" s="96">
        <v>551.41600000000005</v>
      </c>
      <c r="O63" s="97">
        <v>70.227999999999994</v>
      </c>
      <c r="P63" s="98">
        <v>6.444</v>
      </c>
      <c r="Q63" s="98">
        <v>5.4660000000000002</v>
      </c>
      <c r="R63" s="98">
        <v>0.60499999999999998</v>
      </c>
      <c r="S63" s="97">
        <v>22.922999999999998</v>
      </c>
      <c r="T63" s="98">
        <v>0.29799999999999999</v>
      </c>
      <c r="U63" s="98">
        <v>8.8160000000000007</v>
      </c>
      <c r="V63" s="98">
        <v>1.7889999999999999</v>
      </c>
      <c r="W63" s="98">
        <v>12.092000000000001</v>
      </c>
      <c r="X63" s="96">
        <v>1.097</v>
      </c>
      <c r="Y63" s="98">
        <v>0.251</v>
      </c>
      <c r="Z63" s="96">
        <v>1.804</v>
      </c>
      <c r="AA63" s="98">
        <v>0.20399999999999999</v>
      </c>
      <c r="AB63" s="98">
        <v>9.2999999999999999E-2</v>
      </c>
      <c r="AC63" s="98">
        <v>49.268000000000001</v>
      </c>
      <c r="AD63" s="98">
        <f t="shared" si="18"/>
        <v>111.15</v>
      </c>
      <c r="AE63" s="98">
        <f t="shared" si="19"/>
        <v>621.64400000000001</v>
      </c>
      <c r="AF63" s="67"/>
      <c r="AG63" s="67" t="s">
        <v>137</v>
      </c>
      <c r="AH63" s="104">
        <f>(SUMPRODUCT(AD45:AD61,AH45:AH61)+SUMPRODUCT(AE45:AE61,AI45:AI61))/SUM(AD45:AE61)/1000</f>
        <v>1.1559186169910776</v>
      </c>
      <c r="AI63" s="67" t="s">
        <v>138</v>
      </c>
      <c r="AJ63" s="67"/>
      <c r="AK63" s="67"/>
      <c r="AL63" s="65"/>
      <c r="AM63" s="68" t="s">
        <v>517</v>
      </c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11"/>
    </row>
    <row r="64" spans="12:61" ht="15.75" customHeight="1">
      <c r="L64" s="108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6"/>
      <c r="AE64" s="65"/>
      <c r="AF64" s="107"/>
      <c r="AG64" s="393" t="s">
        <v>504</v>
      </c>
      <c r="AH64" s="393"/>
      <c r="AI64" s="393"/>
      <c r="AJ64" s="393"/>
      <c r="AK64" s="393"/>
      <c r="AL64" s="65"/>
      <c r="AM64" s="68" t="s">
        <v>182</v>
      </c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11"/>
    </row>
    <row r="65" spans="12:63" ht="29.25" customHeight="1">
      <c r="L65" s="108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107"/>
      <c r="AF65" s="107"/>
      <c r="AG65" s="393"/>
      <c r="AH65" s="393"/>
      <c r="AI65" s="393"/>
      <c r="AJ65" s="393"/>
      <c r="AK65" s="393"/>
      <c r="AL65" s="65"/>
      <c r="AM65" s="68"/>
      <c r="AN65" s="68"/>
      <c r="AO65" s="73" t="s">
        <v>78</v>
      </c>
      <c r="AP65" s="73" t="s">
        <v>79</v>
      </c>
      <c r="AQ65" s="73" t="s">
        <v>80</v>
      </c>
      <c r="AR65" s="73" t="s">
        <v>81</v>
      </c>
      <c r="AS65" s="73" t="s">
        <v>82</v>
      </c>
      <c r="AT65" s="73" t="s">
        <v>83</v>
      </c>
      <c r="AU65" s="73" t="s">
        <v>84</v>
      </c>
      <c r="AV65" s="73" t="s">
        <v>85</v>
      </c>
      <c r="AW65" s="74" t="s">
        <v>71</v>
      </c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11"/>
    </row>
    <row r="66" spans="12:63" ht="15.75" customHeight="1">
      <c r="L66" s="108"/>
      <c r="M66" s="108"/>
      <c r="N66" s="108"/>
      <c r="O66" s="108"/>
      <c r="P66" s="108"/>
      <c r="Q66" s="108"/>
      <c r="R66" s="108"/>
      <c r="S66" s="108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107"/>
      <c r="AF66" s="107"/>
      <c r="AG66" s="393"/>
      <c r="AH66" s="393"/>
      <c r="AI66" s="393"/>
      <c r="AJ66" s="393"/>
      <c r="AK66" s="393"/>
      <c r="AL66" s="65"/>
      <c r="AM66" s="68"/>
      <c r="AN66" s="68" t="s">
        <v>180</v>
      </c>
      <c r="AO66" s="68">
        <v>0.11700000000000001</v>
      </c>
      <c r="AP66" s="68">
        <v>0.17899999999999999</v>
      </c>
      <c r="AQ66" s="68"/>
      <c r="AR66" s="68">
        <f>0.32+ 0.129</f>
        <v>0.44900000000000001</v>
      </c>
      <c r="AS66" s="68">
        <f>0.156+2.574+1.082</f>
        <v>3.8120000000000003</v>
      </c>
      <c r="AT66" s="68">
        <f>5.136+ 2.763+ 0.605+ 0.518+ 2.641</f>
        <v>11.663</v>
      </c>
      <c r="AU66" s="68">
        <v>0.253</v>
      </c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11"/>
    </row>
    <row r="67" spans="12:63" ht="27" customHeight="1">
      <c r="L67" s="108"/>
      <c r="M67" s="64" t="s">
        <v>184</v>
      </c>
      <c r="N67" s="64"/>
      <c r="O67" s="64"/>
      <c r="P67" s="64"/>
      <c r="Q67" s="64"/>
      <c r="R67" s="64"/>
      <c r="S67" s="64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107"/>
      <c r="AF67" s="107"/>
      <c r="AG67" s="393"/>
      <c r="AH67" s="393"/>
      <c r="AI67" s="393"/>
      <c r="AJ67" s="393"/>
      <c r="AK67" s="393"/>
      <c r="AL67" s="65"/>
      <c r="AM67" s="68"/>
      <c r="AN67" s="68" t="s">
        <v>179</v>
      </c>
      <c r="AO67" s="68"/>
      <c r="AP67" s="68"/>
      <c r="AQ67" s="68">
        <v>4.2000000000000003E-2</v>
      </c>
      <c r="AR67" s="68">
        <v>2.508</v>
      </c>
      <c r="AS67" s="68">
        <v>5.0529999999999999</v>
      </c>
      <c r="AT67" s="68">
        <f>19.224+0.018</f>
        <v>19.242000000000001</v>
      </c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11"/>
    </row>
    <row r="68" spans="12:63" ht="15.75" customHeight="1">
      <c r="L68" s="108"/>
      <c r="M68" s="109"/>
      <c r="N68" s="109"/>
      <c r="O68" s="109"/>
      <c r="P68" s="109"/>
      <c r="Q68" s="109"/>
      <c r="R68" s="109"/>
      <c r="S68" s="109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11"/>
    </row>
    <row r="69" spans="12:63" ht="33.75" customHeight="1">
      <c r="L69" s="108"/>
      <c r="M69" s="109"/>
      <c r="N69" s="109"/>
      <c r="O69" s="109"/>
      <c r="P69" s="109"/>
      <c r="Q69" s="109"/>
      <c r="R69" s="109"/>
      <c r="S69" s="109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11"/>
    </row>
    <row r="70" spans="12:63" ht="27.75" customHeight="1">
      <c r="L70" s="108"/>
      <c r="M70" s="109"/>
      <c r="N70" s="110"/>
      <c r="O70" s="373" t="s">
        <v>185</v>
      </c>
      <c r="P70" s="110" t="s">
        <v>140</v>
      </c>
      <c r="Q70" s="109"/>
      <c r="R70" s="109"/>
      <c r="S70" s="109"/>
      <c r="T70" s="65"/>
      <c r="U70" s="65"/>
      <c r="V70" s="65"/>
      <c r="W70" s="65"/>
      <c r="X70" s="65"/>
      <c r="Y70" s="65"/>
      <c r="Z70" s="65"/>
      <c r="AA70" s="65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14"/>
    </row>
    <row r="71" spans="12:63" ht="15.75" customHeight="1">
      <c r="L71" s="108"/>
      <c r="M71" s="65"/>
      <c r="N71" s="111" t="s">
        <v>142</v>
      </c>
      <c r="O71" s="112">
        <f>SUM(AO66:AW67)</f>
        <v>43.317999999999998</v>
      </c>
      <c r="P71" s="112">
        <f>AO71</f>
        <v>2.4691932667785252</v>
      </c>
      <c r="Q71" s="113" t="s">
        <v>187</v>
      </c>
      <c r="R71" s="109"/>
      <c r="S71" s="109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8"/>
      <c r="AN71" s="68"/>
      <c r="AO71" s="68">
        <f>SUMPRODUCT(AO58:AW59,AO66:AW67)/SUM(AO66:AW67)/1000</f>
        <v>2.4691932667785252</v>
      </c>
      <c r="AP71" s="71" t="s">
        <v>145</v>
      </c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11"/>
    </row>
    <row r="72" spans="12:63">
      <c r="L72" s="108"/>
      <c r="M72" s="65"/>
      <c r="N72" s="111" t="s">
        <v>143</v>
      </c>
      <c r="O72" s="112">
        <f>SUM(AD62:AE62)</f>
        <v>689.47600000000011</v>
      </c>
      <c r="P72" s="112">
        <f>AH63</f>
        <v>1.1559186169910776</v>
      </c>
      <c r="Q72" s="113" t="s">
        <v>187</v>
      </c>
      <c r="R72" s="109"/>
      <c r="S72" s="109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"/>
    </row>
    <row r="73" spans="12:63">
      <c r="L73" s="108"/>
      <c r="M73" s="65"/>
      <c r="N73" s="111" t="s">
        <v>144</v>
      </c>
      <c r="O73" s="112">
        <v>45.811</v>
      </c>
      <c r="P73" s="112">
        <f>AH61/1000</f>
        <v>0.53600000000000003</v>
      </c>
      <c r="Q73" s="109" t="s">
        <v>186</v>
      </c>
      <c r="R73" s="109"/>
      <c r="S73" s="109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"/>
    </row>
    <row r="74" spans="12:63">
      <c r="L74" s="108"/>
      <c r="M74" s="109"/>
      <c r="N74" s="109"/>
      <c r="O74" s="109"/>
      <c r="P74" s="115">
        <f>SUMPRODUCT(O71:O73,P71:P73)/SUM(O71:O73)</f>
        <v>1.1925088514700681</v>
      </c>
      <c r="Q74" s="109"/>
      <c r="R74" s="109"/>
      <c r="S74" s="109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"/>
    </row>
    <row r="75" spans="12:63">
      <c r="L75" s="108"/>
      <c r="M75" s="109"/>
      <c r="N75" s="109"/>
      <c r="O75" s="109"/>
      <c r="P75" s="109"/>
      <c r="Q75" s="109"/>
      <c r="R75" s="109"/>
      <c r="S75" s="109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"/>
    </row>
    <row r="76" spans="12:63"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</row>
    <row r="77" spans="12:63" ht="15.75" customHeight="1">
      <c r="M77" s="65"/>
      <c r="N77" s="65"/>
      <c r="O77" s="65"/>
      <c r="P77" s="65"/>
      <c r="Q77" s="69"/>
      <c r="R77" s="69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</row>
    <row r="78" spans="12:63" ht="15.75" customHeight="1">
      <c r="M78" s="65"/>
      <c r="N78" s="65"/>
      <c r="O78" s="65"/>
      <c r="P78" s="65"/>
      <c r="Q78" s="69"/>
      <c r="R78" s="69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</row>
    <row r="79" spans="12:63" ht="15.75" customHeight="1">
      <c r="L79" s="108"/>
      <c r="M79" s="116" t="s">
        <v>245</v>
      </c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2"/>
      <c r="BK79" s="116" t="s">
        <v>246</v>
      </c>
    </row>
    <row r="80" spans="12:63" ht="15.75" customHeight="1">
      <c r="L80" s="108"/>
      <c r="M80" s="63" t="s">
        <v>518</v>
      </c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2"/>
    </row>
    <row r="81" spans="12:67" ht="15.75" customHeight="1">
      <c r="L81" s="108"/>
      <c r="M81" s="64" t="s">
        <v>513</v>
      </c>
      <c r="N81" s="64"/>
      <c r="O81" s="64"/>
      <c r="P81" s="64"/>
      <c r="Q81" s="65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 t="s">
        <v>183</v>
      </c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11"/>
      <c r="BJ81" s="60"/>
    </row>
    <row r="82" spans="12:67" ht="15.75" customHeight="1">
      <c r="L82" s="108"/>
      <c r="M82" s="407" t="s">
        <v>519</v>
      </c>
      <c r="N82" s="407"/>
      <c r="O82" s="407"/>
      <c r="P82" s="407"/>
      <c r="Q82" s="407"/>
      <c r="R82" s="407"/>
      <c r="S82" s="407"/>
      <c r="T82" s="407"/>
      <c r="U82" s="407"/>
      <c r="V82" s="407"/>
      <c r="W82" s="407"/>
      <c r="X82" s="407"/>
      <c r="Y82" s="407"/>
      <c r="Z82" s="407"/>
      <c r="AA82" s="407"/>
      <c r="AB82" s="407"/>
      <c r="AC82" s="407"/>
      <c r="AD82" s="407"/>
      <c r="AE82" s="407"/>
      <c r="AF82" s="67"/>
      <c r="AG82" s="67"/>
      <c r="AH82" s="67"/>
      <c r="AI82" s="67"/>
      <c r="AJ82" s="67"/>
      <c r="AK82" s="67"/>
      <c r="AL82" s="65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11"/>
      <c r="BK82" s="118" t="s">
        <v>172</v>
      </c>
      <c r="BL82" s="118" t="s">
        <v>173</v>
      </c>
      <c r="BM82" s="118" t="s">
        <v>174</v>
      </c>
      <c r="BN82" s="118" t="s">
        <v>394</v>
      </c>
    </row>
    <row r="83" spans="12:67" ht="50.25" customHeight="1">
      <c r="L83" s="108"/>
      <c r="M83" s="408" t="s">
        <v>51</v>
      </c>
      <c r="N83" s="409" t="s">
        <v>52</v>
      </c>
      <c r="O83" s="409"/>
      <c r="P83" s="409"/>
      <c r="Q83" s="409"/>
      <c r="R83" s="409"/>
      <c r="S83" s="409"/>
      <c r="T83" s="409"/>
      <c r="U83" s="409"/>
      <c r="V83" s="409"/>
      <c r="W83" s="409"/>
      <c r="X83" s="409"/>
      <c r="Y83" s="409"/>
      <c r="Z83" s="409"/>
      <c r="AA83" s="409"/>
      <c r="AB83" s="409"/>
      <c r="AC83" s="409"/>
      <c r="AD83" s="409"/>
      <c r="AE83" s="409"/>
      <c r="AF83" s="67"/>
      <c r="AG83" s="67"/>
      <c r="AH83" s="67"/>
      <c r="AI83" s="67"/>
      <c r="AJ83" s="67"/>
      <c r="AK83" s="67"/>
      <c r="AL83" s="69"/>
      <c r="AM83" s="412" t="s">
        <v>69</v>
      </c>
      <c r="AN83" s="412"/>
      <c r="AO83" s="412"/>
      <c r="AP83" s="412"/>
      <c r="AQ83" s="412"/>
      <c r="AR83" s="412"/>
      <c r="AS83" s="412"/>
      <c r="AT83" s="412"/>
      <c r="AU83" s="412"/>
      <c r="AV83" s="412"/>
      <c r="AW83" s="412"/>
      <c r="AX83" s="70"/>
      <c r="AY83" s="412" t="s">
        <v>70</v>
      </c>
      <c r="AZ83" s="412"/>
      <c r="BA83" s="412"/>
      <c r="BB83" s="412"/>
      <c r="BC83" s="412"/>
      <c r="BD83" s="412"/>
      <c r="BE83" s="412"/>
      <c r="BF83" s="412"/>
      <c r="BG83" s="412"/>
      <c r="BH83" s="412"/>
      <c r="BI83" s="14"/>
      <c r="BK83" s="17" t="s">
        <v>176</v>
      </c>
      <c r="BL83" s="17">
        <v>196.70383000000001</v>
      </c>
      <c r="BM83" s="17">
        <v>914652.23</v>
      </c>
      <c r="BN83" s="117">
        <f>(BM83*10^3)/(BL83*10^6)/(Maps!G33/Maps!F33)</f>
        <v>4.4931282858430643</v>
      </c>
      <c r="BO83" s="61" t="s">
        <v>188</v>
      </c>
    </row>
    <row r="84" spans="12:67" ht="30" customHeight="1">
      <c r="L84" s="108"/>
      <c r="M84" s="408"/>
      <c r="N84" s="394" t="s">
        <v>53</v>
      </c>
      <c r="O84" s="394" t="s">
        <v>54</v>
      </c>
      <c r="P84" s="410" t="s">
        <v>55</v>
      </c>
      <c r="Q84" s="410"/>
      <c r="R84" s="410"/>
      <c r="S84" s="394" t="s">
        <v>56</v>
      </c>
      <c r="T84" s="394" t="s">
        <v>57</v>
      </c>
      <c r="U84" s="394" t="s">
        <v>58</v>
      </c>
      <c r="V84" s="394" t="s">
        <v>59</v>
      </c>
      <c r="W84" s="394" t="s">
        <v>60</v>
      </c>
      <c r="X84" s="394" t="s">
        <v>61</v>
      </c>
      <c r="Y84" s="394" t="s">
        <v>62</v>
      </c>
      <c r="Z84" s="394" t="s">
        <v>63</v>
      </c>
      <c r="AA84" s="394" t="s">
        <v>64</v>
      </c>
      <c r="AB84" s="394" t="s">
        <v>65</v>
      </c>
      <c r="AC84" s="394" t="s">
        <v>66</v>
      </c>
      <c r="AD84" s="411" t="s">
        <v>67</v>
      </c>
      <c r="AE84" s="394" t="s">
        <v>68</v>
      </c>
      <c r="AF84" s="67"/>
      <c r="AG84" s="67"/>
      <c r="AH84" s="67"/>
      <c r="AI84" s="67"/>
      <c r="AJ84" s="67"/>
      <c r="AK84" s="67"/>
      <c r="AL84" s="65"/>
      <c r="AM84" s="413" t="s">
        <v>74</v>
      </c>
      <c r="AN84" s="414" t="s">
        <v>75</v>
      </c>
      <c r="AO84" s="414" t="s">
        <v>76</v>
      </c>
      <c r="AP84" s="414"/>
      <c r="AQ84" s="414"/>
      <c r="AR84" s="414"/>
      <c r="AS84" s="414"/>
      <c r="AT84" s="414"/>
      <c r="AU84" s="414"/>
      <c r="AV84" s="414"/>
      <c r="AW84" s="414"/>
      <c r="AX84" s="71"/>
      <c r="AY84" s="413" t="s">
        <v>74</v>
      </c>
      <c r="AZ84" s="414" t="s">
        <v>75</v>
      </c>
      <c r="BA84" s="414" t="s">
        <v>76</v>
      </c>
      <c r="BB84" s="414"/>
      <c r="BC84" s="414"/>
      <c r="BD84" s="414"/>
      <c r="BE84" s="414"/>
      <c r="BF84" s="414"/>
      <c r="BG84" s="414"/>
      <c r="BH84" s="414"/>
      <c r="BI84" s="11"/>
      <c r="BK84" s="17" t="s">
        <v>177</v>
      </c>
      <c r="BL84" s="17">
        <v>51.832749999999997</v>
      </c>
      <c r="BM84" s="17">
        <v>612668.31999999995</v>
      </c>
      <c r="BN84" s="117">
        <f>(BM84*10^3)/(BL84*10^6)/(Maps!G33/Maps!F33)</f>
        <v>11.421596419149811</v>
      </c>
      <c r="BO84" s="61" t="s">
        <v>188</v>
      </c>
    </row>
    <row r="85" spans="12:67" ht="70.5" customHeight="1">
      <c r="L85" s="108"/>
      <c r="M85" s="408"/>
      <c r="N85" s="394"/>
      <c r="O85" s="394"/>
      <c r="P85" s="124" t="s">
        <v>71</v>
      </c>
      <c r="Q85" s="124" t="s">
        <v>72</v>
      </c>
      <c r="R85" s="124" t="s">
        <v>73</v>
      </c>
      <c r="S85" s="394"/>
      <c r="T85" s="394"/>
      <c r="U85" s="394"/>
      <c r="V85" s="394"/>
      <c r="W85" s="394"/>
      <c r="X85" s="394"/>
      <c r="Y85" s="394"/>
      <c r="Z85" s="394"/>
      <c r="AA85" s="394"/>
      <c r="AB85" s="394"/>
      <c r="AC85" s="394"/>
      <c r="AD85" s="411"/>
      <c r="AE85" s="394"/>
      <c r="AF85" s="67"/>
      <c r="AG85" s="67"/>
      <c r="AH85" s="67"/>
      <c r="AI85" s="67"/>
      <c r="AJ85" s="67"/>
      <c r="AK85" s="67"/>
      <c r="AL85" s="65"/>
      <c r="AM85" s="413"/>
      <c r="AN85" s="414"/>
      <c r="AO85" s="73" t="s">
        <v>78</v>
      </c>
      <c r="AP85" s="73" t="s">
        <v>79</v>
      </c>
      <c r="AQ85" s="73" t="s">
        <v>80</v>
      </c>
      <c r="AR85" s="73" t="s">
        <v>81</v>
      </c>
      <c r="AS85" s="73" t="s">
        <v>82</v>
      </c>
      <c r="AT85" s="73" t="s">
        <v>83</v>
      </c>
      <c r="AU85" s="73" t="s">
        <v>84</v>
      </c>
      <c r="AV85" s="73" t="s">
        <v>85</v>
      </c>
      <c r="AW85" s="74" t="s">
        <v>71</v>
      </c>
      <c r="AX85" s="71"/>
      <c r="AY85" s="413"/>
      <c r="AZ85" s="414"/>
      <c r="BA85" s="73" t="s">
        <v>78</v>
      </c>
      <c r="BB85" s="73" t="s">
        <v>79</v>
      </c>
      <c r="BC85" s="73" t="s">
        <v>80</v>
      </c>
      <c r="BD85" s="73" t="s">
        <v>81</v>
      </c>
      <c r="BE85" s="73" t="s">
        <v>82</v>
      </c>
      <c r="BF85" s="73" t="s">
        <v>83</v>
      </c>
      <c r="BG85" s="73" t="s">
        <v>84</v>
      </c>
      <c r="BH85" s="73" t="s">
        <v>85</v>
      </c>
      <c r="BI85" s="11"/>
      <c r="BK85" s="23"/>
      <c r="BL85" s="23"/>
      <c r="BM85" s="23"/>
      <c r="BN85" s="54">
        <f>SUMPRODUCT(BL83:BL84,BN83:BN84)/SUM(BL83:BL84)</f>
        <v>5.9380727549294861</v>
      </c>
    </row>
    <row r="86" spans="12:67" ht="15.75" customHeight="1">
      <c r="L86" s="108"/>
      <c r="M86" s="75"/>
      <c r="N86" s="76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8"/>
      <c r="AE86" s="79"/>
      <c r="AF86" s="67"/>
      <c r="AG86" s="67"/>
      <c r="AH86" s="67"/>
      <c r="AI86" s="67"/>
      <c r="AJ86" s="67"/>
      <c r="AK86" s="67"/>
      <c r="AL86" s="65"/>
      <c r="AM86" s="80">
        <v>-1</v>
      </c>
      <c r="AN86" s="81">
        <v>-2</v>
      </c>
      <c r="AO86" s="82">
        <v>-3</v>
      </c>
      <c r="AP86" s="82">
        <v>-4</v>
      </c>
      <c r="AQ86" s="82">
        <v>-5</v>
      </c>
      <c r="AR86" s="82">
        <v>-6</v>
      </c>
      <c r="AS86" s="82">
        <v>-7</v>
      </c>
      <c r="AT86" s="82">
        <v>-8</v>
      </c>
      <c r="AU86" s="82">
        <v>-9</v>
      </c>
      <c r="AV86" s="82">
        <v>-10</v>
      </c>
      <c r="AW86" s="82">
        <v>-11</v>
      </c>
      <c r="AX86" s="70"/>
      <c r="AY86" s="80">
        <v>-1</v>
      </c>
      <c r="AZ86" s="81">
        <v>-2</v>
      </c>
      <c r="BA86" s="82">
        <v>-3</v>
      </c>
      <c r="BB86" s="82">
        <v>-4</v>
      </c>
      <c r="BC86" s="82">
        <v>-5</v>
      </c>
      <c r="BD86" s="82">
        <v>-6</v>
      </c>
      <c r="BE86" s="82">
        <v>-7</v>
      </c>
      <c r="BF86" s="82">
        <v>-8</v>
      </c>
      <c r="BG86" s="82">
        <v>-9</v>
      </c>
      <c r="BH86" s="82">
        <v>-10</v>
      </c>
      <c r="BI86" s="11"/>
    </row>
    <row r="87" spans="12:67" ht="30.75" customHeight="1">
      <c r="L87" s="108"/>
      <c r="M87" s="75"/>
      <c r="N87" s="76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8"/>
      <c r="AE87" s="79"/>
      <c r="AF87" s="67"/>
      <c r="AG87" s="67"/>
      <c r="AH87" s="67"/>
      <c r="AI87" s="67"/>
      <c r="AJ87" s="67"/>
      <c r="AK87" s="67"/>
      <c r="AL87" s="65"/>
      <c r="AM87" s="83" t="s">
        <v>139</v>
      </c>
      <c r="AN87" s="84" t="s">
        <v>520</v>
      </c>
      <c r="AO87" s="85"/>
      <c r="AP87" s="85"/>
      <c r="AQ87" s="86">
        <v>3110</v>
      </c>
      <c r="AR87" s="86">
        <v>2590</v>
      </c>
      <c r="AS87" s="87">
        <v>1910</v>
      </c>
      <c r="AT87" s="86">
        <v>1780</v>
      </c>
      <c r="AU87" s="86">
        <v>2800</v>
      </c>
      <c r="AV87" s="87">
        <v>2330</v>
      </c>
      <c r="AW87" s="85"/>
      <c r="AX87" s="88"/>
      <c r="AY87" s="83" t="s">
        <v>88</v>
      </c>
      <c r="AZ87" s="84" t="s">
        <v>520</v>
      </c>
      <c r="BA87" s="85"/>
      <c r="BB87" s="85"/>
      <c r="BC87" s="86">
        <v>2390</v>
      </c>
      <c r="BD87" s="86">
        <v>1990</v>
      </c>
      <c r="BE87" s="87">
        <v>1470</v>
      </c>
      <c r="BF87" s="86">
        <v>1370</v>
      </c>
      <c r="BG87" s="86">
        <v>2150</v>
      </c>
      <c r="BH87" s="87">
        <v>1790</v>
      </c>
      <c r="BI87" s="11"/>
    </row>
    <row r="88" spans="12:67" ht="28.5" customHeight="1">
      <c r="L88" s="108"/>
      <c r="M88" s="75"/>
      <c r="N88" s="76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8"/>
      <c r="AE88" s="79"/>
      <c r="AF88" s="67"/>
      <c r="AG88" s="67"/>
      <c r="AH88" s="395" t="s">
        <v>505</v>
      </c>
      <c r="AI88" s="395"/>
      <c r="AJ88" s="89"/>
      <c r="AK88" s="89"/>
      <c r="AL88" s="65"/>
      <c r="AM88" s="83" t="s">
        <v>92</v>
      </c>
      <c r="AN88" s="84" t="s">
        <v>520</v>
      </c>
      <c r="AO88" s="86">
        <v>5860</v>
      </c>
      <c r="AP88" s="86">
        <v>5635</v>
      </c>
      <c r="AQ88" s="86">
        <v>5028</v>
      </c>
      <c r="AR88" s="86">
        <v>3840</v>
      </c>
      <c r="AS88" s="87">
        <v>3060</v>
      </c>
      <c r="AT88" s="86">
        <v>2892</v>
      </c>
      <c r="AU88" s="85"/>
      <c r="AV88" s="85"/>
      <c r="AW88" s="87">
        <v>5810</v>
      </c>
      <c r="AX88" s="88"/>
      <c r="AY88" s="83" t="s">
        <v>92</v>
      </c>
      <c r="AZ88" s="84" t="s">
        <v>520</v>
      </c>
      <c r="BA88" s="86"/>
      <c r="BB88" s="86"/>
      <c r="BC88" s="86">
        <v>4190</v>
      </c>
      <c r="BD88" s="86">
        <v>3200</v>
      </c>
      <c r="BE88" s="87">
        <v>2550</v>
      </c>
      <c r="BF88" s="86">
        <v>2410</v>
      </c>
      <c r="BG88" s="85"/>
      <c r="BH88" s="85"/>
      <c r="BI88" s="11"/>
    </row>
    <row r="89" spans="12:67" ht="30" customHeight="1">
      <c r="L89" s="108"/>
      <c r="M89" s="75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8"/>
      <c r="AE89" s="79"/>
      <c r="AF89" s="67"/>
      <c r="AG89" s="67"/>
      <c r="AH89" s="395"/>
      <c r="AI89" s="395"/>
      <c r="AJ89" s="89"/>
      <c r="AK89" s="89"/>
      <c r="AL89" s="65"/>
      <c r="AM89" s="83" t="s">
        <v>94</v>
      </c>
      <c r="AN89" s="84" t="s">
        <v>520</v>
      </c>
      <c r="AO89" s="86">
        <v>4880</v>
      </c>
      <c r="AP89" s="86">
        <v>4080</v>
      </c>
      <c r="AQ89" s="86">
        <v>3450</v>
      </c>
      <c r="AR89" s="86">
        <v>3210</v>
      </c>
      <c r="AS89" s="87">
        <v>2750</v>
      </c>
      <c r="AT89" s="86">
        <v>2300</v>
      </c>
      <c r="AU89" s="85"/>
      <c r="AV89" s="85"/>
      <c r="AW89" s="85"/>
      <c r="AX89" s="88"/>
      <c r="AY89" s="83" t="s">
        <v>94</v>
      </c>
      <c r="AZ89" s="84" t="s">
        <v>520</v>
      </c>
      <c r="BA89" s="86"/>
      <c r="BB89" s="86"/>
      <c r="BC89" s="86">
        <v>3450</v>
      </c>
      <c r="BD89" s="86">
        <v>3210</v>
      </c>
      <c r="BE89" s="87">
        <v>2750</v>
      </c>
      <c r="BF89" s="86">
        <v>1120</v>
      </c>
      <c r="BG89" s="85"/>
      <c r="BH89" s="85"/>
      <c r="BI89" s="11"/>
    </row>
    <row r="90" spans="12:67" ht="31.5" customHeight="1">
      <c r="L90" s="108"/>
      <c r="M90" s="75"/>
      <c r="N90" s="90"/>
      <c r="O90" s="91"/>
      <c r="P90" s="92"/>
      <c r="Q90" s="92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78"/>
      <c r="AE90" s="79"/>
      <c r="AF90" s="67"/>
      <c r="AG90" s="67"/>
      <c r="AH90" s="395"/>
      <c r="AI90" s="395"/>
      <c r="AJ90" s="89"/>
      <c r="AK90" s="89"/>
      <c r="AL90" s="65"/>
      <c r="AM90" s="83" t="s">
        <v>98</v>
      </c>
      <c r="AN90" s="84" t="s">
        <v>520</v>
      </c>
      <c r="AO90" s="85"/>
      <c r="AP90" s="85"/>
      <c r="AQ90" s="85"/>
      <c r="AR90" s="86">
        <v>2220</v>
      </c>
      <c r="AS90" s="87">
        <v>1830</v>
      </c>
      <c r="AT90" s="86">
        <v>1680</v>
      </c>
      <c r="AU90" s="85"/>
      <c r="AV90" s="85"/>
      <c r="AW90" s="85"/>
      <c r="AX90" s="88"/>
      <c r="AY90" s="83" t="s">
        <v>98</v>
      </c>
      <c r="AZ90" s="84" t="s">
        <v>520</v>
      </c>
      <c r="BA90" s="85"/>
      <c r="BB90" s="85"/>
      <c r="BC90" s="85">
        <v>1710</v>
      </c>
      <c r="BD90" s="86">
        <v>1410</v>
      </c>
      <c r="BE90" s="87">
        <v>1290</v>
      </c>
      <c r="BF90" s="86"/>
      <c r="BG90" s="85"/>
      <c r="BH90" s="85"/>
      <c r="BI90" s="11"/>
    </row>
    <row r="91" spans="12:67" ht="78" customHeight="1">
      <c r="L91" s="108"/>
      <c r="M91" s="75"/>
      <c r="N91" s="90"/>
      <c r="O91" s="91"/>
      <c r="P91" s="92"/>
      <c r="Q91" s="92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2"/>
      <c r="AD91" s="78"/>
      <c r="AE91" s="79"/>
      <c r="AF91" s="67"/>
      <c r="AG91" s="67"/>
      <c r="AH91" s="395"/>
      <c r="AI91" s="395"/>
      <c r="AJ91" s="89"/>
      <c r="AK91" s="89"/>
      <c r="AL91" s="65"/>
      <c r="AM91" s="83" t="s">
        <v>100</v>
      </c>
      <c r="AN91" s="84" t="s">
        <v>520</v>
      </c>
      <c r="AO91" s="85"/>
      <c r="AP91" s="85"/>
      <c r="AQ91" s="85"/>
      <c r="AR91" s="85"/>
      <c r="AS91" s="85"/>
      <c r="AT91" s="85"/>
      <c r="AU91" s="86">
        <v>2260</v>
      </c>
      <c r="AV91" s="87">
        <v>1890</v>
      </c>
      <c r="AW91" s="85"/>
      <c r="AX91" s="88"/>
      <c r="AY91" s="83" t="s">
        <v>100</v>
      </c>
      <c r="AZ91" s="84" t="s">
        <v>520</v>
      </c>
      <c r="BA91" s="85"/>
      <c r="BB91" s="85"/>
      <c r="BC91" s="85"/>
      <c r="BD91" s="85"/>
      <c r="BE91" s="85"/>
      <c r="BF91" s="85"/>
      <c r="BG91" s="86">
        <v>1740</v>
      </c>
      <c r="BH91" s="87">
        <v>1450</v>
      </c>
      <c r="BI91" s="11"/>
    </row>
    <row r="92" spans="12:67" ht="15.75" customHeight="1">
      <c r="L92" s="108"/>
      <c r="M92" s="75"/>
      <c r="N92" s="90"/>
      <c r="O92" s="93"/>
      <c r="P92" s="92"/>
      <c r="Q92" s="92"/>
      <c r="R92" s="92"/>
      <c r="S92" s="91"/>
      <c r="T92" s="91"/>
      <c r="U92" s="91"/>
      <c r="V92" s="92"/>
      <c r="W92" s="91"/>
      <c r="X92" s="91"/>
      <c r="Y92" s="91"/>
      <c r="Z92" s="91"/>
      <c r="AA92" s="91"/>
      <c r="AB92" s="91"/>
      <c r="AC92" s="92"/>
      <c r="AD92" s="78"/>
      <c r="AE92" s="79"/>
      <c r="AF92" s="67"/>
      <c r="AG92" s="94"/>
      <c r="AH92" s="396" t="s">
        <v>96</v>
      </c>
      <c r="AI92" s="396" t="s">
        <v>97</v>
      </c>
      <c r="AJ92" s="89"/>
      <c r="AK92" s="89"/>
      <c r="AL92" s="65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11"/>
    </row>
    <row r="93" spans="12:67" ht="15.75" customHeight="1">
      <c r="L93" s="108"/>
      <c r="M93" s="95"/>
      <c r="N93" s="96"/>
      <c r="O93" s="97"/>
      <c r="P93" s="98"/>
      <c r="Q93" s="98"/>
      <c r="R93" s="98"/>
      <c r="S93" s="97"/>
      <c r="T93" s="98"/>
      <c r="U93" s="98"/>
      <c r="V93" s="98"/>
      <c r="W93" s="99"/>
      <c r="X93" s="96"/>
      <c r="Y93" s="98"/>
      <c r="Z93" s="96"/>
      <c r="AA93" s="98"/>
      <c r="AB93" s="98"/>
      <c r="AC93" s="99"/>
      <c r="AD93" s="99"/>
      <c r="AE93" s="99"/>
      <c r="AF93" s="67" t="s">
        <v>247</v>
      </c>
      <c r="AG93" s="100"/>
      <c r="AH93" s="396"/>
      <c r="AI93" s="396"/>
      <c r="AJ93" s="89"/>
      <c r="AK93" s="89"/>
      <c r="AL93" s="65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11"/>
    </row>
    <row r="94" spans="12:67" ht="15.75" customHeight="1">
      <c r="L94" s="108"/>
      <c r="M94" s="75" t="s">
        <v>101</v>
      </c>
      <c r="N94" s="176">
        <v>3.0000000000000001E-3</v>
      </c>
      <c r="O94" s="186">
        <v>5.0000000000000001E-3</v>
      </c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80">
        <f>AF94-AE94</f>
        <v>1.2E-2</v>
      </c>
      <c r="AE94" s="181">
        <f t="shared" ref="AE94:AE112" si="22">N94+O94</f>
        <v>8.0000000000000002E-3</v>
      </c>
      <c r="AF94" s="67">
        <v>0.02</v>
      </c>
      <c r="AG94" s="101" t="s">
        <v>102</v>
      </c>
      <c r="AH94" s="102">
        <f>AH95+150</f>
        <v>3438</v>
      </c>
      <c r="AI94" s="102">
        <f>AI95+150</f>
        <v>3438</v>
      </c>
      <c r="AJ94" s="89"/>
      <c r="AK94" s="89"/>
      <c r="AL94" s="65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11"/>
    </row>
    <row r="95" spans="12:67" ht="30.75" customHeight="1">
      <c r="L95" s="108"/>
      <c r="M95" s="75" t="s">
        <v>103</v>
      </c>
      <c r="N95" s="176">
        <v>0.26800000000000002</v>
      </c>
      <c r="O95" s="186">
        <v>0.01</v>
      </c>
      <c r="P95" s="179"/>
      <c r="Q95" s="179"/>
      <c r="R95" s="179"/>
      <c r="S95" s="179"/>
      <c r="T95" s="179"/>
      <c r="U95" s="182"/>
      <c r="V95" s="179"/>
      <c r="W95" s="179"/>
      <c r="X95" s="179"/>
      <c r="Y95" s="179"/>
      <c r="Z95" s="179"/>
      <c r="AA95" s="179"/>
      <c r="AB95" s="179"/>
      <c r="AC95" s="182"/>
      <c r="AD95" s="180">
        <f t="shared" ref="AD95:AD110" si="23">AF95-AE95</f>
        <v>6.2E-2</v>
      </c>
      <c r="AE95" s="181">
        <f t="shared" si="22"/>
        <v>0.27800000000000002</v>
      </c>
      <c r="AF95" s="67">
        <v>0.34</v>
      </c>
      <c r="AG95" s="101" t="s">
        <v>104</v>
      </c>
      <c r="AH95" s="102">
        <v>3288</v>
      </c>
      <c r="AI95" s="102">
        <v>3288</v>
      </c>
      <c r="AJ95" s="89"/>
      <c r="AK95" s="89"/>
      <c r="AL95" s="65"/>
      <c r="AM95" s="397" t="s">
        <v>521</v>
      </c>
      <c r="AN95" s="398"/>
      <c r="AO95" s="398"/>
      <c r="AP95" s="398"/>
      <c r="AQ95" s="398"/>
      <c r="AR95" s="398"/>
      <c r="AS95" s="398"/>
      <c r="AT95" s="398"/>
      <c r="AU95" s="398"/>
      <c r="AV95" s="398"/>
      <c r="AW95" s="399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11"/>
    </row>
    <row r="96" spans="12:67" ht="15.75" customHeight="1">
      <c r="L96" s="108"/>
      <c r="M96" s="75" t="s">
        <v>105</v>
      </c>
      <c r="N96" s="176">
        <v>1.1160000000000001</v>
      </c>
      <c r="O96" s="186">
        <v>0.22500000000000001</v>
      </c>
      <c r="P96" s="182"/>
      <c r="Q96" s="179"/>
      <c r="R96" s="179"/>
      <c r="S96" s="179"/>
      <c r="T96" s="179"/>
      <c r="U96" s="182"/>
      <c r="V96" s="182"/>
      <c r="W96" s="182"/>
      <c r="X96" s="179"/>
      <c r="Y96" s="182"/>
      <c r="Z96" s="177"/>
      <c r="AA96" s="179"/>
      <c r="AB96" s="182"/>
      <c r="AC96" s="182"/>
      <c r="AD96" s="180">
        <f t="shared" si="23"/>
        <v>1.8519999999999999</v>
      </c>
      <c r="AE96" s="181">
        <f t="shared" si="22"/>
        <v>1.3410000000000002</v>
      </c>
      <c r="AF96" s="67">
        <v>3.1930000000000001</v>
      </c>
      <c r="AG96" s="101" t="s">
        <v>106</v>
      </c>
      <c r="AH96" s="102">
        <v>3144</v>
      </c>
      <c r="AI96" s="102">
        <v>3144</v>
      </c>
      <c r="AJ96" s="89"/>
      <c r="AK96" s="89"/>
      <c r="AL96" s="65"/>
      <c r="AM96" s="400" t="s">
        <v>74</v>
      </c>
      <c r="AN96" s="402" t="s">
        <v>75</v>
      </c>
      <c r="AO96" s="404" t="s">
        <v>76</v>
      </c>
      <c r="AP96" s="405"/>
      <c r="AQ96" s="405"/>
      <c r="AR96" s="405"/>
      <c r="AS96" s="405"/>
      <c r="AT96" s="405"/>
      <c r="AU96" s="405"/>
      <c r="AV96" s="405"/>
      <c r="AW96" s="406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11"/>
    </row>
    <row r="97" spans="12:61" ht="30" customHeight="1">
      <c r="L97" s="108"/>
      <c r="M97" s="75" t="s">
        <v>107</v>
      </c>
      <c r="N97" s="176">
        <v>11.624000000000001</v>
      </c>
      <c r="O97" s="186">
        <v>0.29599999999999999</v>
      </c>
      <c r="P97" s="182"/>
      <c r="Q97" s="179"/>
      <c r="R97" s="179"/>
      <c r="S97" s="179"/>
      <c r="T97" s="182"/>
      <c r="U97" s="182"/>
      <c r="V97" s="179"/>
      <c r="W97" s="182"/>
      <c r="X97" s="179"/>
      <c r="Y97" s="182"/>
      <c r="Z97" s="177"/>
      <c r="AA97" s="179"/>
      <c r="AB97" s="182"/>
      <c r="AC97" s="182"/>
      <c r="AD97" s="180">
        <f t="shared" si="23"/>
        <v>2.1780000000000008</v>
      </c>
      <c r="AE97" s="181">
        <f t="shared" si="22"/>
        <v>11.92</v>
      </c>
      <c r="AF97" s="67">
        <v>14.098000000000001</v>
      </c>
      <c r="AG97" s="101" t="s">
        <v>108</v>
      </c>
      <c r="AH97" s="102">
        <v>3000</v>
      </c>
      <c r="AI97" s="102">
        <v>3000</v>
      </c>
      <c r="AJ97" s="89"/>
      <c r="AK97" s="89"/>
      <c r="AL97" s="65"/>
      <c r="AM97" s="401"/>
      <c r="AN97" s="403"/>
      <c r="AO97" s="73" t="s">
        <v>78</v>
      </c>
      <c r="AP97" s="73" t="s">
        <v>79</v>
      </c>
      <c r="AQ97" s="73" t="s">
        <v>80</v>
      </c>
      <c r="AR97" s="73" t="s">
        <v>81</v>
      </c>
      <c r="AS97" s="73" t="s">
        <v>82</v>
      </c>
      <c r="AT97" s="73" t="s">
        <v>83</v>
      </c>
      <c r="AU97" s="73" t="s">
        <v>84</v>
      </c>
      <c r="AV97" s="73" t="s">
        <v>85</v>
      </c>
      <c r="AW97" s="74" t="s">
        <v>71</v>
      </c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11"/>
    </row>
    <row r="98" spans="12:61" ht="28.5" customHeight="1">
      <c r="L98" s="108"/>
      <c r="M98" s="75" t="s">
        <v>109</v>
      </c>
      <c r="N98" s="176">
        <v>10.243</v>
      </c>
      <c r="O98" s="186">
        <v>0.106</v>
      </c>
      <c r="P98" s="182"/>
      <c r="Q98" s="179"/>
      <c r="R98" s="179"/>
      <c r="S98" s="179"/>
      <c r="T98" s="179"/>
      <c r="U98" s="182"/>
      <c r="V98" s="179"/>
      <c r="W98" s="182"/>
      <c r="X98" s="177"/>
      <c r="Y98" s="182"/>
      <c r="Z98" s="179"/>
      <c r="AA98" s="182"/>
      <c r="AB98" s="182"/>
      <c r="AC98" s="182"/>
      <c r="AD98" s="180">
        <f t="shared" si="23"/>
        <v>1.8330000000000002</v>
      </c>
      <c r="AE98" s="181">
        <f t="shared" si="22"/>
        <v>10.349</v>
      </c>
      <c r="AF98" s="67">
        <v>12.182</v>
      </c>
      <c r="AG98" s="101" t="s">
        <v>110</v>
      </c>
      <c r="AH98" s="102">
        <v>2737</v>
      </c>
      <c r="AI98" s="102">
        <v>2737</v>
      </c>
      <c r="AJ98" s="89"/>
      <c r="AK98" s="89"/>
      <c r="AL98" s="65"/>
      <c r="AM98" s="83" t="s">
        <v>139</v>
      </c>
      <c r="AN98" s="84" t="s">
        <v>520</v>
      </c>
      <c r="AO98" s="188"/>
      <c r="AP98" s="188"/>
      <c r="AQ98" s="189"/>
      <c r="AR98" s="189"/>
      <c r="AS98" s="191">
        <v>2.5999999999999999E-2</v>
      </c>
      <c r="AT98" s="189"/>
      <c r="AU98" s="189"/>
      <c r="AV98" s="190"/>
      <c r="AW98" s="18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11"/>
    </row>
    <row r="99" spans="12:61" ht="29.25" customHeight="1">
      <c r="L99" s="108"/>
      <c r="M99" s="75" t="s">
        <v>111</v>
      </c>
      <c r="N99" s="176">
        <v>3.4380000000000002</v>
      </c>
      <c r="O99" s="186">
        <v>0.38900000000000001</v>
      </c>
      <c r="P99" s="182"/>
      <c r="Q99" s="179"/>
      <c r="R99" s="179"/>
      <c r="S99" s="179"/>
      <c r="T99" s="182"/>
      <c r="U99" s="182"/>
      <c r="V99" s="182"/>
      <c r="W99" s="182"/>
      <c r="X99" s="179"/>
      <c r="Y99" s="182"/>
      <c r="Z99" s="177"/>
      <c r="AA99" s="179"/>
      <c r="AB99" s="179"/>
      <c r="AC99" s="182"/>
      <c r="AD99" s="180">
        <f t="shared" si="23"/>
        <v>1.3230000000000004</v>
      </c>
      <c r="AE99" s="181">
        <f t="shared" si="22"/>
        <v>3.827</v>
      </c>
      <c r="AF99" s="67">
        <v>5.15</v>
      </c>
      <c r="AG99" s="101" t="s">
        <v>112</v>
      </c>
      <c r="AH99" s="102">
        <v>2524</v>
      </c>
      <c r="AI99" s="102">
        <v>2317</v>
      </c>
      <c r="AJ99" s="103"/>
      <c r="AK99" s="103"/>
      <c r="AL99" s="65"/>
      <c r="AM99" s="83" t="s">
        <v>92</v>
      </c>
      <c r="AN99" s="84" t="s">
        <v>89</v>
      </c>
      <c r="AO99" s="192">
        <v>1.7999999999999999E-2</v>
      </c>
      <c r="AP99" s="192">
        <v>0.13200000000000001</v>
      </c>
      <c r="AQ99" s="192">
        <v>3.1E-2</v>
      </c>
      <c r="AR99" s="192">
        <v>1.49</v>
      </c>
      <c r="AS99" s="191">
        <v>5.29</v>
      </c>
      <c r="AT99" s="192">
        <v>18.984000000000002</v>
      </c>
      <c r="AU99" s="188"/>
      <c r="AV99" s="188"/>
      <c r="AW99" s="190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11"/>
    </row>
    <row r="100" spans="12:61" ht="28.5" customHeight="1">
      <c r="L100" s="108"/>
      <c r="M100" s="75" t="s">
        <v>113</v>
      </c>
      <c r="N100" s="176">
        <v>34.69</v>
      </c>
      <c r="O100" s="186">
        <v>0.37</v>
      </c>
      <c r="P100" s="187"/>
      <c r="Q100" s="179"/>
      <c r="R100" s="179"/>
      <c r="S100" s="179"/>
      <c r="T100" s="179"/>
      <c r="U100" s="182"/>
      <c r="V100" s="182"/>
      <c r="W100" s="182"/>
      <c r="X100" s="177"/>
      <c r="Y100" s="182"/>
      <c r="Z100" s="177"/>
      <c r="AA100" s="182"/>
      <c r="AB100" s="182"/>
      <c r="AC100" s="182"/>
      <c r="AD100" s="180">
        <f t="shared" si="23"/>
        <v>7.6720000000000041</v>
      </c>
      <c r="AE100" s="181">
        <f t="shared" si="22"/>
        <v>35.059999999999995</v>
      </c>
      <c r="AF100" s="67">
        <v>42.731999999999999</v>
      </c>
      <c r="AG100" s="101" t="s">
        <v>114</v>
      </c>
      <c r="AH100" s="102">
        <v>2311</v>
      </c>
      <c r="AI100" s="102">
        <v>1926</v>
      </c>
      <c r="AJ100" s="103"/>
      <c r="AK100" s="103"/>
      <c r="AL100" s="65"/>
      <c r="AM100" s="83" t="s">
        <v>94</v>
      </c>
      <c r="AN100" s="84" t="s">
        <v>89</v>
      </c>
      <c r="AO100" s="189"/>
      <c r="AP100" s="189"/>
      <c r="AQ100" s="189"/>
      <c r="AR100" s="192">
        <v>0.372</v>
      </c>
      <c r="AS100" s="191">
        <v>1.087</v>
      </c>
      <c r="AT100" s="192">
        <v>8.9260000000000002</v>
      </c>
      <c r="AU100" s="188"/>
      <c r="AV100" s="188"/>
      <c r="AW100" s="18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11"/>
    </row>
    <row r="101" spans="12:61" ht="30.75" customHeight="1">
      <c r="L101" s="108"/>
      <c r="M101" s="75" t="s">
        <v>115</v>
      </c>
      <c r="N101" s="176">
        <v>34.412999999999997</v>
      </c>
      <c r="O101" s="186">
        <v>7.26</v>
      </c>
      <c r="P101" s="179"/>
      <c r="Q101" s="179"/>
      <c r="R101" s="179"/>
      <c r="S101" s="179"/>
      <c r="T101" s="179"/>
      <c r="U101" s="182"/>
      <c r="V101" s="182"/>
      <c r="W101" s="182"/>
      <c r="X101" s="179"/>
      <c r="Y101" s="182"/>
      <c r="Z101" s="177"/>
      <c r="AA101" s="182"/>
      <c r="AB101" s="179"/>
      <c r="AC101" s="182"/>
      <c r="AD101" s="180">
        <f t="shared" si="23"/>
        <v>5.3600000000000065</v>
      </c>
      <c r="AE101" s="181">
        <f t="shared" si="22"/>
        <v>41.672999999999995</v>
      </c>
      <c r="AF101" s="67">
        <v>47.033000000000001</v>
      </c>
      <c r="AG101" s="101" t="s">
        <v>116</v>
      </c>
      <c r="AH101" s="102">
        <v>1757</v>
      </c>
      <c r="AI101" s="102">
        <v>1465</v>
      </c>
      <c r="AJ101" s="103"/>
      <c r="AK101" s="103"/>
      <c r="AL101" s="65"/>
      <c r="AM101" s="83" t="s">
        <v>98</v>
      </c>
      <c r="AN101" s="84" t="s">
        <v>89</v>
      </c>
      <c r="AO101" s="188"/>
      <c r="AP101" s="188"/>
      <c r="AQ101" s="188"/>
      <c r="AR101" s="189"/>
      <c r="AS101" s="190"/>
      <c r="AT101" s="192">
        <v>0.17799999999999999</v>
      </c>
      <c r="AU101" s="188"/>
      <c r="AV101" s="188"/>
      <c r="AW101" s="18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11"/>
    </row>
    <row r="102" spans="12:61" ht="30" customHeight="1">
      <c r="L102" s="108"/>
      <c r="M102" s="75" t="s">
        <v>117</v>
      </c>
      <c r="N102" s="176">
        <v>26.172000000000001</v>
      </c>
      <c r="O102" s="186">
        <v>1.482</v>
      </c>
      <c r="P102" s="179"/>
      <c r="Q102" s="179"/>
      <c r="R102" s="179"/>
      <c r="S102" s="179"/>
      <c r="T102" s="179"/>
      <c r="U102" s="182"/>
      <c r="V102" s="182"/>
      <c r="W102" s="182"/>
      <c r="X102" s="177"/>
      <c r="Y102" s="182"/>
      <c r="Z102" s="177"/>
      <c r="AA102" s="182"/>
      <c r="AB102" s="179"/>
      <c r="AC102" s="182"/>
      <c r="AD102" s="180">
        <f t="shared" si="23"/>
        <v>2.9869999999999983</v>
      </c>
      <c r="AE102" s="181">
        <f t="shared" si="22"/>
        <v>27.654</v>
      </c>
      <c r="AF102" s="67">
        <v>30.640999999999998</v>
      </c>
      <c r="AG102" s="101" t="s">
        <v>118</v>
      </c>
      <c r="AH102" s="102">
        <v>1368</v>
      </c>
      <c r="AI102" s="102">
        <v>1140</v>
      </c>
      <c r="AJ102" s="103"/>
      <c r="AK102" s="103"/>
      <c r="AL102" s="65"/>
      <c r="AM102" s="83" t="s">
        <v>100</v>
      </c>
      <c r="AN102" s="84" t="s">
        <v>89</v>
      </c>
      <c r="AO102" s="188"/>
      <c r="AP102" s="188"/>
      <c r="AQ102" s="188"/>
      <c r="AR102" s="188"/>
      <c r="AS102" s="188"/>
      <c r="AT102" s="188"/>
      <c r="AU102" s="192">
        <v>0.25</v>
      </c>
      <c r="AV102" s="190"/>
      <c r="AW102" s="18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11"/>
    </row>
    <row r="103" spans="12:61" ht="15.75" customHeight="1">
      <c r="L103" s="108"/>
      <c r="M103" s="75" t="s">
        <v>119</v>
      </c>
      <c r="N103" s="176">
        <v>60.765000000000001</v>
      </c>
      <c r="O103" s="186">
        <v>24.216999999999999</v>
      </c>
      <c r="P103" s="179"/>
      <c r="Q103" s="179"/>
      <c r="R103" s="179"/>
      <c r="S103" s="178"/>
      <c r="T103" s="179"/>
      <c r="U103" s="182"/>
      <c r="V103" s="182"/>
      <c r="W103" s="182"/>
      <c r="X103" s="177"/>
      <c r="Y103" s="179"/>
      <c r="Z103" s="177"/>
      <c r="AA103" s="182"/>
      <c r="AB103" s="179"/>
      <c r="AC103" s="182"/>
      <c r="AD103" s="180">
        <f t="shared" si="23"/>
        <v>14.007000000000005</v>
      </c>
      <c r="AE103" s="181">
        <f t="shared" si="22"/>
        <v>84.981999999999999</v>
      </c>
      <c r="AF103" s="67">
        <v>98.989000000000004</v>
      </c>
      <c r="AG103" s="101" t="s">
        <v>120</v>
      </c>
      <c r="AH103" s="102">
        <v>1228</v>
      </c>
      <c r="AI103" s="102">
        <v>1024</v>
      </c>
      <c r="AJ103" s="103"/>
      <c r="AK103" s="103"/>
      <c r="AL103" s="65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11"/>
    </row>
    <row r="104" spans="12:61" ht="15.75" customHeight="1">
      <c r="L104" s="108"/>
      <c r="M104" s="75" t="s">
        <v>121</v>
      </c>
      <c r="N104" s="176">
        <v>143.36799999999999</v>
      </c>
      <c r="O104" s="186">
        <v>10.106</v>
      </c>
      <c r="P104" s="179"/>
      <c r="Q104" s="179"/>
      <c r="R104" s="179"/>
      <c r="S104" s="178"/>
      <c r="T104" s="179"/>
      <c r="U104" s="182"/>
      <c r="V104" s="179"/>
      <c r="W104" s="182"/>
      <c r="X104" s="179"/>
      <c r="Y104" s="179"/>
      <c r="Z104" s="177"/>
      <c r="AA104" s="182"/>
      <c r="AB104" s="179"/>
      <c r="AC104" s="182"/>
      <c r="AD104" s="180">
        <f t="shared" si="23"/>
        <v>22.802000000000021</v>
      </c>
      <c r="AE104" s="181">
        <f t="shared" si="22"/>
        <v>153.47399999999999</v>
      </c>
      <c r="AF104" s="67">
        <v>176.27600000000001</v>
      </c>
      <c r="AG104" s="101" t="s">
        <v>122</v>
      </c>
      <c r="AH104" s="102">
        <v>1145</v>
      </c>
      <c r="AI104" s="102">
        <v>955</v>
      </c>
      <c r="AJ104" s="103"/>
      <c r="AK104" s="103"/>
      <c r="AL104" s="65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11"/>
    </row>
    <row r="105" spans="12:61" ht="15.75" customHeight="1">
      <c r="L105" s="108"/>
      <c r="M105" s="75" t="s">
        <v>123</v>
      </c>
      <c r="N105" s="176">
        <v>51.863</v>
      </c>
      <c r="O105" s="186">
        <v>7.0430000000000001</v>
      </c>
      <c r="P105" s="179"/>
      <c r="Q105" s="179"/>
      <c r="R105" s="179"/>
      <c r="S105" s="178"/>
      <c r="T105" s="179"/>
      <c r="U105" s="182"/>
      <c r="V105" s="182"/>
      <c r="W105" s="182"/>
      <c r="X105" s="177"/>
      <c r="Y105" s="179"/>
      <c r="Z105" s="177"/>
      <c r="AA105" s="182"/>
      <c r="AB105" s="182"/>
      <c r="AC105" s="182"/>
      <c r="AD105" s="180">
        <f t="shared" si="23"/>
        <v>6.0419999999999945</v>
      </c>
      <c r="AE105" s="181">
        <f t="shared" si="22"/>
        <v>58.905999999999999</v>
      </c>
      <c r="AF105" s="67">
        <v>64.947999999999993</v>
      </c>
      <c r="AG105" s="101" t="s">
        <v>124</v>
      </c>
      <c r="AH105" s="102">
        <v>1063</v>
      </c>
      <c r="AI105" s="102">
        <v>886</v>
      </c>
      <c r="AJ105" s="103"/>
      <c r="AK105" s="103"/>
      <c r="AL105" s="65"/>
      <c r="AM105" s="68"/>
      <c r="AN105" s="68"/>
      <c r="AO105" s="68" t="s">
        <v>181</v>
      </c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11"/>
    </row>
    <row r="106" spans="12:61" ht="30.75" customHeight="1">
      <c r="L106" s="108"/>
      <c r="M106" s="75" t="s">
        <v>125</v>
      </c>
      <c r="N106" s="176">
        <v>67.366</v>
      </c>
      <c r="O106" s="186">
        <v>9.7129999999999992</v>
      </c>
      <c r="P106" s="179"/>
      <c r="Q106" s="179"/>
      <c r="R106" s="179"/>
      <c r="S106" s="179"/>
      <c r="T106" s="179"/>
      <c r="U106" s="182"/>
      <c r="V106" s="182"/>
      <c r="W106" s="182"/>
      <c r="X106" s="177"/>
      <c r="Y106" s="182"/>
      <c r="Z106" s="177"/>
      <c r="AA106" s="182"/>
      <c r="AB106" s="179"/>
      <c r="AC106" s="182"/>
      <c r="AD106" s="180">
        <f t="shared" si="23"/>
        <v>9.2720000000000056</v>
      </c>
      <c r="AE106" s="181">
        <f t="shared" si="22"/>
        <v>77.078999999999994</v>
      </c>
      <c r="AF106" s="67">
        <v>86.350999999999999</v>
      </c>
      <c r="AG106" s="101" t="s">
        <v>126</v>
      </c>
      <c r="AH106" s="102">
        <v>980</v>
      </c>
      <c r="AI106" s="102">
        <v>817</v>
      </c>
      <c r="AJ106" s="103"/>
      <c r="AK106" s="103"/>
      <c r="AL106" s="65"/>
      <c r="AM106" s="68"/>
      <c r="AN106" s="68"/>
      <c r="AO106" s="73" t="s">
        <v>78</v>
      </c>
      <c r="AP106" s="73" t="s">
        <v>79</v>
      </c>
      <c r="AQ106" s="73" t="s">
        <v>80</v>
      </c>
      <c r="AR106" s="73" t="s">
        <v>81</v>
      </c>
      <c r="AS106" s="73" t="s">
        <v>82</v>
      </c>
      <c r="AT106" s="73" t="s">
        <v>83</v>
      </c>
      <c r="AU106" s="73" t="s">
        <v>84</v>
      </c>
      <c r="AV106" s="73" t="s">
        <v>85</v>
      </c>
      <c r="AW106" s="74" t="s">
        <v>71</v>
      </c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11"/>
    </row>
    <row r="107" spans="12:61" ht="15.75" customHeight="1">
      <c r="L107" s="108"/>
      <c r="M107" s="75" t="s">
        <v>127</v>
      </c>
      <c r="N107" s="176">
        <v>35.323</v>
      </c>
      <c r="O107" s="186">
        <v>11.987</v>
      </c>
      <c r="P107" s="179"/>
      <c r="Q107" s="179"/>
      <c r="R107" s="179"/>
      <c r="S107" s="179"/>
      <c r="T107" s="179"/>
      <c r="U107" s="182"/>
      <c r="V107" s="182"/>
      <c r="W107" s="182"/>
      <c r="X107" s="177"/>
      <c r="Y107" s="182"/>
      <c r="Z107" s="177"/>
      <c r="AA107" s="179"/>
      <c r="AB107" s="179"/>
      <c r="AC107" s="182"/>
      <c r="AD107" s="180">
        <f t="shared" si="23"/>
        <v>5.2070000000000007</v>
      </c>
      <c r="AE107" s="181">
        <f t="shared" si="22"/>
        <v>47.31</v>
      </c>
      <c r="AF107" s="67">
        <v>52.517000000000003</v>
      </c>
      <c r="AG107" s="101" t="s">
        <v>128</v>
      </c>
      <c r="AH107" s="102">
        <v>897</v>
      </c>
      <c r="AI107" s="102">
        <v>748</v>
      </c>
      <c r="AJ107" s="103"/>
      <c r="AK107" s="103"/>
      <c r="AL107" s="65"/>
      <c r="AM107" s="68"/>
      <c r="AN107" s="68" t="s">
        <v>180</v>
      </c>
      <c r="AO107" s="68">
        <f>IFERROR(SUMPRODUCT(BA87:BA91,AO98:AO102)/SUM(AO98:AO102),0)</f>
        <v>0</v>
      </c>
      <c r="AP107" s="68">
        <f t="shared" ref="AP107:AW107" si="24">IFERROR(SUMPRODUCT(AP87:AP91,AP98:AP102)/SUM(AP98:AP102),0)</f>
        <v>5635</v>
      </c>
      <c r="AQ107" s="68">
        <f t="shared" si="24"/>
        <v>5028</v>
      </c>
      <c r="AR107" s="68">
        <f t="shared" si="24"/>
        <v>3714.1353383458645</v>
      </c>
      <c r="AS107" s="68">
        <f t="shared" si="24"/>
        <v>3002.7034202717473</v>
      </c>
      <c r="AT107" s="68">
        <f t="shared" si="24"/>
        <v>2696.189404727997</v>
      </c>
      <c r="AU107" s="68">
        <f t="shared" si="24"/>
        <v>2260</v>
      </c>
      <c r="AV107" s="68">
        <f t="shared" si="24"/>
        <v>0</v>
      </c>
      <c r="AW107" s="68">
        <f t="shared" si="24"/>
        <v>0</v>
      </c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11"/>
    </row>
    <row r="108" spans="12:61" ht="15.75" customHeight="1">
      <c r="L108" s="108"/>
      <c r="M108" s="75" t="s">
        <v>129</v>
      </c>
      <c r="N108" s="176">
        <v>8.1910000000000007</v>
      </c>
      <c r="O108" s="186">
        <v>1.105</v>
      </c>
      <c r="P108" s="179"/>
      <c r="Q108" s="179"/>
      <c r="R108" s="179"/>
      <c r="S108" s="179"/>
      <c r="T108" s="179"/>
      <c r="U108" s="182"/>
      <c r="V108" s="182"/>
      <c r="W108" s="182"/>
      <c r="X108" s="179"/>
      <c r="Y108" s="182"/>
      <c r="Z108" s="177"/>
      <c r="AA108" s="179"/>
      <c r="AB108" s="179"/>
      <c r="AC108" s="182"/>
      <c r="AD108" s="180">
        <f t="shared" si="23"/>
        <v>2.2769999999999992</v>
      </c>
      <c r="AE108" s="181">
        <f t="shared" si="22"/>
        <v>9.2960000000000012</v>
      </c>
      <c r="AF108" s="67">
        <v>11.573</v>
      </c>
      <c r="AG108" s="101" t="s">
        <v>130</v>
      </c>
      <c r="AH108" s="102">
        <v>708</v>
      </c>
      <c r="AI108" s="102">
        <v>590</v>
      </c>
      <c r="AJ108" s="103"/>
      <c r="AK108" s="103"/>
      <c r="AL108" s="65"/>
      <c r="AM108" s="68"/>
      <c r="AN108" s="68" t="s">
        <v>179</v>
      </c>
      <c r="AO108" s="68">
        <f t="shared" ref="AO108" si="25">IFERROR(SUMPRODUCT(BA87:BA91,AO98:AO102)/SUM(AO98:AO102),0)</f>
        <v>0</v>
      </c>
      <c r="AP108" s="68">
        <f t="shared" ref="AP108" si="26">IFERROR(SUMPRODUCT(BB87:BB91,AP98:AP102)/SUM(AP98:AP102),0)</f>
        <v>0</v>
      </c>
      <c r="AQ108" s="68">
        <f t="shared" ref="AQ108" si="27">IFERROR(SUMPRODUCT(BC87:BC91,AQ98:AQ102)/SUM(AQ98:AQ102),0)</f>
        <v>4190</v>
      </c>
      <c r="AR108" s="68">
        <f t="shared" ref="AR108" si="28">IFERROR(SUMPRODUCT(BD87:BD91,AR98:AR102)/SUM(AR98:AR102),0)</f>
        <v>3201.9978517722875</v>
      </c>
      <c r="AS108" s="68">
        <f t="shared" ref="AS108" si="29">IFERROR(SUMPRODUCT(BE87:BE91,AS98:AS102)/SUM(AS98:AS102),0)</f>
        <v>2579.5673902858039</v>
      </c>
      <c r="AT108" s="68">
        <f t="shared" ref="AT108" si="30">IFERROR(SUMPRODUCT(BF87:BF91,AT98:AT102)/SUM(AT98:AT102),0)</f>
        <v>1984.7821133580176</v>
      </c>
      <c r="AU108" s="68">
        <f t="shared" ref="AU108" si="31">IFERROR(SUMPRODUCT(BG87:BG91,AU98:AU102)/SUM(AU98:AU102),0)</f>
        <v>1740</v>
      </c>
      <c r="AV108" s="68">
        <f t="shared" ref="AV108" si="32">IFERROR(SUMPRODUCT(BH87:BH91,AV98:AV102)/SUM(AV98:AV102),0)</f>
        <v>0</v>
      </c>
      <c r="AW108" s="68">
        <f t="shared" ref="AW108" si="33">IFERROR(SUMPRODUCT(BI87:BI91,AW98:AW102)/SUM(AW98:AW102),0)</f>
        <v>0</v>
      </c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11"/>
    </row>
    <row r="109" spans="12:61" ht="15.75" customHeight="1">
      <c r="L109" s="108"/>
      <c r="M109" s="75" t="s">
        <v>131</v>
      </c>
      <c r="N109" s="176">
        <v>1.8260000000000001</v>
      </c>
      <c r="O109" s="186">
        <v>3.0000000000000001E-3</v>
      </c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82"/>
      <c r="AD109" s="180">
        <f t="shared" si="23"/>
        <v>1.8939999999999999</v>
      </c>
      <c r="AE109" s="181">
        <f t="shared" si="22"/>
        <v>1.829</v>
      </c>
      <c r="AF109" s="67">
        <v>3.7229999999999999</v>
      </c>
      <c r="AG109" s="101" t="s">
        <v>132</v>
      </c>
      <c r="AH109" s="102">
        <v>604</v>
      </c>
      <c r="AI109" s="102">
        <v>504</v>
      </c>
      <c r="AJ109" s="103"/>
      <c r="AK109" s="103"/>
      <c r="AL109" s="65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11"/>
    </row>
    <row r="110" spans="12:61" ht="15.75" customHeight="1">
      <c r="L110" s="108"/>
      <c r="M110" s="75" t="s">
        <v>133</v>
      </c>
      <c r="N110" s="176">
        <v>0.67300000000000004</v>
      </c>
      <c r="O110" s="186">
        <v>3.6999999999999998E-2</v>
      </c>
      <c r="P110" s="179"/>
      <c r="Q110" s="179"/>
      <c r="R110" s="179"/>
      <c r="S110" s="178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82"/>
      <c r="AD110" s="180">
        <f t="shared" si="23"/>
        <v>4.5419999999999998</v>
      </c>
      <c r="AE110" s="181">
        <f t="shared" si="22"/>
        <v>0.71000000000000008</v>
      </c>
      <c r="AF110" s="67">
        <v>5.2519999999999998</v>
      </c>
      <c r="AG110" s="101" t="s">
        <v>134</v>
      </c>
      <c r="AH110" s="102">
        <v>536</v>
      </c>
      <c r="AI110" s="102">
        <v>447</v>
      </c>
      <c r="AJ110" s="103"/>
      <c r="AK110" s="103"/>
      <c r="AL110" s="65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11"/>
    </row>
    <row r="111" spans="12:61" ht="15.75" customHeight="1">
      <c r="L111" s="108"/>
      <c r="M111" s="95" t="s">
        <v>135</v>
      </c>
      <c r="N111" s="183"/>
      <c r="O111" s="184"/>
      <c r="P111" s="185"/>
      <c r="Q111" s="185"/>
      <c r="R111" s="185"/>
      <c r="S111" s="184"/>
      <c r="T111" s="185"/>
      <c r="U111" s="185"/>
      <c r="V111" s="185"/>
      <c r="W111" s="185"/>
      <c r="X111" s="183"/>
      <c r="Y111" s="185"/>
      <c r="Z111" s="183"/>
      <c r="AA111" s="185"/>
      <c r="AB111" s="185"/>
      <c r="AC111" s="185"/>
      <c r="AD111" s="185">
        <f>SUM(AD94:AD110)</f>
        <v>89.322000000000045</v>
      </c>
      <c r="AE111" s="185">
        <f>SUM(AE94:AE110)</f>
        <v>565.69600000000003</v>
      </c>
      <c r="AF111" s="67"/>
      <c r="AG111" s="67"/>
      <c r="AH111" s="67"/>
      <c r="AI111" s="67"/>
      <c r="AJ111" s="67"/>
      <c r="AK111" s="67"/>
      <c r="AL111" s="65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11"/>
    </row>
    <row r="112" spans="12:61" ht="15.75" customHeight="1">
      <c r="L112" s="108"/>
      <c r="M112" s="95" t="s">
        <v>136</v>
      </c>
      <c r="N112" s="183"/>
      <c r="O112" s="184"/>
      <c r="P112" s="185"/>
      <c r="Q112" s="185"/>
      <c r="R112" s="185"/>
      <c r="S112" s="184"/>
      <c r="T112" s="185"/>
      <c r="U112" s="185"/>
      <c r="V112" s="185"/>
      <c r="W112" s="185"/>
      <c r="X112" s="183"/>
      <c r="Y112" s="185"/>
      <c r="Z112" s="183"/>
      <c r="AA112" s="185"/>
      <c r="AB112" s="185"/>
      <c r="AC112" s="185"/>
      <c r="AD112" s="185">
        <f t="shared" ref="AD112" si="34">SUM(P112:AC112)</f>
        <v>0</v>
      </c>
      <c r="AE112" s="185">
        <f t="shared" si="22"/>
        <v>0</v>
      </c>
      <c r="AF112" s="67"/>
      <c r="AG112" s="67" t="s">
        <v>137</v>
      </c>
      <c r="AH112" s="104">
        <f>(SUMPRODUCT(AD94:AD110,AH94:AH110)+SUMPRODUCT(AE94:AE110,AI94:AI110))/SUM(AD94:AE110)/1000</f>
        <v>1.1449279073246839</v>
      </c>
      <c r="AI112" s="67" t="s">
        <v>138</v>
      </c>
      <c r="AJ112" s="67"/>
      <c r="AK112" s="67"/>
      <c r="AL112" s="65"/>
      <c r="AM112" s="68" t="s">
        <v>522</v>
      </c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11"/>
    </row>
    <row r="113" spans="12:61" ht="15.75" customHeight="1">
      <c r="L113" s="108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6"/>
      <c r="AE113" s="65"/>
      <c r="AF113" s="107"/>
      <c r="AG113" s="393" t="s">
        <v>504</v>
      </c>
      <c r="AH113" s="393"/>
      <c r="AI113" s="393"/>
      <c r="AJ113" s="393"/>
      <c r="AK113" s="393"/>
      <c r="AL113" s="65"/>
      <c r="AM113" s="68" t="s">
        <v>182</v>
      </c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11"/>
    </row>
    <row r="114" spans="12:61" ht="29.25" customHeight="1">
      <c r="L114" s="108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107"/>
      <c r="AF114" s="107"/>
      <c r="AG114" s="393"/>
      <c r="AH114" s="393"/>
      <c r="AI114" s="393"/>
      <c r="AJ114" s="393"/>
      <c r="AK114" s="393"/>
      <c r="AL114" s="65"/>
      <c r="AM114" s="68"/>
      <c r="AN114" s="68"/>
      <c r="AO114" s="73" t="s">
        <v>78</v>
      </c>
      <c r="AP114" s="73" t="s">
        <v>79</v>
      </c>
      <c r="AQ114" s="73" t="s">
        <v>80</v>
      </c>
      <c r="AR114" s="73" t="s">
        <v>81</v>
      </c>
      <c r="AS114" s="73" t="s">
        <v>82</v>
      </c>
      <c r="AT114" s="73" t="s">
        <v>83</v>
      </c>
      <c r="AU114" s="73" t="s">
        <v>84</v>
      </c>
      <c r="AV114" s="73" t="s">
        <v>85</v>
      </c>
      <c r="AW114" s="74" t="s">
        <v>71</v>
      </c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11"/>
    </row>
    <row r="115" spans="12:61" ht="15.75" customHeight="1">
      <c r="L115" s="108"/>
      <c r="M115" s="108"/>
      <c r="N115" s="108"/>
      <c r="O115" s="108"/>
      <c r="P115" s="108"/>
      <c r="Q115" s="108"/>
      <c r="R115" s="108"/>
      <c r="S115" s="108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107"/>
      <c r="AF115" s="107"/>
      <c r="AG115" s="393"/>
      <c r="AH115" s="393"/>
      <c r="AI115" s="393"/>
      <c r="AJ115" s="393"/>
      <c r="AK115" s="393"/>
      <c r="AL115" s="65"/>
      <c r="AM115" s="68"/>
      <c r="AN115" s="68" t="s">
        <v>180</v>
      </c>
      <c r="AO115" s="68">
        <v>0.11700000000000001</v>
      </c>
      <c r="AP115" s="68">
        <v>0.17899999999999999</v>
      </c>
      <c r="AQ115" s="68"/>
      <c r="AR115" s="68">
        <f>0.32+ 0.129</f>
        <v>0.44900000000000001</v>
      </c>
      <c r="AS115" s="68">
        <f>0.156+2.574+1.082</f>
        <v>3.8120000000000003</v>
      </c>
      <c r="AT115" s="68">
        <f>5.136+ 2.763+ 0.605+ 0.518+ 2.641</f>
        <v>11.663</v>
      </c>
      <c r="AU115" s="68">
        <v>0.253</v>
      </c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11"/>
    </row>
    <row r="116" spans="12:61" ht="27.75" customHeight="1">
      <c r="L116" s="108"/>
      <c r="M116" s="64" t="s">
        <v>184</v>
      </c>
      <c r="N116" s="64"/>
      <c r="O116" s="64"/>
      <c r="P116" s="64"/>
      <c r="Q116" s="64"/>
      <c r="R116" s="64"/>
      <c r="S116" s="64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107"/>
      <c r="AF116" s="107"/>
      <c r="AG116" s="393"/>
      <c r="AH116" s="393"/>
      <c r="AI116" s="393"/>
      <c r="AJ116" s="393"/>
      <c r="AK116" s="393"/>
      <c r="AL116" s="65"/>
      <c r="AM116" s="68"/>
      <c r="AN116" s="68" t="s">
        <v>179</v>
      </c>
      <c r="AO116" s="68"/>
      <c r="AP116" s="68"/>
      <c r="AQ116" s="68">
        <v>4.2000000000000003E-2</v>
      </c>
      <c r="AR116" s="68">
        <v>2.508</v>
      </c>
      <c r="AS116" s="68">
        <v>5.0529999999999999</v>
      </c>
      <c r="AT116" s="68">
        <f>19.224+0.018</f>
        <v>19.242000000000001</v>
      </c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11"/>
    </row>
    <row r="117" spans="12:61" ht="15.75" customHeight="1">
      <c r="L117" s="108"/>
      <c r="M117" s="109"/>
      <c r="N117" s="109"/>
      <c r="O117" s="109"/>
      <c r="P117" s="109"/>
      <c r="Q117" s="109"/>
      <c r="R117" s="109"/>
      <c r="S117" s="109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11"/>
    </row>
    <row r="118" spans="12:61" ht="15.75" customHeight="1">
      <c r="L118" s="108"/>
      <c r="M118" s="109"/>
      <c r="N118" s="109"/>
      <c r="O118" s="109"/>
      <c r="P118" s="109"/>
      <c r="Q118" s="109"/>
      <c r="R118" s="109"/>
      <c r="S118" s="109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11"/>
    </row>
    <row r="119" spans="12:61" ht="15.75" customHeight="1">
      <c r="L119" s="108"/>
      <c r="M119" s="109"/>
      <c r="N119" s="110"/>
      <c r="O119" s="110" t="s">
        <v>185</v>
      </c>
      <c r="P119" s="110" t="s">
        <v>140</v>
      </c>
      <c r="Q119" s="109"/>
      <c r="R119" s="109"/>
      <c r="S119" s="109"/>
      <c r="T119" s="65"/>
      <c r="U119" s="65"/>
      <c r="V119" s="65"/>
      <c r="W119" s="65"/>
      <c r="X119" s="65"/>
      <c r="Y119" s="65"/>
      <c r="Z119" s="65"/>
      <c r="AA119" s="65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14"/>
    </row>
    <row r="120" spans="12:61" ht="15.75" customHeight="1">
      <c r="L120" s="108"/>
      <c r="M120" s="65"/>
      <c r="N120" s="111" t="s">
        <v>142</v>
      </c>
      <c r="O120" s="112">
        <v>50.655999999999999</v>
      </c>
      <c r="P120" s="112">
        <f>AO120</f>
        <v>2.4371479821997757</v>
      </c>
      <c r="Q120" s="113" t="s">
        <v>187</v>
      </c>
      <c r="R120" s="109"/>
      <c r="S120" s="109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8"/>
      <c r="AN120" s="68"/>
      <c r="AO120" s="68">
        <f>SUMPRODUCT(AO107:AW108,AO115:AW116)/SUM(AO115:AW116)/1000</f>
        <v>2.4371479821997757</v>
      </c>
      <c r="AP120" s="71" t="s">
        <v>145</v>
      </c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11"/>
    </row>
    <row r="121" spans="12:61" ht="15.75" customHeight="1">
      <c r="L121" s="108"/>
      <c r="M121" s="65"/>
      <c r="N121" s="111" t="s">
        <v>143</v>
      </c>
      <c r="O121" s="112">
        <v>656.52</v>
      </c>
      <c r="P121" s="112">
        <f>AH112</f>
        <v>1.1449279073246839</v>
      </c>
      <c r="Q121" s="113" t="s">
        <v>187</v>
      </c>
      <c r="R121" s="109"/>
      <c r="S121" s="109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"/>
    </row>
    <row r="122" spans="12:61" ht="15.75" customHeight="1">
      <c r="L122" s="108"/>
      <c r="M122" s="65"/>
      <c r="N122" s="111" t="s">
        <v>144</v>
      </c>
      <c r="O122" s="112">
        <v>42.267000000000003</v>
      </c>
      <c r="P122" s="112">
        <f>AH110/1000</f>
        <v>0.53600000000000003</v>
      </c>
      <c r="Q122" s="109" t="s">
        <v>523</v>
      </c>
      <c r="R122" s="109"/>
      <c r="S122" s="109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"/>
    </row>
    <row r="123" spans="12:61" ht="15.75" customHeight="1">
      <c r="L123" s="108"/>
      <c r="M123" s="109"/>
      <c r="N123" s="109"/>
      <c r="O123" s="109"/>
      <c r="P123" s="115">
        <f>SUMPRODUCT(O120:O122,P120:P122)/SUM(O120:O122)/(Maps!G33/Maps!F33)</f>
        <v>1.1575416897280861</v>
      </c>
      <c r="Q123" s="109" t="s">
        <v>393</v>
      </c>
      <c r="R123" s="109"/>
      <c r="S123" s="109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"/>
    </row>
    <row r="124" spans="12:61" ht="15.75" customHeight="1">
      <c r="L124" s="108"/>
      <c r="M124" s="109"/>
      <c r="N124" s="109"/>
      <c r="O124" s="109"/>
      <c r="P124" s="109"/>
      <c r="Q124" s="109"/>
      <c r="R124" s="109"/>
      <c r="S124" s="109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"/>
    </row>
    <row r="125" spans="12:61" ht="15.75" customHeight="1"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  <c r="BF125" s="108"/>
      <c r="BG125" s="108"/>
      <c r="BH125" s="108"/>
      <c r="BI125" s="108"/>
    </row>
    <row r="126" spans="12:61" ht="15.75" customHeight="1"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11"/>
    </row>
    <row r="127" spans="12:61" ht="15.75" customHeight="1"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11"/>
    </row>
    <row r="128" spans="12:61" ht="15.75" customHeight="1"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11"/>
    </row>
    <row r="129" spans="39:61" ht="15.75"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6"/>
      <c r="AZ129" s="15"/>
      <c r="BA129" s="15"/>
      <c r="BB129" s="15"/>
      <c r="BC129" s="15"/>
      <c r="BD129" s="15"/>
      <c r="BE129" s="15"/>
      <c r="BF129" s="15"/>
      <c r="BG129" s="15"/>
      <c r="BH129" s="15"/>
      <c r="BI129" s="11"/>
    </row>
    <row r="130" spans="39:61" ht="15.75"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6"/>
      <c r="AZ130" s="15"/>
      <c r="BA130" s="15"/>
      <c r="BB130" s="15"/>
      <c r="BC130" s="15"/>
      <c r="BD130" s="15"/>
      <c r="BE130" s="15"/>
      <c r="BF130" s="15"/>
      <c r="BG130" s="15"/>
      <c r="BH130" s="15"/>
      <c r="BI130" s="11"/>
    </row>
  </sheetData>
  <mergeCells count="70">
    <mergeCell ref="AM96:AM97"/>
    <mergeCell ref="AN96:AN97"/>
    <mergeCell ref="AO96:AW96"/>
    <mergeCell ref="AG113:AK116"/>
    <mergeCell ref="BA84:BH84"/>
    <mergeCell ref="AH88:AI91"/>
    <mergeCell ref="AH92:AH93"/>
    <mergeCell ref="AI92:AI93"/>
    <mergeCell ref="AM95:AW95"/>
    <mergeCell ref="AM84:AM85"/>
    <mergeCell ref="AN84:AN85"/>
    <mergeCell ref="AO84:AW84"/>
    <mergeCell ref="AY84:AY85"/>
    <mergeCell ref="AZ84:AZ85"/>
    <mergeCell ref="AA84:AA85"/>
    <mergeCell ref="AB84:AB85"/>
    <mergeCell ref="AC84:AC85"/>
    <mergeCell ref="AD84:AD85"/>
    <mergeCell ref="AE84:AE85"/>
    <mergeCell ref="M82:AE82"/>
    <mergeCell ref="M83:M85"/>
    <mergeCell ref="N83:AE83"/>
    <mergeCell ref="AM83:AW83"/>
    <mergeCell ref="AY83:BH83"/>
    <mergeCell ref="N84:N85"/>
    <mergeCell ref="O84:O85"/>
    <mergeCell ref="P84:R84"/>
    <mergeCell ref="S84:S85"/>
    <mergeCell ref="T84:T85"/>
    <mergeCell ref="U84:U85"/>
    <mergeCell ref="V84:V85"/>
    <mergeCell ref="W84:W85"/>
    <mergeCell ref="X84:X85"/>
    <mergeCell ref="Y84:Y85"/>
    <mergeCell ref="Z84:Z85"/>
    <mergeCell ref="AM34:AW34"/>
    <mergeCell ref="AY34:BH34"/>
    <mergeCell ref="AM35:AM36"/>
    <mergeCell ref="AN35:AN36"/>
    <mergeCell ref="AO35:AW35"/>
    <mergeCell ref="AY35:AY36"/>
    <mergeCell ref="AZ35:AZ36"/>
    <mergeCell ref="BA35:BH35"/>
    <mergeCell ref="AM46:AW46"/>
    <mergeCell ref="AM47:AM48"/>
    <mergeCell ref="AN47:AN48"/>
    <mergeCell ref="AO47:AW47"/>
    <mergeCell ref="M33:AE33"/>
    <mergeCell ref="M34:M36"/>
    <mergeCell ref="N34:AE34"/>
    <mergeCell ref="N35:N36"/>
    <mergeCell ref="O35:O36"/>
    <mergeCell ref="P35:R35"/>
    <mergeCell ref="AD35:AD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64:AK67"/>
    <mergeCell ref="AC35:AC36"/>
    <mergeCell ref="AE35:AE36"/>
    <mergeCell ref="AH39:AI42"/>
    <mergeCell ref="AH43:AH44"/>
    <mergeCell ref="AI43:AI4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8"/>
  <sheetViews>
    <sheetView zoomScaleNormal="100" workbookViewId="0"/>
  </sheetViews>
  <sheetFormatPr defaultRowHeight="15"/>
  <cols>
    <col min="1" max="1" width="15.42578125" bestFit="1" customWidth="1"/>
    <col min="2" max="2" width="31.42578125" bestFit="1" customWidth="1"/>
    <col min="4" max="4" width="18.28515625" customWidth="1"/>
    <col min="5" max="5" width="19.28515625" customWidth="1"/>
    <col min="6" max="6" width="16" customWidth="1"/>
    <col min="7" max="7" width="18.28515625" customWidth="1"/>
    <col min="8" max="8" width="14" customWidth="1"/>
    <col min="9" max="9" width="15.28515625" customWidth="1"/>
    <col min="10" max="10" width="17.5703125" customWidth="1"/>
    <col min="13" max="13" width="10.28515625" bestFit="1" customWidth="1"/>
    <col min="14" max="14" width="13.42578125" bestFit="1" customWidth="1"/>
    <col min="15" max="15" width="13.5703125" bestFit="1" customWidth="1"/>
  </cols>
  <sheetData>
    <row r="1" spans="1:16">
      <c r="A1" t="s">
        <v>23</v>
      </c>
      <c r="D1" t="s">
        <v>406</v>
      </c>
      <c r="E1" s="292" t="s">
        <v>407</v>
      </c>
      <c r="F1" t="s">
        <v>408</v>
      </c>
      <c r="G1" s="292" t="s">
        <v>407</v>
      </c>
      <c r="H1" s="292" t="s">
        <v>407</v>
      </c>
      <c r="I1" t="s">
        <v>408</v>
      </c>
      <c r="J1" s="292" t="s">
        <v>407</v>
      </c>
      <c r="K1" s="6"/>
    </row>
    <row r="2" spans="1:16">
      <c r="A2" s="126" t="s">
        <v>0</v>
      </c>
      <c r="B2" s="127" t="s">
        <v>1</v>
      </c>
      <c r="C2" s="126" t="s">
        <v>24</v>
      </c>
      <c r="D2" s="126" t="s">
        <v>400</v>
      </c>
      <c r="E2" s="126" t="s">
        <v>401</v>
      </c>
      <c r="F2" s="126" t="s">
        <v>402</v>
      </c>
      <c r="G2" s="126" t="s">
        <v>403</v>
      </c>
      <c r="H2" s="126" t="s">
        <v>404</v>
      </c>
      <c r="I2" s="126" t="s">
        <v>405</v>
      </c>
      <c r="J2" s="126" t="s">
        <v>399</v>
      </c>
      <c r="K2" s="6"/>
    </row>
    <row r="3" spans="1:16">
      <c r="A3" t="s">
        <v>6</v>
      </c>
      <c r="B3" s="3" t="str">
        <f>VLOOKUP(A3,Maps!$A$1:$C$13,2,FALSE)</f>
        <v>MODELGEOGRAPHY</v>
      </c>
      <c r="C3">
        <v>2019</v>
      </c>
      <c r="D3">
        <v>0</v>
      </c>
      <c r="E3" s="304">
        <f>$C$20*CRUDE[[#This Row],[ImportPrice]]</f>
        <v>32.234342226443999</v>
      </c>
      <c r="F3" s="297">
        <f>AVERAGE(M28:N28)</f>
        <v>0.1</v>
      </c>
      <c r="G3" s="46">
        <f>(P28+Q28+(P28*S28))/1000</f>
        <v>5.1200000000000002E-2</v>
      </c>
      <c r="H3" s="304">
        <f>N18</f>
        <v>35.815935807159995</v>
      </c>
      <c r="I3" s="46">
        <v>0</v>
      </c>
      <c r="J3">
        <f>(O28+Q28+R28)/1000</f>
        <v>5.1999999999999998E-2</v>
      </c>
      <c r="K3" s="6"/>
      <c r="O3" s="296"/>
      <c r="P3" s="123"/>
    </row>
    <row r="4" spans="1:16">
      <c r="A4" t="s">
        <v>6</v>
      </c>
      <c r="B4" s="3" t="str">
        <f>VLOOKUP(A4,Maps!$A$1:$C$13,2,FALSE)</f>
        <v>MODELGEOGRAPHY</v>
      </c>
      <c r="C4">
        <v>2020</v>
      </c>
      <c r="D4">
        <v>0</v>
      </c>
      <c r="E4" s="304">
        <f>$C$20*CRUDE[[#This Row],[ImportPrice]]</f>
        <v>27.328761354469304</v>
      </c>
      <c r="F4" s="297">
        <f>F3</f>
        <v>0.1</v>
      </c>
      <c r="G4">
        <f>G3</f>
        <v>5.1200000000000002E-2</v>
      </c>
      <c r="H4" s="304">
        <f>N20</f>
        <v>30.365290393854782</v>
      </c>
      <c r="I4" s="46">
        <v>0</v>
      </c>
      <c r="J4">
        <f>J3</f>
        <v>5.1999999999999998E-2</v>
      </c>
      <c r="K4" s="6"/>
      <c r="M4" s="61"/>
      <c r="O4" s="321"/>
      <c r="P4" s="296"/>
    </row>
    <row r="5" spans="1:16">
      <c r="A5" t="s">
        <v>6</v>
      </c>
      <c r="B5" s="3" t="str">
        <f>VLOOKUP(A5,Maps!$A$1:$C$13,2,FALSE)</f>
        <v>MODELGEOGRAPHY</v>
      </c>
      <c r="C5">
        <v>2021</v>
      </c>
      <c r="D5">
        <v>0</v>
      </c>
      <c r="E5" s="304">
        <f>$C$20*CRUDE[[#This Row],[ImportPrice]]</f>
        <v>18.704034594433221</v>
      </c>
      <c r="F5" s="297">
        <f t="shared" ref="F5:F15" si="0">F4</f>
        <v>0.1</v>
      </c>
      <c r="G5">
        <f t="shared" ref="G5:G15" si="1">G4</f>
        <v>5.1200000000000002E-2</v>
      </c>
      <c r="H5" s="304">
        <f>H4*(1+'Growth-Rates'!D10)</f>
        <v>20.782260660481356</v>
      </c>
      <c r="I5" s="46">
        <v>0</v>
      </c>
      <c r="J5">
        <f t="shared" ref="J5:J15" si="2">J4</f>
        <v>5.1999999999999998E-2</v>
      </c>
      <c r="K5" s="6"/>
      <c r="M5" s="61"/>
      <c r="O5" s="321"/>
    </row>
    <row r="6" spans="1:16">
      <c r="A6" t="s">
        <v>6</v>
      </c>
      <c r="B6" s="3" t="str">
        <f>VLOOKUP(A6,Maps!$A$1:$C$13,2,FALSE)</f>
        <v>MODELGEOGRAPHY</v>
      </c>
      <c r="C6">
        <v>2022</v>
      </c>
      <c r="D6">
        <v>0</v>
      </c>
      <c r="E6" s="304">
        <f>$C$20*CRUDE[[#This Row],[ImportPrice]]</f>
        <v>20.184092984079676</v>
      </c>
      <c r="F6" s="297">
        <f t="shared" si="0"/>
        <v>0.1</v>
      </c>
      <c r="G6">
        <f t="shared" si="1"/>
        <v>5.1200000000000002E-2</v>
      </c>
      <c r="H6" s="304">
        <f>H5*(1+'Growth-Rates'!D11)</f>
        <v>22.426769982310752</v>
      </c>
      <c r="I6" s="46">
        <v>0</v>
      </c>
      <c r="J6">
        <f t="shared" si="2"/>
        <v>5.1999999999999998E-2</v>
      </c>
      <c r="K6" s="6"/>
      <c r="M6" s="61"/>
      <c r="O6" s="321"/>
    </row>
    <row r="7" spans="1:16">
      <c r="A7" t="s">
        <v>6</v>
      </c>
      <c r="B7" s="3" t="str">
        <f>VLOOKUP(A7,Maps!$A$1:$C$13,2,FALSE)</f>
        <v>MODELGEOGRAPHY</v>
      </c>
      <c r="C7">
        <v>2023</v>
      </c>
      <c r="D7">
        <v>0</v>
      </c>
      <c r="E7" s="304">
        <f>$C$20*CRUDE[[#This Row],[ImportPrice]]</f>
        <v>22.98498150365128</v>
      </c>
      <c r="F7" s="297">
        <f t="shared" si="0"/>
        <v>0.1</v>
      </c>
      <c r="G7">
        <f t="shared" si="1"/>
        <v>5.1200000000000002E-2</v>
      </c>
      <c r="H7" s="304">
        <f>H6*(1+'Growth-Rates'!D12)</f>
        <v>25.538868337390312</v>
      </c>
      <c r="I7" s="46">
        <v>0</v>
      </c>
      <c r="J7">
        <f t="shared" si="2"/>
        <v>5.1999999999999998E-2</v>
      </c>
      <c r="K7" s="6"/>
      <c r="M7" s="61"/>
      <c r="O7" s="321"/>
    </row>
    <row r="8" spans="1:16">
      <c r="A8" t="s">
        <v>6</v>
      </c>
      <c r="B8" s="3" t="str">
        <f>VLOOKUP(A8,Maps!$A$1:$C$13,2,FALSE)</f>
        <v>MODELGEOGRAPHY</v>
      </c>
      <c r="C8">
        <v>2024</v>
      </c>
      <c r="D8">
        <v>0</v>
      </c>
      <c r="E8" s="304">
        <f>$C$20*CRUDE[[#This Row],[ImportPrice]]</f>
        <v>24.020010732097909</v>
      </c>
      <c r="F8" s="297">
        <f t="shared" si="0"/>
        <v>0.1</v>
      </c>
      <c r="G8">
        <f t="shared" si="1"/>
        <v>5.1200000000000002E-2</v>
      </c>
      <c r="H8" s="304">
        <f>H7*(1+'Growth-Rates'!D13)</f>
        <v>26.688900813442121</v>
      </c>
      <c r="I8" s="46">
        <v>0</v>
      </c>
      <c r="J8">
        <f t="shared" si="2"/>
        <v>5.1999999999999998E-2</v>
      </c>
      <c r="K8" s="6"/>
      <c r="M8" s="61"/>
      <c r="O8" s="321"/>
    </row>
    <row r="9" spans="1:16">
      <c r="A9" t="s">
        <v>6</v>
      </c>
      <c r="B9" s="3" t="str">
        <f>VLOOKUP(A9,Maps!$A$1:$C$13,2,FALSE)</f>
        <v>MODELGEOGRAPHY</v>
      </c>
      <c r="C9">
        <v>2025</v>
      </c>
      <c r="D9">
        <v>0</v>
      </c>
      <c r="E9" s="304">
        <f>$C$20*CRUDE[[#This Row],[ImportPrice]]</f>
        <v>25.136150152942701</v>
      </c>
      <c r="F9" s="297">
        <f t="shared" si="0"/>
        <v>0.1</v>
      </c>
      <c r="G9">
        <f t="shared" si="1"/>
        <v>5.1200000000000002E-2</v>
      </c>
      <c r="H9" s="304">
        <f>H8*(1+'Growth-Rates'!D14)</f>
        <v>27.929055725491889</v>
      </c>
      <c r="I9" s="46">
        <v>0</v>
      </c>
      <c r="J9">
        <f t="shared" si="2"/>
        <v>5.1999999999999998E-2</v>
      </c>
      <c r="K9" s="6"/>
      <c r="M9" s="61"/>
      <c r="O9" s="321"/>
    </row>
    <row r="10" spans="1:16">
      <c r="A10" t="s">
        <v>6</v>
      </c>
      <c r="B10" s="3" t="str">
        <f>VLOOKUP(A10,Maps!$A$1:$C$13,2,FALSE)</f>
        <v>MODELGEOGRAPHY</v>
      </c>
      <c r="C10">
        <v>2026</v>
      </c>
      <c r="D10">
        <v>0</v>
      </c>
      <c r="E10" s="304">
        <f>$C$20*CRUDE[[#This Row],[ImportPrice]]</f>
        <v>26.237446070149453</v>
      </c>
      <c r="F10" s="297">
        <f t="shared" si="0"/>
        <v>0.1</v>
      </c>
      <c r="G10">
        <f t="shared" si="1"/>
        <v>5.1200000000000002E-2</v>
      </c>
      <c r="H10" s="304">
        <f>H9*(1+'Growth-Rates'!D15)</f>
        <v>29.152717855721615</v>
      </c>
      <c r="I10" s="46">
        <v>0</v>
      </c>
      <c r="J10">
        <f t="shared" si="2"/>
        <v>5.1999999999999998E-2</v>
      </c>
      <c r="K10" s="6"/>
      <c r="O10" s="321"/>
    </row>
    <row r="11" spans="1:16">
      <c r="A11" t="s">
        <v>6</v>
      </c>
      <c r="B11" s="3" t="str">
        <f>VLOOKUP(A11,Maps!$A$1:$C$13,2,FALSE)</f>
        <v>MODELGEOGRAPHY</v>
      </c>
      <c r="C11">
        <v>2027</v>
      </c>
      <c r="D11">
        <v>0</v>
      </c>
      <c r="E11" s="304">
        <f>$C$20*CRUDE[[#This Row],[ImportPrice]]</f>
        <v>27.383880074665196</v>
      </c>
      <c r="F11" s="297">
        <f t="shared" si="0"/>
        <v>0.1</v>
      </c>
      <c r="G11">
        <f t="shared" si="1"/>
        <v>5.1200000000000002E-2</v>
      </c>
      <c r="H11" s="304">
        <f>H10*(1+'Growth-Rates'!D16)</f>
        <v>30.42653341629466</v>
      </c>
      <c r="I11" s="46">
        <v>0</v>
      </c>
      <c r="J11">
        <f t="shared" si="2"/>
        <v>5.1999999999999998E-2</v>
      </c>
      <c r="K11" s="6"/>
      <c r="O11" s="321"/>
    </row>
    <row r="12" spans="1:16">
      <c r="A12" t="s">
        <v>6</v>
      </c>
      <c r="B12" s="3" t="str">
        <f>VLOOKUP(A12,Maps!$A$1:$C$13,2,FALSE)</f>
        <v>MODELGEOGRAPHY</v>
      </c>
      <c r="C12">
        <v>2028</v>
      </c>
      <c r="D12">
        <v>0</v>
      </c>
      <c r="E12" s="304">
        <f>$C$20*CRUDE[[#This Row],[ImportPrice]]</f>
        <v>28.580407023562643</v>
      </c>
      <c r="F12" s="297">
        <f t="shared" si="0"/>
        <v>0.1</v>
      </c>
      <c r="G12">
        <f t="shared" si="1"/>
        <v>5.1200000000000002E-2</v>
      </c>
      <c r="H12" s="304">
        <f>H11*(1+'Growth-Rates'!D17)</f>
        <v>31.756007803958489</v>
      </c>
      <c r="I12" s="46">
        <v>0</v>
      </c>
      <c r="J12">
        <f t="shared" si="2"/>
        <v>5.1999999999999998E-2</v>
      </c>
      <c r="K12" s="6"/>
      <c r="O12" s="321"/>
    </row>
    <row r="13" spans="1:16">
      <c r="A13" t="s">
        <v>6</v>
      </c>
      <c r="B13" s="3" t="str">
        <f>VLOOKUP(A13,Maps!$A$1:$C$13,2,FALSE)</f>
        <v>MODELGEOGRAPHY</v>
      </c>
      <c r="C13">
        <v>2029</v>
      </c>
      <c r="D13">
        <v>0</v>
      </c>
      <c r="E13" s="304">
        <f>$C$20*CRUDE[[#This Row],[ImportPrice]]</f>
        <v>29.829215706660435</v>
      </c>
      <c r="F13" s="297">
        <f t="shared" si="0"/>
        <v>0.1</v>
      </c>
      <c r="G13">
        <f t="shared" si="1"/>
        <v>5.1200000000000002E-2</v>
      </c>
      <c r="H13" s="304">
        <f>H12*(1+'Growth-Rates'!D18)</f>
        <v>33.143573007400484</v>
      </c>
      <c r="I13" s="46">
        <v>0</v>
      </c>
      <c r="J13">
        <f t="shared" si="2"/>
        <v>5.1999999999999998E-2</v>
      </c>
      <c r="K13" s="6"/>
      <c r="O13" s="321"/>
    </row>
    <row r="14" spans="1:16">
      <c r="A14" t="s">
        <v>6</v>
      </c>
      <c r="B14" s="3" t="str">
        <f>VLOOKUP(A14,Maps!$A$1:$C$13,2,FALSE)</f>
        <v>MODELGEOGRAPHY</v>
      </c>
      <c r="C14">
        <v>2030</v>
      </c>
      <c r="D14">
        <v>0</v>
      </c>
      <c r="E14" s="304">
        <f>$C$20*CRUDE[[#This Row],[ImportPrice]]</f>
        <v>31.132590552013891</v>
      </c>
      <c r="F14" s="297">
        <f t="shared" si="0"/>
        <v>0.1</v>
      </c>
      <c r="G14">
        <f t="shared" si="1"/>
        <v>5.1200000000000002E-2</v>
      </c>
      <c r="H14" s="304">
        <f>H13*(1+'Growth-Rates'!D19)</f>
        <v>34.591767280015432</v>
      </c>
      <c r="I14" s="46">
        <v>0</v>
      </c>
      <c r="J14">
        <f t="shared" si="2"/>
        <v>5.1999999999999998E-2</v>
      </c>
      <c r="K14" s="6"/>
      <c r="O14" s="321"/>
    </row>
    <row r="15" spans="1:16">
      <c r="A15" t="s">
        <v>6</v>
      </c>
      <c r="B15" s="3" t="str">
        <f>VLOOKUP(A15,Maps!$A$1:$C$13,2,FALSE)</f>
        <v>MODELGEOGRAPHY</v>
      </c>
      <c r="C15">
        <v>2031</v>
      </c>
      <c r="D15">
        <v>0</v>
      </c>
      <c r="E15" s="304">
        <f>$C$20*CRUDE[[#This Row],[ImportPrice]]</f>
        <v>32.492915804786904</v>
      </c>
      <c r="F15" s="297">
        <f t="shared" si="0"/>
        <v>0.1</v>
      </c>
      <c r="G15">
        <f t="shared" si="1"/>
        <v>5.1200000000000002E-2</v>
      </c>
      <c r="H15" s="304">
        <f>H14*(1+'Growth-Rates'!D20)</f>
        <v>36.103239783096555</v>
      </c>
      <c r="I15" s="46">
        <v>0</v>
      </c>
      <c r="J15" s="316">
        <f t="shared" si="2"/>
        <v>5.1999999999999998E-2</v>
      </c>
      <c r="K15" s="6"/>
      <c r="O15" s="321"/>
    </row>
    <row r="16" spans="1:16" ht="15.75" thickBo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20" ht="48" customHeight="1">
      <c r="A17" t="s">
        <v>445</v>
      </c>
      <c r="L17" s="166" t="s">
        <v>24</v>
      </c>
      <c r="M17" s="167" t="s">
        <v>25</v>
      </c>
      <c r="N17" s="168" t="s">
        <v>32</v>
      </c>
      <c r="O17" s="169" t="s">
        <v>241</v>
      </c>
    </row>
    <row r="18" spans="1:20">
      <c r="L18" s="170" t="s">
        <v>28</v>
      </c>
      <c r="M18" s="26">
        <f>(69.88)*O18</f>
        <v>4886.2122519999994</v>
      </c>
      <c r="N18" s="42">
        <f>M18*Maps!D27/1000</f>
        <v>35.815935807159995</v>
      </c>
      <c r="O18" s="171">
        <v>69.922899999999998</v>
      </c>
    </row>
    <row r="19" spans="1:20" ht="15.75" thickBot="1">
      <c r="L19" s="172" t="s">
        <v>189</v>
      </c>
      <c r="M19" s="173">
        <f>(60.47)*O19</f>
        <v>4287.1415900000002</v>
      </c>
      <c r="N19" s="18">
        <f>M19*Maps!D27/1000</f>
        <v>31.424747854700001</v>
      </c>
      <c r="O19" s="174">
        <v>70.897000000000006</v>
      </c>
      <c r="P19" s="165" t="s">
        <v>242</v>
      </c>
    </row>
    <row r="20" spans="1:20" ht="45">
      <c r="B20" s="322" t="s">
        <v>453</v>
      </c>
      <c r="C20" s="323">
        <v>0.9</v>
      </c>
      <c r="K20" s="13" t="s">
        <v>396</v>
      </c>
      <c r="L20" s="267" t="s">
        <v>189</v>
      </c>
      <c r="N20" s="42">
        <f>N19/(Maps!G33/Maps!F33)</f>
        <v>30.365290393854782</v>
      </c>
    </row>
    <row r="26" spans="1:20" ht="90">
      <c r="L26" s="118"/>
      <c r="M26" s="415" t="s">
        <v>382</v>
      </c>
      <c r="N26" s="415"/>
      <c r="O26" s="118" t="s">
        <v>448</v>
      </c>
      <c r="P26" s="118" t="s">
        <v>449</v>
      </c>
      <c r="Q26" s="118" t="s">
        <v>447</v>
      </c>
      <c r="R26" s="118" t="s">
        <v>416</v>
      </c>
      <c r="S26" s="118" t="s">
        <v>417</v>
      </c>
      <c r="T26" s="20" t="s">
        <v>418</v>
      </c>
    </row>
    <row r="27" spans="1:20">
      <c r="L27" s="23"/>
      <c r="M27" s="23" t="s">
        <v>412</v>
      </c>
      <c r="N27" s="23" t="s">
        <v>413</v>
      </c>
      <c r="O27" s="23"/>
      <c r="P27" s="23"/>
      <c r="Q27" s="23"/>
      <c r="R27" s="23"/>
      <c r="S27" s="23"/>
      <c r="T27" s="22"/>
    </row>
    <row r="28" spans="1:20">
      <c r="L28" s="23" t="s">
        <v>414</v>
      </c>
      <c r="M28" s="298">
        <v>0.125</v>
      </c>
      <c r="N28" s="298">
        <v>7.4999999999999997E-2</v>
      </c>
      <c r="O28" s="23">
        <v>1</v>
      </c>
      <c r="P28" s="23">
        <v>1</v>
      </c>
      <c r="Q28" s="23">
        <v>50</v>
      </c>
      <c r="R28" s="23">
        <v>1</v>
      </c>
      <c r="S28" s="299">
        <v>0.2</v>
      </c>
      <c r="T28" s="22"/>
    </row>
    <row r="29" spans="1:20">
      <c r="L29" s="23" t="s">
        <v>415</v>
      </c>
      <c r="M29" s="299">
        <v>0.1</v>
      </c>
      <c r="N29" s="298">
        <v>7.4999999999999997E-2</v>
      </c>
      <c r="O29" s="23"/>
      <c r="P29" s="23"/>
      <c r="Q29" s="23"/>
      <c r="R29" s="23"/>
      <c r="S29" s="23"/>
      <c r="T29" s="301">
        <v>2.5000000000000001E-2</v>
      </c>
    </row>
    <row r="68" spans="7:7">
      <c r="G68">
        <f>SUM(I59:L64)</f>
        <v>0</v>
      </c>
    </row>
  </sheetData>
  <mergeCells count="1">
    <mergeCell ref="M26:N26"/>
  </mergeCells>
  <hyperlinks>
    <hyperlink ref="P19" r:id="rId1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"/>
  <sheetViews>
    <sheetView zoomScaleNormal="100" workbookViewId="0"/>
  </sheetViews>
  <sheetFormatPr defaultRowHeight="15"/>
  <cols>
    <col min="1" max="1" width="15.42578125" bestFit="1" customWidth="1"/>
    <col min="2" max="2" width="31.42578125" bestFit="1" customWidth="1"/>
    <col min="4" max="4" width="18.28515625" customWidth="1"/>
    <col min="5" max="5" width="18" bestFit="1" customWidth="1"/>
    <col min="6" max="6" width="16" customWidth="1"/>
    <col min="7" max="7" width="18.28515625" customWidth="1"/>
    <col min="8" max="8" width="14" customWidth="1"/>
    <col min="9" max="9" width="15.28515625" customWidth="1"/>
    <col min="10" max="10" width="17.5703125" customWidth="1"/>
    <col min="11" max="11" width="10.42578125" bestFit="1" customWidth="1"/>
    <col min="12" max="12" width="14.42578125" customWidth="1"/>
    <col min="13" max="13" width="22" customWidth="1"/>
    <col min="15" max="15" width="17" customWidth="1"/>
    <col min="16" max="16" width="15.140625" customWidth="1"/>
    <col min="17" max="17" width="15.28515625" customWidth="1"/>
    <col min="18" max="18" width="17.42578125" customWidth="1"/>
    <col min="19" max="19" width="12.7109375" customWidth="1"/>
    <col min="20" max="20" width="14.42578125" customWidth="1"/>
    <col min="21" max="21" width="16.5703125" customWidth="1"/>
  </cols>
  <sheetData>
    <row r="1" spans="1:15">
      <c r="A1" t="s">
        <v>23</v>
      </c>
      <c r="D1" t="s">
        <v>406</v>
      </c>
      <c r="E1" s="292" t="s">
        <v>425</v>
      </c>
      <c r="F1" t="s">
        <v>408</v>
      </c>
      <c r="G1" s="292" t="s">
        <v>425</v>
      </c>
      <c r="H1" s="292" t="s">
        <v>425</v>
      </c>
      <c r="I1" t="s">
        <v>408</v>
      </c>
      <c r="J1" s="292" t="s">
        <v>425</v>
      </c>
      <c r="K1" s="6"/>
    </row>
    <row r="2" spans="1:15">
      <c r="A2" s="274" t="s">
        <v>0</v>
      </c>
      <c r="B2" s="274" t="s">
        <v>1</v>
      </c>
      <c r="C2" s="274" t="s">
        <v>24</v>
      </c>
      <c r="D2" s="274" t="s">
        <v>400</v>
      </c>
      <c r="E2" s="274" t="s">
        <v>401</v>
      </c>
      <c r="F2" s="274" t="s">
        <v>402</v>
      </c>
      <c r="G2" s="274" t="s">
        <v>403</v>
      </c>
      <c r="H2" s="274" t="s">
        <v>404</v>
      </c>
      <c r="I2" s="274" t="s">
        <v>405</v>
      </c>
      <c r="J2" s="274" t="s">
        <v>399</v>
      </c>
      <c r="K2" s="6"/>
    </row>
    <row r="3" spans="1:15">
      <c r="A3" s="56" t="s">
        <v>8</v>
      </c>
      <c r="B3" s="56" t="str">
        <f>VLOOKUP(A3,Maps!$A$1:$C$13,2,FALSE)</f>
        <v>MODELGEOGRAPHY</v>
      </c>
      <c r="C3" s="56">
        <v>2019</v>
      </c>
      <c r="D3" s="314">
        <f>N33</f>
        <v>0.36046081315680056</v>
      </c>
      <c r="E3" s="271">
        <f>N18</f>
        <v>9232.6666666666661</v>
      </c>
      <c r="F3" s="300">
        <f>AVERAGE(CRUDE!M29:N29)</f>
        <v>8.7499999999999994E-2</v>
      </c>
      <c r="G3" s="56">
        <v>0</v>
      </c>
      <c r="H3" s="271">
        <f t="shared" ref="H3" si="0">R18</f>
        <v>25215.907280743675</v>
      </c>
      <c r="I3" s="302">
        <f>CRUDE!T29</f>
        <v>2.5000000000000001E-2</v>
      </c>
      <c r="J3" s="56">
        <v>0</v>
      </c>
      <c r="K3" s="6"/>
    </row>
    <row r="4" spans="1:15">
      <c r="A4" s="272" t="s">
        <v>8</v>
      </c>
      <c r="B4" s="272" t="str">
        <f>VLOOKUP(A4,Maps!$A$1:$C$13,2,FALSE)</f>
        <v>MODELGEOGRAPHY</v>
      </c>
      <c r="C4" s="272">
        <v>2020</v>
      </c>
      <c r="D4" s="315">
        <f>D3</f>
        <v>0.36046081315680056</v>
      </c>
      <c r="E4" s="273">
        <f>N20</f>
        <v>7824.4999801156382</v>
      </c>
      <c r="F4" s="300">
        <f>F3</f>
        <v>8.7499999999999994E-2</v>
      </c>
      <c r="G4" s="272">
        <v>0</v>
      </c>
      <c r="H4" s="273">
        <f>R20</f>
        <v>19375.903087945066</v>
      </c>
      <c r="I4" s="303">
        <f>I3</f>
        <v>2.5000000000000001E-2</v>
      </c>
      <c r="J4" s="272">
        <v>0</v>
      </c>
      <c r="K4" s="6"/>
    </row>
    <row r="5" spans="1:15">
      <c r="A5" s="56" t="s">
        <v>8</v>
      </c>
      <c r="B5" s="56" t="str">
        <f>VLOOKUP(A5,Maps!$A$1:$C$13,2,FALSE)</f>
        <v>MODELGEOGRAPHY</v>
      </c>
      <c r="C5" s="56">
        <v>2021</v>
      </c>
      <c r="D5" s="315">
        <f t="shared" ref="D5:D15" si="1">D4</f>
        <v>0.36046081315680056</v>
      </c>
      <c r="E5" s="271">
        <f>E4*(1+'Growth-Rates'!U10)</f>
        <v>8215.7249791214199</v>
      </c>
      <c r="F5" s="300">
        <f t="shared" ref="F5:F15" si="2">F4</f>
        <v>8.7499999999999994E-2</v>
      </c>
      <c r="G5" s="56">
        <v>0</v>
      </c>
      <c r="H5" s="271">
        <f>H4*(1+'Growth-Rates'!P10)</f>
        <v>14712.769078112953</v>
      </c>
      <c r="I5" s="303">
        <f t="shared" ref="I5:I15" si="3">I4</f>
        <v>2.5000000000000001E-2</v>
      </c>
      <c r="J5" s="56">
        <v>0</v>
      </c>
      <c r="K5" s="6"/>
    </row>
    <row r="6" spans="1:15">
      <c r="A6" s="272" t="s">
        <v>8</v>
      </c>
      <c r="B6" s="272" t="str">
        <f>VLOOKUP(A6,Maps!$A$1:$C$13,2,FALSE)</f>
        <v>MODELGEOGRAPHY</v>
      </c>
      <c r="C6" s="272">
        <v>2022</v>
      </c>
      <c r="D6" s="315">
        <f t="shared" si="1"/>
        <v>0.36046081315680056</v>
      </c>
      <c r="E6" s="273">
        <f>E5*(1+'Growth-Rates'!U11)</f>
        <v>8626.511228077492</v>
      </c>
      <c r="F6" s="300">
        <f t="shared" si="2"/>
        <v>8.7499999999999994E-2</v>
      </c>
      <c r="G6" s="272">
        <v>0</v>
      </c>
      <c r="H6" s="273">
        <f>H5*(1+'Growth-Rates'!P11)</f>
        <v>17022.893416945019</v>
      </c>
      <c r="I6" s="303">
        <f t="shared" si="3"/>
        <v>2.5000000000000001E-2</v>
      </c>
      <c r="J6" s="272">
        <v>0</v>
      </c>
      <c r="K6" s="6"/>
    </row>
    <row r="7" spans="1:15">
      <c r="A7" s="56" t="s">
        <v>8</v>
      </c>
      <c r="B7" s="56" t="str">
        <f>VLOOKUP(A7,Maps!$A$1:$C$13,2,FALSE)</f>
        <v>MODELGEOGRAPHY</v>
      </c>
      <c r="C7" s="56">
        <v>2023</v>
      </c>
      <c r="D7" s="315">
        <f t="shared" si="1"/>
        <v>0.36046081315680056</v>
      </c>
      <c r="E7" s="271">
        <f>E6*(1+'Growth-Rates'!U12)</f>
        <v>9057.8367894813673</v>
      </c>
      <c r="F7" s="300">
        <f t="shared" si="2"/>
        <v>8.7499999999999994E-2</v>
      </c>
      <c r="G7" s="56">
        <v>0</v>
      </c>
      <c r="H7" s="271">
        <f>H6*(1+'Growth-Rates'!P12)</f>
        <v>17477.583859529212</v>
      </c>
      <c r="I7" s="303">
        <f t="shared" si="3"/>
        <v>2.5000000000000001E-2</v>
      </c>
      <c r="J7" s="56">
        <v>0</v>
      </c>
      <c r="K7" s="6"/>
    </row>
    <row r="8" spans="1:15">
      <c r="A8" s="272" t="s">
        <v>8</v>
      </c>
      <c r="B8" s="272" t="str">
        <f>VLOOKUP(A8,Maps!$A$1:$C$13,2,FALSE)</f>
        <v>MODELGEOGRAPHY</v>
      </c>
      <c r="C8" s="272">
        <v>2024</v>
      </c>
      <c r="D8" s="315">
        <f t="shared" si="1"/>
        <v>0.36046081315680056</v>
      </c>
      <c r="E8" s="273">
        <f>E7*(1+'Growth-Rates'!U13)</f>
        <v>9510.7286289554359</v>
      </c>
      <c r="F8" s="300">
        <f t="shared" si="2"/>
        <v>8.7499999999999994E-2</v>
      </c>
      <c r="G8" s="272">
        <v>0</v>
      </c>
      <c r="H8" s="273">
        <f>H7*(1+'Growth-Rates'!P13)</f>
        <v>17943.652762449987</v>
      </c>
      <c r="I8" s="303">
        <f t="shared" si="3"/>
        <v>2.5000000000000001E-2</v>
      </c>
      <c r="J8" s="272">
        <v>0</v>
      </c>
      <c r="K8" s="6"/>
    </row>
    <row r="9" spans="1:15">
      <c r="A9" s="56" t="s">
        <v>8</v>
      </c>
      <c r="B9" s="56" t="str">
        <f>VLOOKUP(A9,Maps!$A$1:$C$13,2,FALSE)</f>
        <v>MODELGEOGRAPHY</v>
      </c>
      <c r="C9" s="56">
        <v>2025</v>
      </c>
      <c r="D9" s="315">
        <f t="shared" si="1"/>
        <v>0.36046081315680056</v>
      </c>
      <c r="E9" s="271">
        <f>E8*(1+'Growth-Rates'!U14)</f>
        <v>9986.2650604032078</v>
      </c>
      <c r="F9" s="300">
        <f t="shared" si="2"/>
        <v>8.7499999999999994E-2</v>
      </c>
      <c r="G9" s="56">
        <v>0</v>
      </c>
      <c r="H9" s="271">
        <f>H8*(1+'Growth-Rates'!P14)</f>
        <v>18421.37338794379</v>
      </c>
      <c r="I9" s="303">
        <f t="shared" si="3"/>
        <v>2.5000000000000001E-2</v>
      </c>
      <c r="J9" s="56">
        <v>0</v>
      </c>
      <c r="K9" s="6"/>
    </row>
    <row r="10" spans="1:15">
      <c r="A10" s="272" t="s">
        <v>8</v>
      </c>
      <c r="B10" s="272" t="str">
        <f>VLOOKUP(A10,Maps!$A$1:$C$13,2,FALSE)</f>
        <v>MODELGEOGRAPHY</v>
      </c>
      <c r="C10" s="272">
        <v>2026</v>
      </c>
      <c r="D10" s="315">
        <f t="shared" si="1"/>
        <v>0.36046081315680056</v>
      </c>
      <c r="E10" s="273">
        <f>E9*(1+'Growth-Rates'!U15)</f>
        <v>10485.578313423368</v>
      </c>
      <c r="F10" s="300">
        <f t="shared" si="2"/>
        <v>8.7499999999999994E-2</v>
      </c>
      <c r="G10" s="272">
        <v>0</v>
      </c>
      <c r="H10" s="273">
        <f>H9*(1+'Growth-Rates'!P15)</f>
        <v>18911.025377352358</v>
      </c>
      <c r="I10" s="303">
        <f t="shared" si="3"/>
        <v>2.5000000000000001E-2</v>
      </c>
      <c r="J10" s="272">
        <v>0</v>
      </c>
      <c r="K10" s="6"/>
    </row>
    <row r="11" spans="1:15">
      <c r="A11" s="56" t="s">
        <v>8</v>
      </c>
      <c r="B11" s="56" t="str">
        <f>VLOOKUP(A11,Maps!$A$1:$C$13,2,FALSE)</f>
        <v>MODELGEOGRAPHY</v>
      </c>
      <c r="C11" s="56">
        <v>2027</v>
      </c>
      <c r="D11" s="315">
        <f t="shared" si="1"/>
        <v>0.36046081315680056</v>
      </c>
      <c r="E11" s="271">
        <f>E10*(1+'Growth-Rates'!U16)</f>
        <v>11009.857229094538</v>
      </c>
      <c r="F11" s="300">
        <f t="shared" si="2"/>
        <v>8.7499999999999994E-2</v>
      </c>
      <c r="G11" s="56">
        <v>0</v>
      </c>
      <c r="H11" s="271">
        <f>H10*(1+'Growth-Rates'!P16)</f>
        <v>19506.848829018854</v>
      </c>
      <c r="I11" s="303">
        <f t="shared" si="3"/>
        <v>2.5000000000000001E-2</v>
      </c>
      <c r="J11" s="56">
        <v>0</v>
      </c>
      <c r="K11" s="6"/>
    </row>
    <row r="12" spans="1:15">
      <c r="A12" s="272" t="s">
        <v>8</v>
      </c>
      <c r="B12" s="272" t="str">
        <f>VLOOKUP(A12,Maps!$A$1:$C$13,2,FALSE)</f>
        <v>MODELGEOGRAPHY</v>
      </c>
      <c r="C12" s="272">
        <v>2028</v>
      </c>
      <c r="D12" s="315">
        <f t="shared" si="1"/>
        <v>0.36046081315680056</v>
      </c>
      <c r="E12" s="273">
        <f>E11*(1+'Growth-Rates'!U17)</f>
        <v>11560.350090549266</v>
      </c>
      <c r="F12" s="300">
        <f t="shared" si="2"/>
        <v>8.7499999999999994E-2</v>
      </c>
      <c r="G12" s="272">
        <v>0</v>
      </c>
      <c r="H12" s="273">
        <f>H11*(1+'Growth-Rates'!P17)</f>
        <v>20121.444694051203</v>
      </c>
      <c r="I12" s="303">
        <f t="shared" si="3"/>
        <v>2.5000000000000001E-2</v>
      </c>
      <c r="J12" s="272">
        <v>0</v>
      </c>
      <c r="K12" s="6"/>
    </row>
    <row r="13" spans="1:15">
      <c r="A13" s="56" t="s">
        <v>8</v>
      </c>
      <c r="B13" s="56" t="str">
        <f>VLOOKUP(A13,Maps!$A$1:$C$13,2,FALSE)</f>
        <v>MODELGEOGRAPHY</v>
      </c>
      <c r="C13" s="56">
        <v>2029</v>
      </c>
      <c r="D13" s="315">
        <f t="shared" si="1"/>
        <v>0.36046081315680056</v>
      </c>
      <c r="E13" s="271">
        <f>E12*(1+'Growth-Rates'!U18)</f>
        <v>12138.36759507673</v>
      </c>
      <c r="F13" s="300">
        <f t="shared" si="2"/>
        <v>8.7499999999999994E-2</v>
      </c>
      <c r="G13" s="56">
        <v>0</v>
      </c>
      <c r="H13" s="271">
        <f>H12*(1+'Growth-Rates'!P18)</f>
        <v>20755.40442869805</v>
      </c>
      <c r="I13" s="303">
        <f t="shared" si="3"/>
        <v>2.5000000000000001E-2</v>
      </c>
      <c r="J13" s="56">
        <v>0</v>
      </c>
      <c r="K13" s="6"/>
    </row>
    <row r="14" spans="1:15">
      <c r="A14" s="272" t="s">
        <v>8</v>
      </c>
      <c r="B14" s="272" t="str">
        <f>VLOOKUP(A14,Maps!$A$1:$C$13,2,FALSE)</f>
        <v>MODELGEOGRAPHY</v>
      </c>
      <c r="C14" s="272">
        <v>2030</v>
      </c>
      <c r="D14" s="315">
        <f t="shared" si="1"/>
        <v>0.36046081315680056</v>
      </c>
      <c r="E14" s="273">
        <f>E13*(1+'Growth-Rates'!U19)</f>
        <v>12745.285974830567</v>
      </c>
      <c r="F14" s="300">
        <f t="shared" si="2"/>
        <v>8.7499999999999994E-2</v>
      </c>
      <c r="G14" s="272">
        <v>0</v>
      </c>
      <c r="H14" s="273">
        <f>H13*(1+'Growth-Rates'!P19)</f>
        <v>21409.33812402538</v>
      </c>
      <c r="I14" s="303">
        <f t="shared" si="3"/>
        <v>2.5000000000000001E-2</v>
      </c>
      <c r="J14" s="272">
        <v>0</v>
      </c>
      <c r="K14" s="6"/>
    </row>
    <row r="15" spans="1:15">
      <c r="A15" s="56" t="s">
        <v>8</v>
      </c>
      <c r="B15" s="56" t="str">
        <f>VLOOKUP(A15,Maps!$A$1:$C$13,2,FALSE)</f>
        <v>MODELGEOGRAPHY</v>
      </c>
      <c r="C15" s="56">
        <v>2031</v>
      </c>
      <c r="D15" s="315">
        <f t="shared" si="1"/>
        <v>0.36046081315680056</v>
      </c>
      <c r="E15" s="271">
        <f>E14*(1+'Growth-Rates'!U20)</f>
        <v>13382.550273572097</v>
      </c>
      <c r="F15" s="300">
        <f t="shared" si="2"/>
        <v>8.7499999999999994E-2</v>
      </c>
      <c r="G15" s="56">
        <v>0</v>
      </c>
      <c r="H15" s="271">
        <f>H14*(1+'Growth-Rates'!P20)</f>
        <v>22083.875093037572</v>
      </c>
      <c r="I15" s="303">
        <f t="shared" si="3"/>
        <v>2.5000000000000001E-2</v>
      </c>
      <c r="J15" s="56">
        <v>0</v>
      </c>
      <c r="K15" s="6"/>
    </row>
    <row r="16" spans="1: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O16" s="27" t="s">
        <v>161</v>
      </c>
    </row>
    <row r="17" spans="1:23" ht="90">
      <c r="A17" t="s">
        <v>434</v>
      </c>
      <c r="E17" s="175"/>
      <c r="L17" s="20" t="s">
        <v>24</v>
      </c>
      <c r="M17" s="20" t="s">
        <v>26</v>
      </c>
      <c r="N17" s="43" t="s">
        <v>33</v>
      </c>
      <c r="O17" s="20" t="s">
        <v>162</v>
      </c>
      <c r="P17" s="20" t="s">
        <v>163</v>
      </c>
      <c r="Q17" s="20" t="s">
        <v>164</v>
      </c>
      <c r="R17" s="43" t="s">
        <v>34</v>
      </c>
      <c r="S17" s="21" t="s">
        <v>35</v>
      </c>
    </row>
    <row r="18" spans="1:23">
      <c r="E18" s="297"/>
      <c r="L18" s="17" t="s">
        <v>28</v>
      </c>
      <c r="M18" s="24">
        <f>(7895+9629+10174)/3</f>
        <v>9232.6666666666661</v>
      </c>
      <c r="N18" s="44">
        <f>M18</f>
        <v>9232.6666666666661</v>
      </c>
      <c r="O18" s="24">
        <v>21.69</v>
      </c>
      <c r="P18" s="24">
        <v>718.67</v>
      </c>
      <c r="Q18" s="25">
        <f>P18/O18</f>
        <v>33.133702166897187</v>
      </c>
      <c r="R18" s="45">
        <f>(Q18/S18)*1000000</f>
        <v>25215.907280743675</v>
      </c>
      <c r="S18" s="19">
        <v>1314</v>
      </c>
    </row>
    <row r="19" spans="1:23">
      <c r="E19" s="30"/>
      <c r="L19" s="17" t="s">
        <v>189</v>
      </c>
      <c r="M19" s="24">
        <f>(9143+7052)/2</f>
        <v>8097.5</v>
      </c>
      <c r="N19" s="24">
        <f>M19</f>
        <v>8097.5</v>
      </c>
      <c r="O19" s="24">
        <v>25.574000000000002</v>
      </c>
      <c r="P19" s="24">
        <v>673.83</v>
      </c>
      <c r="Q19" s="25">
        <f>P19/O19</f>
        <v>26.348244310627983</v>
      </c>
      <c r="R19" s="25">
        <f>(Q19/S19)*1000000</f>
        <v>20051.936309458128</v>
      </c>
      <c r="S19" s="19">
        <v>1314</v>
      </c>
    </row>
    <row r="20" spans="1:23" ht="45">
      <c r="E20" s="297"/>
      <c r="K20" s="13" t="s">
        <v>396</v>
      </c>
      <c r="L20" s="267" t="s">
        <v>189</v>
      </c>
      <c r="M20" s="28"/>
      <c r="N20" s="44">
        <f>N19/(Maps!G33/Maps!F33)</f>
        <v>7824.4999801156382</v>
      </c>
      <c r="O20" s="28"/>
      <c r="P20" s="28"/>
      <c r="R20" s="44">
        <f>R19/(Maps!G33/Maps!F33)</f>
        <v>19375.903087945066</v>
      </c>
    </row>
    <row r="22" spans="1:23">
      <c r="L22" s="317" t="s">
        <v>190</v>
      </c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</row>
    <row r="23" spans="1:23">
      <c r="L23" s="27" t="s">
        <v>191</v>
      </c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</row>
    <row r="24" spans="1:23">
      <c r="L24" s="193"/>
      <c r="M24" s="193" t="s">
        <v>192</v>
      </c>
      <c r="N24" s="193"/>
      <c r="O24" s="193" t="s">
        <v>193</v>
      </c>
      <c r="P24" s="193" t="s">
        <v>165</v>
      </c>
      <c r="Q24" s="193" t="s">
        <v>166</v>
      </c>
      <c r="R24" s="193" t="s">
        <v>167</v>
      </c>
      <c r="S24" s="193" t="s">
        <v>168</v>
      </c>
      <c r="T24" s="193" t="s">
        <v>169</v>
      </c>
      <c r="U24" s="193" t="s">
        <v>170</v>
      </c>
      <c r="V24" s="193" t="s">
        <v>28</v>
      </c>
      <c r="W24" s="193" t="s">
        <v>189</v>
      </c>
    </row>
    <row r="25" spans="1:23">
      <c r="L25" s="193"/>
      <c r="M25" s="193" t="s">
        <v>194</v>
      </c>
      <c r="N25" s="193"/>
      <c r="O25" s="193"/>
      <c r="P25" s="193">
        <v>40679.26</v>
      </c>
      <c r="Q25" s="193">
        <v>35406.879999999997</v>
      </c>
      <c r="R25" s="193">
        <v>33657.440000000002</v>
      </c>
      <c r="S25" s="193">
        <v>32249.22</v>
      </c>
      <c r="T25" s="193">
        <v>31896.7</v>
      </c>
      <c r="U25" s="193">
        <v>32649.31</v>
      </c>
      <c r="V25" s="193">
        <v>32873.370000000003</v>
      </c>
      <c r="W25" s="193">
        <v>31184.2</v>
      </c>
    </row>
    <row r="26" spans="1:23">
      <c r="L26" s="193"/>
      <c r="M26" s="193" t="s">
        <v>195</v>
      </c>
      <c r="N26" s="193"/>
      <c r="O26" s="193">
        <v>46453.18</v>
      </c>
      <c r="P26" s="193">
        <v>39749.839999999997</v>
      </c>
      <c r="Q26" s="193">
        <v>34570.78</v>
      </c>
      <c r="R26" s="193">
        <v>32689.200000000001</v>
      </c>
      <c r="S26" s="193">
        <v>31124.58</v>
      </c>
      <c r="T26" s="193">
        <v>30848.92</v>
      </c>
      <c r="U26" s="193">
        <v>31731.26</v>
      </c>
      <c r="V26" s="193">
        <v>32053.85</v>
      </c>
      <c r="W26" s="193">
        <v>30256.400000000001</v>
      </c>
    </row>
    <row r="27" spans="1:23">
      <c r="L27" s="193"/>
      <c r="M27" s="193" t="s">
        <v>196</v>
      </c>
      <c r="N27" s="193"/>
      <c r="O27" s="318"/>
      <c r="P27" s="318">
        <f>P26/O26-1</f>
        <v>-0.14430314566193325</v>
      </c>
      <c r="Q27" s="318">
        <f t="shared" ref="Q27:W27" si="4">Q26/P26-1</f>
        <v>-0.1302913420532007</v>
      </c>
      <c r="R27" s="318">
        <f t="shared" si="4"/>
        <v>-5.4426888835021892E-2</v>
      </c>
      <c r="S27" s="318">
        <f t="shared" si="4"/>
        <v>-4.786351455526594E-2</v>
      </c>
      <c r="T27" s="318">
        <f t="shared" si="4"/>
        <v>-8.8566656963725565E-3</v>
      </c>
      <c r="U27" s="318">
        <f t="shared" si="4"/>
        <v>2.8601973748189513E-2</v>
      </c>
      <c r="V27" s="318">
        <f t="shared" si="4"/>
        <v>1.0166315488259858E-2</v>
      </c>
      <c r="W27" s="318">
        <f t="shared" si="4"/>
        <v>-5.6075947195110665E-2</v>
      </c>
    </row>
    <row r="28" spans="1:23">
      <c r="L28" s="193"/>
      <c r="M28" s="193" t="s">
        <v>450</v>
      </c>
      <c r="N28" s="193"/>
      <c r="O28" s="193">
        <v>60684</v>
      </c>
      <c r="P28" s="193">
        <v>53915</v>
      </c>
      <c r="Q28" s="193">
        <v>48994</v>
      </c>
      <c r="R28" s="193">
        <v>46955</v>
      </c>
      <c r="S28" s="193">
        <v>47850</v>
      </c>
      <c r="T28" s="193">
        <v>50778</v>
      </c>
      <c r="U28" s="193">
        <v>52832</v>
      </c>
      <c r="V28" s="193">
        <v>53840</v>
      </c>
      <c r="W28" s="193">
        <v>56442</v>
      </c>
    </row>
    <row r="29" spans="1:23">
      <c r="L29" s="193"/>
      <c r="M29" s="193" t="s">
        <v>197</v>
      </c>
      <c r="N29" s="193"/>
      <c r="O29" s="193">
        <v>18263</v>
      </c>
      <c r="P29" s="193">
        <v>19352</v>
      </c>
      <c r="Q29" s="193">
        <v>18548</v>
      </c>
      <c r="R29" s="193">
        <v>18234</v>
      </c>
      <c r="S29" s="193">
        <v>20412</v>
      </c>
      <c r="T29" s="193">
        <v>20484</v>
      </c>
      <c r="U29" s="193">
        <v>19978</v>
      </c>
      <c r="V29" s="193">
        <v>19497</v>
      </c>
      <c r="W29" s="193">
        <v>20251</v>
      </c>
    </row>
    <row r="30" spans="1:23">
      <c r="L30" s="193"/>
      <c r="M30" s="193" t="s">
        <v>198</v>
      </c>
      <c r="N30" s="319"/>
      <c r="O30" s="319">
        <f t="shared" ref="O30:W30" si="5">O29/O28</f>
        <v>0.30095247511699952</v>
      </c>
      <c r="P30" s="319">
        <f t="shared" si="5"/>
        <v>0.35893536121673003</v>
      </c>
      <c r="Q30" s="319">
        <f t="shared" si="5"/>
        <v>0.37857696860840101</v>
      </c>
      <c r="R30" s="319">
        <f t="shared" si="5"/>
        <v>0.38832925141092534</v>
      </c>
      <c r="S30" s="319">
        <f t="shared" si="5"/>
        <v>0.42658307210031349</v>
      </c>
      <c r="T30" s="319">
        <f t="shared" si="5"/>
        <v>0.4034030485643389</v>
      </c>
      <c r="U30" s="319">
        <f t="shared" si="5"/>
        <v>0.3781420351302241</v>
      </c>
      <c r="V30" s="319">
        <f>V29/V28</f>
        <v>0.36212852897473996</v>
      </c>
      <c r="W30" s="320">
        <f t="shared" si="5"/>
        <v>0.35879309733886111</v>
      </c>
    </row>
    <row r="31" spans="1:23">
      <c r="L31" s="193"/>
      <c r="M31" s="193" t="s">
        <v>199</v>
      </c>
      <c r="N31" s="319"/>
      <c r="O31" s="319"/>
      <c r="P31" s="319">
        <f t="shared" ref="P31:U31" si="6">P26/P25</f>
        <v>0.97715248507470376</v>
      </c>
      <c r="Q31" s="319">
        <f t="shared" si="6"/>
        <v>0.97638594533039913</v>
      </c>
      <c r="R31" s="319">
        <f t="shared" si="6"/>
        <v>0.9712325120389429</v>
      </c>
      <c r="S31" s="319">
        <f t="shared" si="6"/>
        <v>0.96512659841075232</v>
      </c>
      <c r="T31" s="319">
        <f t="shared" si="6"/>
        <v>0.96715083378531319</v>
      </c>
      <c r="U31" s="319">
        <f t="shared" si="6"/>
        <v>0.97188148846024613</v>
      </c>
      <c r="V31" s="319">
        <f>V26/V25</f>
        <v>0.97507039892776426</v>
      </c>
      <c r="W31" s="319">
        <f>W26/W25</f>
        <v>0.97024775367012783</v>
      </c>
    </row>
    <row r="32" spans="1:23">
      <c r="M32" t="s">
        <v>200</v>
      </c>
      <c r="O32" s="122"/>
      <c r="P32" s="122"/>
      <c r="Q32" s="122"/>
      <c r="R32" s="122"/>
      <c r="S32" s="122"/>
      <c r="T32" s="122"/>
      <c r="U32" s="122"/>
    </row>
    <row r="33" spans="12:21">
      <c r="L33" t="s">
        <v>8</v>
      </c>
      <c r="M33" t="s">
        <v>451</v>
      </c>
      <c r="N33" s="123">
        <f>AVERAGE(V30:W30)</f>
        <v>0.36046081315680056</v>
      </c>
      <c r="O33" s="121"/>
      <c r="P33" s="121"/>
      <c r="Q33" s="121"/>
      <c r="R33" s="121"/>
      <c r="S33" s="121"/>
      <c r="T33" s="121"/>
      <c r="U33" s="121"/>
    </row>
    <row r="35" spans="12:21">
      <c r="O35" s="123"/>
    </row>
    <row r="36" spans="12:21">
      <c r="O36" s="53"/>
      <c r="P36" s="53"/>
      <c r="Q36" s="53"/>
    </row>
    <row r="37" spans="12:21">
      <c r="Q37" s="29"/>
    </row>
    <row r="38" spans="12:21">
      <c r="Q38" s="29"/>
    </row>
    <row r="39" spans="12:21">
      <c r="Q39" s="29"/>
    </row>
    <row r="45" spans="12:21">
      <c r="R45" s="30"/>
    </row>
    <row r="46" spans="12:21">
      <c r="R46" s="30"/>
    </row>
    <row r="47" spans="12:21">
      <c r="R47" s="30"/>
    </row>
    <row r="48" spans="12:21">
      <c r="R48" s="30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2"/>
  <sheetViews>
    <sheetView zoomScaleNormal="100" workbookViewId="0"/>
  </sheetViews>
  <sheetFormatPr defaultRowHeight="15"/>
  <cols>
    <col min="1" max="1" width="15.42578125" bestFit="1" customWidth="1"/>
    <col min="2" max="2" width="31.42578125" bestFit="1" customWidth="1"/>
    <col min="4" max="4" width="18.28515625" customWidth="1"/>
    <col min="5" max="5" width="21.5703125" bestFit="1" customWidth="1"/>
    <col min="6" max="6" width="16" customWidth="1"/>
    <col min="7" max="7" width="18.28515625" customWidth="1"/>
    <col min="8" max="8" width="19.28515625" bestFit="1" customWidth="1"/>
    <col min="9" max="9" width="15.28515625" customWidth="1"/>
    <col min="10" max="10" width="17.5703125" customWidth="1"/>
    <col min="13" max="13" width="9.28515625" customWidth="1"/>
    <col min="14" max="14" width="73.42578125" customWidth="1"/>
  </cols>
  <sheetData>
    <row r="1" spans="1:14">
      <c r="A1" t="s">
        <v>23</v>
      </c>
      <c r="D1" t="s">
        <v>406</v>
      </c>
      <c r="E1" s="292" t="s">
        <v>435</v>
      </c>
      <c r="F1" t="s">
        <v>408</v>
      </c>
      <c r="G1" s="292" t="s">
        <v>435</v>
      </c>
      <c r="H1" s="292" t="s">
        <v>435</v>
      </c>
      <c r="I1" t="s">
        <v>408</v>
      </c>
      <c r="J1" s="292" t="s">
        <v>435</v>
      </c>
      <c r="K1" s="6"/>
      <c r="N1" s="125"/>
    </row>
    <row r="2" spans="1:14">
      <c r="A2" s="126" t="s">
        <v>0</v>
      </c>
      <c r="B2" s="127" t="s">
        <v>1</v>
      </c>
      <c r="C2" s="126" t="s">
        <v>24</v>
      </c>
      <c r="D2" s="126" t="s">
        <v>400</v>
      </c>
      <c r="E2" s="126" t="s">
        <v>401</v>
      </c>
      <c r="F2" s="126" t="s">
        <v>402</v>
      </c>
      <c r="G2" s="126" t="s">
        <v>403</v>
      </c>
      <c r="H2" s="126" t="s">
        <v>404</v>
      </c>
      <c r="I2" s="126" t="s">
        <v>405</v>
      </c>
      <c r="J2" s="126" t="s">
        <v>399</v>
      </c>
      <c r="K2" s="6"/>
    </row>
    <row r="3" spans="1:14">
      <c r="A3" t="s">
        <v>10</v>
      </c>
      <c r="B3" s="3" t="str">
        <f>VLOOKUP(A3,Maps!$A$1:$C$13,2,FALSE)</f>
        <v>MODELGEOGRAPHY</v>
      </c>
      <c r="C3">
        <v>2019</v>
      </c>
      <c r="D3">
        <v>0</v>
      </c>
      <c r="E3" s="305">
        <f>R34</f>
        <v>3.4127071810554219</v>
      </c>
      <c r="F3" s="306">
        <f>N52</f>
        <v>0</v>
      </c>
      <c r="G3" s="5">
        <v>0</v>
      </c>
      <c r="H3" s="305">
        <f>BIOMASS_BIOGAS[[#This Row],[DomesticPrice]]</f>
        <v>3.4127071810554219</v>
      </c>
      <c r="I3" s="306">
        <f>N52</f>
        <v>0</v>
      </c>
      <c r="J3" s="5">
        <v>0</v>
      </c>
      <c r="K3" s="6"/>
    </row>
    <row r="4" spans="1:14">
      <c r="A4" t="s">
        <v>10</v>
      </c>
      <c r="B4" s="3" t="str">
        <f>VLOOKUP(A4,Maps!$A$1:$C$13,2,FALSE)</f>
        <v>MODELGEOGRAPHY</v>
      </c>
      <c r="C4">
        <v>2020</v>
      </c>
      <c r="D4">
        <v>0</v>
      </c>
      <c r="E4" s="305">
        <f t="shared" ref="E4:E15" si="0">R35</f>
        <v>3.4943578580033732</v>
      </c>
      <c r="F4" s="307">
        <f>F3</f>
        <v>0</v>
      </c>
      <c r="G4" s="5">
        <v>0</v>
      </c>
      <c r="H4" s="305">
        <f>BIOMASS_BIOGAS[[#This Row],[DomesticPrice]]</f>
        <v>3.4943578580033732</v>
      </c>
      <c r="I4" s="307">
        <f>I3</f>
        <v>0</v>
      </c>
      <c r="J4" s="5">
        <v>0</v>
      </c>
      <c r="K4" s="6"/>
    </row>
    <row r="5" spans="1:14">
      <c r="A5" t="s">
        <v>10</v>
      </c>
      <c r="B5" s="3" t="str">
        <f>VLOOKUP(A5,Maps!$A$1:$C$13,2,FALSE)</f>
        <v>MODELGEOGRAPHY</v>
      </c>
      <c r="C5">
        <v>2021</v>
      </c>
      <c r="D5">
        <v>0</v>
      </c>
      <c r="E5" s="305">
        <f t="shared" si="0"/>
        <v>3.5768978579354234</v>
      </c>
      <c r="F5" s="307">
        <f t="shared" ref="F5:F28" si="1">F4</f>
        <v>0</v>
      </c>
      <c r="G5" s="5">
        <v>0</v>
      </c>
      <c r="H5" s="305">
        <f>BIOMASS_BIOGAS[[#This Row],[DomesticPrice]]</f>
        <v>3.5768978579354234</v>
      </c>
      <c r="I5" s="307">
        <f t="shared" ref="I5:I28" si="2">I4</f>
        <v>0</v>
      </c>
      <c r="J5" s="5">
        <v>0</v>
      </c>
      <c r="K5" s="6"/>
    </row>
    <row r="6" spans="1:14">
      <c r="A6" t="s">
        <v>10</v>
      </c>
      <c r="B6" s="3" t="str">
        <f>VLOOKUP(A6,Maps!$A$1:$C$13,2,FALSE)</f>
        <v>MODELGEOGRAPHY</v>
      </c>
      <c r="C6">
        <v>2022</v>
      </c>
      <c r="D6">
        <v>0</v>
      </c>
      <c r="E6" s="305">
        <f t="shared" si="0"/>
        <v>3.6599311611943546</v>
      </c>
      <c r="F6" s="307">
        <f t="shared" si="1"/>
        <v>0</v>
      </c>
      <c r="G6" s="5">
        <v>0</v>
      </c>
      <c r="H6" s="305">
        <f>BIOMASS_BIOGAS[[#This Row],[DomesticPrice]]</f>
        <v>3.6599311611943546</v>
      </c>
      <c r="I6" s="307">
        <f t="shared" si="2"/>
        <v>0</v>
      </c>
      <c r="J6" s="5">
        <v>0</v>
      </c>
      <c r="K6" s="6"/>
    </row>
    <row r="7" spans="1:14">
      <c r="A7" t="s">
        <v>10</v>
      </c>
      <c r="B7" s="3" t="str">
        <f>VLOOKUP(A7,Maps!$A$1:$C$13,2,FALSE)</f>
        <v>MODELGEOGRAPHY</v>
      </c>
      <c r="C7">
        <v>2023</v>
      </c>
      <c r="D7">
        <v>0</v>
      </c>
      <c r="E7" s="305">
        <f t="shared" si="0"/>
        <v>3.7461057306588614</v>
      </c>
      <c r="F7" s="307">
        <f t="shared" si="1"/>
        <v>0</v>
      </c>
      <c r="G7" s="5">
        <v>0</v>
      </c>
      <c r="H7" s="305">
        <f>BIOMASS_BIOGAS[[#This Row],[DomesticPrice]]</f>
        <v>3.7461057306588614</v>
      </c>
      <c r="I7" s="307">
        <f t="shared" si="2"/>
        <v>0</v>
      </c>
      <c r="J7" s="5">
        <v>0</v>
      </c>
      <c r="K7" s="6"/>
    </row>
    <row r="8" spans="1:14">
      <c r="A8" t="s">
        <v>10</v>
      </c>
      <c r="B8" s="3" t="str">
        <f>VLOOKUP(A8,Maps!$A$1:$C$13,2,FALSE)</f>
        <v>MODELGEOGRAPHY</v>
      </c>
      <c r="C8">
        <v>2024</v>
      </c>
      <c r="D8">
        <v>0</v>
      </c>
      <c r="E8" s="305">
        <f t="shared" si="0"/>
        <v>3.8336786883937299</v>
      </c>
      <c r="F8" s="307">
        <f t="shared" si="1"/>
        <v>0</v>
      </c>
      <c r="G8" s="5">
        <v>0</v>
      </c>
      <c r="H8" s="305">
        <f>BIOMASS_BIOGAS[[#This Row],[DomesticPrice]]</f>
        <v>3.8336786883937299</v>
      </c>
      <c r="I8" s="307">
        <f t="shared" si="2"/>
        <v>0</v>
      </c>
      <c r="J8" s="5">
        <v>0</v>
      </c>
      <c r="K8" s="6"/>
    </row>
    <row r="9" spans="1:14">
      <c r="A9" t="s">
        <v>10</v>
      </c>
      <c r="B9" s="3" t="str">
        <f>VLOOKUP(A9,Maps!$A$1:$C$13,2,FALSE)</f>
        <v>MODELGEOGRAPHY</v>
      </c>
      <c r="C9">
        <v>2025</v>
      </c>
      <c r="D9">
        <v>0</v>
      </c>
      <c r="E9" s="305">
        <f t="shared" si="0"/>
        <v>3.923210754367406</v>
      </c>
      <c r="F9" s="307">
        <f t="shared" si="1"/>
        <v>0</v>
      </c>
      <c r="G9" s="5">
        <v>0</v>
      </c>
      <c r="H9" s="305">
        <f>BIOMASS_BIOGAS[[#This Row],[DomesticPrice]]</f>
        <v>3.923210754367406</v>
      </c>
      <c r="I9" s="307">
        <f t="shared" si="2"/>
        <v>0</v>
      </c>
      <c r="J9" s="5">
        <v>0</v>
      </c>
      <c r="K9" s="6"/>
    </row>
    <row r="10" spans="1:14">
      <c r="A10" t="s">
        <v>10</v>
      </c>
      <c r="B10" s="3" t="str">
        <f>VLOOKUP(A10,Maps!$A$1:$C$13,2,FALSE)</f>
        <v>MODELGEOGRAPHY</v>
      </c>
      <c r="C10">
        <v>2026</v>
      </c>
      <c r="D10">
        <v>0</v>
      </c>
      <c r="E10" s="305">
        <f t="shared" si="0"/>
        <v>4.0152984562764233</v>
      </c>
      <c r="F10" s="307">
        <f t="shared" si="1"/>
        <v>0</v>
      </c>
      <c r="G10" s="5">
        <v>0</v>
      </c>
      <c r="H10" s="305">
        <f>BIOMASS_BIOGAS[[#This Row],[DomesticPrice]]</f>
        <v>4.0152984562764233</v>
      </c>
      <c r="I10" s="307">
        <f t="shared" si="2"/>
        <v>0</v>
      </c>
      <c r="J10" s="5">
        <v>0</v>
      </c>
      <c r="K10" s="6"/>
    </row>
    <row r="11" spans="1:14">
      <c r="A11" t="s">
        <v>10</v>
      </c>
      <c r="B11" s="3" t="str">
        <f>VLOOKUP(A11,Maps!$A$1:$C$13,2,FALSE)</f>
        <v>MODELGEOGRAPHY</v>
      </c>
      <c r="C11">
        <v>2027</v>
      </c>
      <c r="D11">
        <v>0</v>
      </c>
      <c r="E11" s="305">
        <f t="shared" si="0"/>
        <v>4.111023443941682</v>
      </c>
      <c r="F11" s="307">
        <f t="shared" si="1"/>
        <v>0</v>
      </c>
      <c r="G11" s="5">
        <v>0</v>
      </c>
      <c r="H11" s="305">
        <f>BIOMASS_BIOGAS[[#This Row],[DomesticPrice]]</f>
        <v>4.111023443941682</v>
      </c>
      <c r="I11" s="307">
        <f t="shared" si="2"/>
        <v>0</v>
      </c>
      <c r="J11" s="5">
        <v>0</v>
      </c>
      <c r="K11" s="6"/>
    </row>
    <row r="12" spans="1:14">
      <c r="A12" t="s">
        <v>10</v>
      </c>
      <c r="B12" s="3" t="str">
        <f>VLOOKUP(A12,Maps!$A$1:$C$13,2,FALSE)</f>
        <v>MODELGEOGRAPHY</v>
      </c>
      <c r="C12">
        <v>2028</v>
      </c>
      <c r="D12">
        <v>0</v>
      </c>
      <c r="E12" s="305">
        <f t="shared" si="0"/>
        <v>4.207595138709344</v>
      </c>
      <c r="F12" s="307">
        <f t="shared" si="1"/>
        <v>0</v>
      </c>
      <c r="G12" s="5">
        <v>0</v>
      </c>
      <c r="H12" s="305">
        <f>BIOMASS_BIOGAS[[#This Row],[DomesticPrice]]</f>
        <v>4.207595138709344</v>
      </c>
      <c r="I12" s="307">
        <f t="shared" si="2"/>
        <v>0</v>
      </c>
      <c r="J12" s="5">
        <v>0</v>
      </c>
      <c r="K12" s="6"/>
    </row>
    <row r="13" spans="1:14">
      <c r="A13" t="s">
        <v>10</v>
      </c>
      <c r="B13" s="3" t="str">
        <f>VLOOKUP(A13,Maps!$A$1:$C$13,2,FALSE)</f>
        <v>MODELGEOGRAPHY</v>
      </c>
      <c r="C13">
        <v>2029</v>
      </c>
      <c r="D13">
        <v>0</v>
      </c>
      <c r="E13" s="305">
        <f t="shared" si="0"/>
        <v>4.3049860993165359</v>
      </c>
      <c r="F13" s="307">
        <f t="shared" si="1"/>
        <v>0</v>
      </c>
      <c r="G13" s="5">
        <v>0</v>
      </c>
      <c r="H13" s="305">
        <f>BIOMASS_BIOGAS[[#This Row],[DomesticPrice]]</f>
        <v>4.3049860993165359</v>
      </c>
      <c r="I13" s="307">
        <f t="shared" si="2"/>
        <v>0</v>
      </c>
      <c r="J13" s="5">
        <v>0</v>
      </c>
      <c r="K13" s="6"/>
    </row>
    <row r="14" spans="1:14">
      <c r="A14" t="s">
        <v>10</v>
      </c>
      <c r="B14" s="3" t="str">
        <f>VLOOKUP(A14,Maps!$A$1:$C$13,2,FALSE)</f>
        <v>MODELGEOGRAPHY</v>
      </c>
      <c r="C14">
        <v>2030</v>
      </c>
      <c r="D14">
        <v>0</v>
      </c>
      <c r="E14" s="305">
        <f t="shared" si="0"/>
        <v>4.4031688248053769</v>
      </c>
      <c r="F14" s="307">
        <f t="shared" si="1"/>
        <v>0</v>
      </c>
      <c r="G14" s="5">
        <v>0</v>
      </c>
      <c r="H14" s="305">
        <f>BIOMASS_BIOGAS[[#This Row],[DomesticPrice]]</f>
        <v>4.4031688248053769</v>
      </c>
      <c r="I14" s="307">
        <f t="shared" si="2"/>
        <v>0</v>
      </c>
      <c r="J14" s="5">
        <v>0</v>
      </c>
      <c r="K14" s="6"/>
    </row>
    <row r="15" spans="1:14">
      <c r="A15" t="s">
        <v>10</v>
      </c>
      <c r="B15" s="3" t="str">
        <f>VLOOKUP(A15,Maps!$A$1:$C$13,2,FALSE)</f>
        <v>MODELGEOGRAPHY</v>
      </c>
      <c r="C15">
        <v>2031</v>
      </c>
      <c r="D15">
        <v>0</v>
      </c>
      <c r="E15" s="305">
        <f t="shared" si="0"/>
        <v>4.5021157842307344</v>
      </c>
      <c r="F15" s="307">
        <f t="shared" si="1"/>
        <v>0</v>
      </c>
      <c r="G15" s="5">
        <v>0</v>
      </c>
      <c r="H15" s="305">
        <f>BIOMASS_BIOGAS[[#This Row],[DomesticPrice]]</f>
        <v>4.5021157842307344</v>
      </c>
      <c r="I15" s="307">
        <f t="shared" si="2"/>
        <v>0</v>
      </c>
      <c r="J15" s="5">
        <v>0</v>
      </c>
      <c r="K15" s="6"/>
    </row>
    <row r="16" spans="1:14">
      <c r="A16" t="s">
        <v>9</v>
      </c>
      <c r="B16" s="3" t="str">
        <f>VLOOKUP(A16,Maps!$A$1:$C$13,2,FALSE)</f>
        <v>MODELGEOGRAPHY</v>
      </c>
      <c r="C16">
        <v>2019</v>
      </c>
      <c r="D16">
        <v>0</v>
      </c>
      <c r="E16" s="305">
        <f>S34*1000</f>
        <v>34318.030035514494</v>
      </c>
      <c r="F16" s="307">
        <f t="shared" si="1"/>
        <v>0</v>
      </c>
      <c r="G16" s="5">
        <v>0</v>
      </c>
      <c r="H16" s="305">
        <f>BIOMASS_BIOGAS[[#This Row],[DomesticPrice]]</f>
        <v>34318.030035514494</v>
      </c>
      <c r="I16" s="307">
        <f t="shared" si="2"/>
        <v>0</v>
      </c>
      <c r="J16" s="5">
        <v>0</v>
      </c>
      <c r="K16" s="6"/>
    </row>
    <row r="17" spans="1:21">
      <c r="A17" t="s">
        <v>9</v>
      </c>
      <c r="B17" s="3" t="str">
        <f>VLOOKUP(A17,Maps!$A$1:$C$13,2,FALSE)</f>
        <v>MODELGEOGRAPHY</v>
      </c>
      <c r="C17">
        <v>2020</v>
      </c>
      <c r="D17">
        <v>0</v>
      </c>
      <c r="E17" s="305">
        <f t="shared" ref="E17:E28" si="3">S35*1000</f>
        <v>34767.524479267442</v>
      </c>
      <c r="F17" s="307">
        <f t="shared" si="1"/>
        <v>0</v>
      </c>
      <c r="G17" s="5">
        <v>0</v>
      </c>
      <c r="H17" s="305">
        <f>BIOMASS_BIOGAS[[#This Row],[DomesticPrice]]</f>
        <v>34767.524479267442</v>
      </c>
      <c r="I17" s="307">
        <f t="shared" si="2"/>
        <v>0</v>
      </c>
      <c r="J17" s="5">
        <v>0</v>
      </c>
      <c r="K17" s="6"/>
    </row>
    <row r="18" spans="1:21">
      <c r="A18" t="s">
        <v>9</v>
      </c>
      <c r="B18" s="3" t="str">
        <f>VLOOKUP(A18,Maps!$A$1:$C$13,2,FALSE)</f>
        <v>MODELGEOGRAPHY</v>
      </c>
      <c r="C18">
        <v>2021</v>
      </c>
      <c r="D18">
        <v>0</v>
      </c>
      <c r="E18" s="305">
        <f t="shared" si="3"/>
        <v>35234.01612397367</v>
      </c>
      <c r="F18" s="307">
        <f t="shared" si="1"/>
        <v>0</v>
      </c>
      <c r="G18" s="5">
        <v>0</v>
      </c>
      <c r="H18" s="305">
        <f>BIOMASS_BIOGAS[[#This Row],[DomesticPrice]]</f>
        <v>35234.01612397367</v>
      </c>
      <c r="I18" s="307">
        <f t="shared" si="2"/>
        <v>0</v>
      </c>
      <c r="J18" s="5">
        <v>0</v>
      </c>
      <c r="K18" s="6"/>
    </row>
    <row r="19" spans="1:21">
      <c r="A19" t="s">
        <v>9</v>
      </c>
      <c r="B19" s="3" t="str">
        <f>VLOOKUP(A19,Maps!$A$1:$C$13,2,FALSE)</f>
        <v>MODELGEOGRAPHY</v>
      </c>
      <c r="C19">
        <v>2022</v>
      </c>
      <c r="D19">
        <v>0</v>
      </c>
      <c r="E19" s="305">
        <f t="shared" si="3"/>
        <v>35717.752703644779</v>
      </c>
      <c r="F19" s="307">
        <f t="shared" si="1"/>
        <v>0</v>
      </c>
      <c r="G19" s="5">
        <v>0</v>
      </c>
      <c r="H19" s="305">
        <f>BIOMASS_BIOGAS[[#This Row],[DomesticPrice]]</f>
        <v>35717.752703644779</v>
      </c>
      <c r="I19" s="307">
        <f t="shared" si="2"/>
        <v>0</v>
      </c>
      <c r="J19" s="5">
        <v>0</v>
      </c>
      <c r="K19" s="6"/>
    </row>
    <row r="20" spans="1:21">
      <c r="A20" t="s">
        <v>9</v>
      </c>
      <c r="B20" s="3" t="str">
        <f>VLOOKUP(A20,Maps!$A$1:$C$13,2,FALSE)</f>
        <v>MODELGEOGRAPHY</v>
      </c>
      <c r="C20">
        <v>2023</v>
      </c>
      <c r="D20">
        <v>0</v>
      </c>
      <c r="E20" s="305">
        <f t="shared" si="3"/>
        <v>36188.119143740747</v>
      </c>
      <c r="F20" s="307">
        <f t="shared" si="1"/>
        <v>0</v>
      </c>
      <c r="G20" s="5">
        <v>0</v>
      </c>
      <c r="H20" s="305">
        <f>BIOMASS_BIOGAS[[#This Row],[DomesticPrice]]</f>
        <v>36188.119143740747</v>
      </c>
      <c r="I20" s="307">
        <f t="shared" si="2"/>
        <v>0</v>
      </c>
      <c r="J20" s="5">
        <v>0</v>
      </c>
      <c r="K20" s="6"/>
    </row>
    <row r="21" spans="1:21">
      <c r="A21" t="s">
        <v>9</v>
      </c>
      <c r="B21" s="3" t="str">
        <f>VLOOKUP(A21,Maps!$A$1:$C$13,2,FALSE)</f>
        <v>MODELGEOGRAPHY</v>
      </c>
      <c r="C21">
        <v>2024</v>
      </c>
      <c r="D21">
        <v>0</v>
      </c>
      <c r="E21" s="305">
        <f t="shared" si="3"/>
        <v>36686.91237881624</v>
      </c>
      <c r="F21" s="307">
        <f t="shared" si="1"/>
        <v>0</v>
      </c>
      <c r="G21" s="5">
        <v>0</v>
      </c>
      <c r="H21" s="305">
        <f>BIOMASS_BIOGAS[[#This Row],[DomesticPrice]]</f>
        <v>36686.91237881624</v>
      </c>
      <c r="I21" s="307">
        <f t="shared" si="2"/>
        <v>0</v>
      </c>
      <c r="J21" s="5">
        <v>0</v>
      </c>
      <c r="K21" s="6"/>
    </row>
    <row r="22" spans="1:21">
      <c r="A22" t="s">
        <v>9</v>
      </c>
      <c r="B22" s="3" t="str">
        <f>VLOOKUP(A22,Maps!$A$1:$C$13,2,FALSE)</f>
        <v>MODELGEOGRAPHY</v>
      </c>
      <c r="C22">
        <v>2025</v>
      </c>
      <c r="D22">
        <v>0</v>
      </c>
      <c r="E22" s="305">
        <f t="shared" si="3"/>
        <v>37171.709675763545</v>
      </c>
      <c r="F22" s="307">
        <f t="shared" si="1"/>
        <v>0</v>
      </c>
      <c r="G22" s="5">
        <v>0</v>
      </c>
      <c r="H22" s="305">
        <f>BIOMASS_BIOGAS[[#This Row],[DomesticPrice]]</f>
        <v>37171.709675763545</v>
      </c>
      <c r="I22" s="307">
        <f t="shared" si="2"/>
        <v>0</v>
      </c>
      <c r="J22" s="5">
        <v>0</v>
      </c>
      <c r="K22" s="6"/>
    </row>
    <row r="23" spans="1:21">
      <c r="A23" t="s">
        <v>9</v>
      </c>
      <c r="B23" s="3" t="str">
        <f>VLOOKUP(A23,Maps!$A$1:$C$13,2,FALSE)</f>
        <v>MODELGEOGRAPHY</v>
      </c>
      <c r="C23">
        <v>2026</v>
      </c>
      <c r="D23">
        <v>0</v>
      </c>
      <c r="E23" s="305">
        <f t="shared" si="3"/>
        <v>37675.064498997897</v>
      </c>
      <c r="F23" s="307">
        <f t="shared" si="1"/>
        <v>0</v>
      </c>
      <c r="G23" s="5">
        <v>0</v>
      </c>
      <c r="H23" s="305">
        <f>BIOMASS_BIOGAS[[#This Row],[DomesticPrice]]</f>
        <v>37675.064498997897</v>
      </c>
      <c r="I23" s="307">
        <f t="shared" si="2"/>
        <v>0</v>
      </c>
      <c r="J23" s="5">
        <v>0</v>
      </c>
      <c r="K23" s="6"/>
    </row>
    <row r="24" spans="1:21">
      <c r="A24" t="s">
        <v>9</v>
      </c>
      <c r="B24" s="3" t="str">
        <f>VLOOKUP(A24,Maps!$A$1:$C$13,2,FALSE)</f>
        <v>MODELGEOGRAPHY</v>
      </c>
      <c r="C24">
        <v>2027</v>
      </c>
      <c r="D24">
        <v>0</v>
      </c>
      <c r="E24" s="305">
        <f t="shared" si="3"/>
        <v>38193.576650438154</v>
      </c>
      <c r="F24" s="307">
        <f t="shared" si="1"/>
        <v>0</v>
      </c>
      <c r="G24" s="5">
        <v>0</v>
      </c>
      <c r="H24" s="305">
        <f>BIOMASS_BIOGAS[[#This Row],[DomesticPrice]]</f>
        <v>38193.576650438154</v>
      </c>
      <c r="I24" s="307">
        <f t="shared" si="2"/>
        <v>0</v>
      </c>
      <c r="J24" s="5">
        <v>0</v>
      </c>
      <c r="K24" s="6"/>
    </row>
    <row r="25" spans="1:21">
      <c r="A25" t="s">
        <v>9</v>
      </c>
      <c r="B25" s="3" t="str">
        <f>VLOOKUP(A25,Maps!$A$1:$C$13,2,FALSE)</f>
        <v>MODELGEOGRAPHY</v>
      </c>
      <c r="C25">
        <v>2028</v>
      </c>
      <c r="D25">
        <v>0</v>
      </c>
      <c r="E25" s="305">
        <f t="shared" si="3"/>
        <v>38714.092179236759</v>
      </c>
      <c r="F25" s="307">
        <f t="shared" si="1"/>
        <v>0</v>
      </c>
      <c r="G25" s="5">
        <v>0</v>
      </c>
      <c r="H25" s="305">
        <f>BIOMASS_BIOGAS[[#This Row],[DomesticPrice]]</f>
        <v>38714.092179236759</v>
      </c>
      <c r="I25" s="307">
        <f t="shared" si="2"/>
        <v>0</v>
      </c>
      <c r="J25" s="5">
        <v>0</v>
      </c>
      <c r="K25" s="6"/>
    </row>
    <row r="26" spans="1:21">
      <c r="A26" t="s">
        <v>9</v>
      </c>
      <c r="B26" s="3" t="str">
        <f>VLOOKUP(A26,Maps!$A$1:$C$13,2,FALSE)</f>
        <v>MODELGEOGRAPHY</v>
      </c>
      <c r="C26">
        <v>2029</v>
      </c>
      <c r="D26">
        <v>0</v>
      </c>
      <c r="E26" s="305">
        <f t="shared" si="3"/>
        <v>39242.715647326535</v>
      </c>
      <c r="F26" s="307">
        <f t="shared" si="1"/>
        <v>0</v>
      </c>
      <c r="G26" s="5">
        <v>0</v>
      </c>
      <c r="H26" s="305">
        <f>BIOMASS_BIOGAS[[#This Row],[DomesticPrice]]</f>
        <v>39242.715647326535</v>
      </c>
      <c r="I26" s="307">
        <f t="shared" si="2"/>
        <v>0</v>
      </c>
      <c r="J26" s="5">
        <v>0</v>
      </c>
      <c r="K26" s="6"/>
    </row>
    <row r="27" spans="1:21">
      <c r="A27" t="s">
        <v>9</v>
      </c>
      <c r="B27" s="3" t="str">
        <f>VLOOKUP(A27,Maps!$A$1:$C$13,2,FALSE)</f>
        <v>MODELGEOGRAPHY</v>
      </c>
      <c r="C27">
        <v>2030</v>
      </c>
      <c r="D27">
        <v>0</v>
      </c>
      <c r="E27" s="305">
        <f t="shared" si="3"/>
        <v>39779.527308250777</v>
      </c>
      <c r="F27" s="307">
        <f t="shared" si="1"/>
        <v>0</v>
      </c>
      <c r="G27" s="5">
        <v>0</v>
      </c>
      <c r="H27" s="305">
        <f>BIOMASS_BIOGAS[[#This Row],[DomesticPrice]]</f>
        <v>39779.527308250777</v>
      </c>
      <c r="I27" s="307">
        <f t="shared" si="2"/>
        <v>0</v>
      </c>
      <c r="J27" s="5">
        <v>0</v>
      </c>
      <c r="K27" s="6"/>
    </row>
    <row r="28" spans="1:21">
      <c r="A28" t="s">
        <v>9</v>
      </c>
      <c r="B28" s="3" t="str">
        <f>VLOOKUP(A28,Maps!$A$1:$C$13,2,FALSE)</f>
        <v>MODELGEOGRAPHY</v>
      </c>
      <c r="C28">
        <v>2031</v>
      </c>
      <c r="D28">
        <v>0</v>
      </c>
      <c r="E28" s="305">
        <f t="shared" si="3"/>
        <v>40324.607171760465</v>
      </c>
      <c r="F28" s="307">
        <f t="shared" si="1"/>
        <v>0</v>
      </c>
      <c r="G28" s="5">
        <v>0</v>
      </c>
      <c r="H28" s="305">
        <f>BIOMASS_BIOGAS[[#This Row],[DomesticPrice]]</f>
        <v>40324.607171760465</v>
      </c>
      <c r="I28" s="307">
        <f t="shared" si="2"/>
        <v>0</v>
      </c>
      <c r="J28" s="5">
        <v>0</v>
      </c>
      <c r="K28" s="6"/>
    </row>
    <row r="29" spans="1:2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t="s">
        <v>171</v>
      </c>
      <c r="R29" t="s">
        <v>422</v>
      </c>
      <c r="U29" t="s">
        <v>424</v>
      </c>
    </row>
    <row r="30" spans="1:21" ht="75">
      <c r="A30" t="s">
        <v>436</v>
      </c>
      <c r="L30" s="23" t="s">
        <v>201</v>
      </c>
      <c r="M30" s="22" t="s">
        <v>47</v>
      </c>
      <c r="N30" s="22"/>
      <c r="O30" s="22" t="s">
        <v>48</v>
      </c>
      <c r="P30" s="22"/>
      <c r="R30" s="1" t="s">
        <v>420</v>
      </c>
      <c r="S30" s="1" t="s">
        <v>421</v>
      </c>
      <c r="U30">
        <f>Maps!B33/Maps!F33</f>
        <v>0.86130767488716142</v>
      </c>
    </row>
    <row r="31" spans="1:21" ht="61.5" customHeight="1">
      <c r="L31" s="22"/>
      <c r="M31" s="23" t="s">
        <v>419</v>
      </c>
      <c r="N31" s="22" t="s">
        <v>38</v>
      </c>
      <c r="O31" s="22" t="s">
        <v>49</v>
      </c>
      <c r="P31" s="23" t="s">
        <v>38</v>
      </c>
    </row>
    <row r="32" spans="1:21">
      <c r="L32" s="22">
        <v>2016</v>
      </c>
      <c r="M32" s="22">
        <v>3.7683656624050599</v>
      </c>
      <c r="N32" s="22"/>
      <c r="O32" s="22">
        <v>38.6931983150061</v>
      </c>
      <c r="P32" s="22"/>
      <c r="R32">
        <f>M32*$U$30</f>
        <v>3.24572226681072</v>
      </c>
      <c r="S32">
        <f>O32*$U$30</f>
        <v>33.326748674645735</v>
      </c>
    </row>
    <row r="33" spans="12:19">
      <c r="L33" s="49">
        <v>2017</v>
      </c>
      <c r="M33" s="50">
        <v>3.8684582518722799</v>
      </c>
      <c r="N33" s="51">
        <f t="shared" ref="N33:N46" si="4">M33/M32-1</f>
        <v>2.6561273091353588E-2</v>
      </c>
      <c r="O33" s="50">
        <v>39.293921397337499</v>
      </c>
      <c r="P33" s="51">
        <f t="shared" ref="P33:P46" si="5">O33/O32-1</f>
        <v>1.5525288900670287E-2</v>
      </c>
      <c r="R33">
        <f t="shared" ref="R33:R46" si="6">M33*$U$30</f>
        <v>3.3319327823181664</v>
      </c>
      <c r="S33">
        <f t="shared" ref="S33:S46" si="7">O33*$U$30</f>
        <v>33.844156075939644</v>
      </c>
    </row>
    <row r="34" spans="12:19">
      <c r="L34" s="49">
        <v>2018</v>
      </c>
      <c r="M34" s="50">
        <v>3.96223937224583</v>
      </c>
      <c r="N34" s="51">
        <f t="shared" si="4"/>
        <v>2.4242505480875032E-2</v>
      </c>
      <c r="O34" s="52">
        <v>39.844101052519299</v>
      </c>
      <c r="P34" s="51">
        <f t="shared" si="5"/>
        <v>1.4001647980572463E-2</v>
      </c>
      <c r="R34">
        <f t="shared" si="6"/>
        <v>3.4127071810554219</v>
      </c>
      <c r="S34">
        <f t="shared" si="7"/>
        <v>34.318030035514496</v>
      </c>
    </row>
    <row r="35" spans="12:19">
      <c r="L35" s="49">
        <v>2019</v>
      </c>
      <c r="M35" s="50">
        <v>4.05703787379018</v>
      </c>
      <c r="N35" s="51">
        <f t="shared" si="4"/>
        <v>2.3925485726173479E-2</v>
      </c>
      <c r="O35" s="52">
        <v>40.365975473076197</v>
      </c>
      <c r="P35" s="51">
        <f t="shared" si="5"/>
        <v>1.3097909270659791E-2</v>
      </c>
      <c r="R35">
        <f t="shared" si="6"/>
        <v>3.4943578580033732</v>
      </c>
      <c r="S35">
        <f t="shared" si="7"/>
        <v>34.767524479267443</v>
      </c>
    </row>
    <row r="36" spans="12:19">
      <c r="L36" s="49">
        <v>2020</v>
      </c>
      <c r="M36" s="50">
        <v>4.1528689018172598</v>
      </c>
      <c r="N36" s="51">
        <f t="shared" si="4"/>
        <v>2.3620935029022183E-2</v>
      </c>
      <c r="O36" s="52">
        <v>40.907584073936903</v>
      </c>
      <c r="P36" s="51">
        <f t="shared" si="5"/>
        <v>1.3417453548767888E-2</v>
      </c>
      <c r="R36">
        <f t="shared" si="6"/>
        <v>3.5768978579354234</v>
      </c>
      <c r="S36">
        <f t="shared" si="7"/>
        <v>35.234016123973667</v>
      </c>
    </row>
    <row r="37" spans="12:19">
      <c r="L37" s="49">
        <v>2021</v>
      </c>
      <c r="M37" s="50">
        <v>4.2492726674864896</v>
      </c>
      <c r="N37" s="51">
        <f t="shared" si="4"/>
        <v>2.3213775331806019E-2</v>
      </c>
      <c r="O37" s="52">
        <v>41.469214480556097</v>
      </c>
      <c r="P37" s="51">
        <f t="shared" si="5"/>
        <v>1.3729248972613295E-2</v>
      </c>
      <c r="R37">
        <f t="shared" si="6"/>
        <v>3.6599311611943546</v>
      </c>
      <c r="S37">
        <f t="shared" si="7"/>
        <v>35.717752703644777</v>
      </c>
    </row>
    <row r="38" spans="12:19">
      <c r="L38" s="49">
        <v>2022</v>
      </c>
      <c r="M38" s="50">
        <v>4.3493235226884899</v>
      </c>
      <c r="N38" s="51">
        <f t="shared" si="4"/>
        <v>2.354540718639786E-2</v>
      </c>
      <c r="O38" s="52">
        <v>42.015321816889298</v>
      </c>
      <c r="P38" s="51">
        <f t="shared" si="5"/>
        <v>1.316898193452043E-2</v>
      </c>
      <c r="R38">
        <f t="shared" si="6"/>
        <v>3.7461057306588614</v>
      </c>
      <c r="S38">
        <f t="shared" si="7"/>
        <v>36.188119143740749</v>
      </c>
    </row>
    <row r="39" spans="12:19">
      <c r="L39" s="49">
        <v>2023</v>
      </c>
      <c r="M39" s="50">
        <v>4.4509979420489598</v>
      </c>
      <c r="N39" s="51">
        <f t="shared" si="4"/>
        <v>2.3377065152794474E-2</v>
      </c>
      <c r="O39" s="52">
        <v>42.5944333813379</v>
      </c>
      <c r="P39" s="51">
        <f t="shared" si="5"/>
        <v>1.3783342347643668E-2</v>
      </c>
      <c r="R39">
        <f t="shared" si="6"/>
        <v>3.8336786883937299</v>
      </c>
      <c r="S39">
        <f t="shared" si="7"/>
        <v>36.686912378816238</v>
      </c>
    </row>
    <row r="40" spans="12:19">
      <c r="L40" s="49">
        <v>2024</v>
      </c>
      <c r="M40" s="50">
        <v>4.5549469356364201</v>
      </c>
      <c r="N40" s="51">
        <f t="shared" si="4"/>
        <v>2.3354087092569698E-2</v>
      </c>
      <c r="O40" s="52">
        <v>43.1572953075489</v>
      </c>
      <c r="P40" s="51">
        <f t="shared" si="5"/>
        <v>1.3214448028262993E-2</v>
      </c>
      <c r="R40">
        <f t="shared" si="6"/>
        <v>3.923210754367406</v>
      </c>
      <c r="S40">
        <f t="shared" si="7"/>
        <v>37.171709675763545</v>
      </c>
    </row>
    <row r="41" spans="12:19">
      <c r="L41" s="49">
        <v>2025</v>
      </c>
      <c r="M41" s="50">
        <v>4.6618630871975704</v>
      </c>
      <c r="N41" s="51">
        <f t="shared" si="4"/>
        <v>2.3472535041994202E-2</v>
      </c>
      <c r="O41" s="52">
        <v>43.741702991249497</v>
      </c>
      <c r="P41" s="51">
        <f t="shared" si="5"/>
        <v>1.3541341725332279E-2</v>
      </c>
      <c r="R41">
        <f t="shared" si="6"/>
        <v>4.0152984562764233</v>
      </c>
      <c r="S41">
        <f t="shared" si="7"/>
        <v>37.675064498997898</v>
      </c>
    </row>
    <row r="42" spans="12:19">
      <c r="L42" s="49">
        <v>2026</v>
      </c>
      <c r="M42" s="50">
        <v>4.7730022195381698</v>
      </c>
      <c r="N42" s="51">
        <f t="shared" si="4"/>
        <v>2.3840067857378688E-2</v>
      </c>
      <c r="O42" s="52">
        <v>44.343708716448901</v>
      </c>
      <c r="P42" s="51">
        <f t="shared" si="5"/>
        <v>1.3762740909283755E-2</v>
      </c>
      <c r="R42">
        <f t="shared" si="6"/>
        <v>4.111023443941682</v>
      </c>
      <c r="S42">
        <f t="shared" si="7"/>
        <v>38.193576650438153</v>
      </c>
    </row>
    <row r="43" spans="12:19">
      <c r="L43" s="22">
        <v>2027</v>
      </c>
      <c r="M43" s="50">
        <v>4.8851244002447496</v>
      </c>
      <c r="N43" s="51">
        <f t="shared" si="4"/>
        <v>2.3490913171506644E-2</v>
      </c>
      <c r="O43" s="52">
        <v>44.948040413443003</v>
      </c>
      <c r="P43" s="51">
        <f t="shared" si="5"/>
        <v>1.3628352577779168E-2</v>
      </c>
      <c r="R43">
        <f t="shared" si="6"/>
        <v>4.207595138709344</v>
      </c>
      <c r="S43">
        <f t="shared" si="7"/>
        <v>38.714092179236758</v>
      </c>
    </row>
    <row r="44" spans="12:19">
      <c r="L44" s="22">
        <v>2028</v>
      </c>
      <c r="M44" s="50">
        <v>4.9981977693169002</v>
      </c>
      <c r="N44" s="51">
        <f t="shared" si="4"/>
        <v>2.3146466662442799E-2</v>
      </c>
      <c r="O44" s="52">
        <v>45.561785633069697</v>
      </c>
      <c r="P44" s="51">
        <f t="shared" si="5"/>
        <v>1.3654548985480019E-2</v>
      </c>
      <c r="R44">
        <f t="shared" si="6"/>
        <v>4.3049860993165359</v>
      </c>
      <c r="S44">
        <f t="shared" si="7"/>
        <v>39.242715647326534</v>
      </c>
    </row>
    <row r="45" spans="12:19">
      <c r="L45" s="22">
        <v>2029</v>
      </c>
      <c r="M45" s="50">
        <v>5.1121903974467999</v>
      </c>
      <c r="N45" s="51">
        <f t="shared" si="4"/>
        <v>2.280674622954737E-2</v>
      </c>
      <c r="O45" s="52">
        <v>46.185037551722999</v>
      </c>
      <c r="P45" s="51">
        <f t="shared" si="5"/>
        <v>1.3679268931043209E-2</v>
      </c>
      <c r="R45">
        <f t="shared" si="6"/>
        <v>4.4031688248053769</v>
      </c>
      <c r="S45">
        <f t="shared" si="7"/>
        <v>39.779527308250778</v>
      </c>
    </row>
    <row r="46" spans="12:19">
      <c r="L46" s="22">
        <v>2030</v>
      </c>
      <c r="M46" s="50">
        <v>5.2270703205106699</v>
      </c>
      <c r="N46" s="51">
        <f t="shared" si="4"/>
        <v>2.2471761443244587E-2</v>
      </c>
      <c r="O46" s="52">
        <v>46.817889062747902</v>
      </c>
      <c r="P46" s="51">
        <f t="shared" si="5"/>
        <v>1.3702522387605942E-2</v>
      </c>
      <c r="R46">
        <f t="shared" si="6"/>
        <v>4.5021157842307344</v>
      </c>
      <c r="S46">
        <f t="shared" si="7"/>
        <v>40.324607171760462</v>
      </c>
    </row>
    <row r="47" spans="12:19">
      <c r="L47" s="22"/>
      <c r="M47" s="22"/>
      <c r="N47" s="22"/>
      <c r="O47" s="22"/>
      <c r="P47" s="22"/>
    </row>
    <row r="50" spans="12:14" ht="15.75" thickBot="1">
      <c r="L50" s="61"/>
      <c r="M50" s="61"/>
      <c r="N50" s="61" t="s">
        <v>208</v>
      </c>
    </row>
    <row r="51" spans="12:14" ht="16.5" thickBot="1">
      <c r="L51" s="131">
        <v>4401</v>
      </c>
      <c r="M51" s="131" t="s">
        <v>207</v>
      </c>
      <c r="N51" s="131">
        <v>5</v>
      </c>
    </row>
    <row r="52" spans="12:14" ht="16.5" thickBot="1">
      <c r="L52" s="130">
        <v>4401</v>
      </c>
      <c r="M52" s="130" t="s">
        <v>206</v>
      </c>
      <c r="N52" s="308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9"/>
  <sheetViews>
    <sheetView zoomScaleNormal="100" workbookViewId="0"/>
  </sheetViews>
  <sheetFormatPr defaultRowHeight="15"/>
  <cols>
    <col min="1" max="1" width="15.42578125" bestFit="1" customWidth="1"/>
    <col min="2" max="2" width="19" bestFit="1" customWidth="1"/>
    <col min="3" max="3" width="17.42578125" bestFit="1" customWidth="1"/>
    <col min="4" max="4" width="7.28515625" bestFit="1" customWidth="1"/>
    <col min="5" max="5" width="18.140625" bestFit="1" customWidth="1"/>
    <col min="6" max="6" width="16.140625" bestFit="1" customWidth="1"/>
    <col min="7" max="7" width="15.85546875" bestFit="1" customWidth="1"/>
    <col min="8" max="8" width="18.140625" bestFit="1" customWidth="1"/>
    <col min="9" max="9" width="13.7109375" bestFit="1" customWidth="1"/>
    <col min="10" max="10" width="15" bestFit="1" customWidth="1"/>
    <col min="11" max="11" width="17.42578125" bestFit="1" customWidth="1"/>
  </cols>
  <sheetData>
    <row r="1" spans="1:11">
      <c r="A1" s="46" t="s">
        <v>0</v>
      </c>
      <c r="B1" s="46" t="s">
        <v>397</v>
      </c>
      <c r="C1" s="46" t="s">
        <v>178</v>
      </c>
      <c r="D1" s="46" t="s">
        <v>24</v>
      </c>
      <c r="E1" s="46" t="s">
        <v>400</v>
      </c>
      <c r="F1" s="46" t="s">
        <v>401</v>
      </c>
      <c r="G1" s="46" t="s">
        <v>402</v>
      </c>
      <c r="H1" s="46" t="s">
        <v>403</v>
      </c>
      <c r="I1" s="46" t="s">
        <v>404</v>
      </c>
      <c r="J1" s="46" t="s">
        <v>405</v>
      </c>
      <c r="K1" s="46" t="s">
        <v>399</v>
      </c>
    </row>
    <row r="2" spans="1:11">
      <c r="A2" s="46" t="s">
        <v>6</v>
      </c>
      <c r="B2" s="46" t="s">
        <v>398</v>
      </c>
      <c r="C2" s="46"/>
      <c r="D2" s="46">
        <v>2020</v>
      </c>
      <c r="E2" s="46">
        <v>0</v>
      </c>
      <c r="F2" s="46">
        <v>27328.761354469305</v>
      </c>
      <c r="G2" s="46">
        <v>0.1</v>
      </c>
      <c r="H2" s="46">
        <v>51.2</v>
      </c>
      <c r="I2" s="46">
        <v>30365.290393854782</v>
      </c>
      <c r="J2" s="46">
        <v>0</v>
      </c>
      <c r="K2" s="46">
        <v>52</v>
      </c>
    </row>
    <row r="3" spans="1:11">
      <c r="A3" s="46" t="s">
        <v>6</v>
      </c>
      <c r="B3" s="46" t="s">
        <v>398</v>
      </c>
      <c r="C3" s="46"/>
      <c r="D3" s="46">
        <v>2021</v>
      </c>
      <c r="E3" s="46">
        <v>0</v>
      </c>
      <c r="F3" s="46">
        <v>18704.034594433222</v>
      </c>
      <c r="G3" s="46">
        <v>0.1</v>
      </c>
      <c r="H3" s="46">
        <v>51.2</v>
      </c>
      <c r="I3" s="46">
        <v>20782.260660481355</v>
      </c>
      <c r="J3" s="46">
        <v>0</v>
      </c>
      <c r="K3" s="46">
        <v>52</v>
      </c>
    </row>
    <row r="4" spans="1:11">
      <c r="A4" s="46" t="s">
        <v>6</v>
      </c>
      <c r="B4" s="46" t="s">
        <v>398</v>
      </c>
      <c r="C4" s="46"/>
      <c r="D4" s="46">
        <v>2022</v>
      </c>
      <c r="E4" s="46">
        <v>0</v>
      </c>
      <c r="F4" s="46">
        <v>20184.092984079674</v>
      </c>
      <c r="G4" s="46">
        <v>0.1</v>
      </c>
      <c r="H4" s="46">
        <v>51.2</v>
      </c>
      <c r="I4" s="46">
        <v>22426.76998231075</v>
      </c>
      <c r="J4" s="46">
        <v>0</v>
      </c>
      <c r="K4" s="46">
        <v>52</v>
      </c>
    </row>
    <row r="5" spans="1:11">
      <c r="A5" s="46" t="s">
        <v>6</v>
      </c>
      <c r="B5" s="46" t="s">
        <v>398</v>
      </c>
      <c r="C5" s="46"/>
      <c r="D5" s="46">
        <v>2023</v>
      </c>
      <c r="E5" s="46">
        <v>0</v>
      </c>
      <c r="F5" s="46">
        <v>22984.981503651281</v>
      </c>
      <c r="G5" s="46">
        <v>0.1</v>
      </c>
      <c r="H5" s="46">
        <v>51.2</v>
      </c>
      <c r="I5" s="46">
        <v>25538.868337390311</v>
      </c>
      <c r="J5" s="46">
        <v>0</v>
      </c>
      <c r="K5" s="46">
        <v>52</v>
      </c>
    </row>
    <row r="6" spans="1:11">
      <c r="A6" s="46" t="s">
        <v>6</v>
      </c>
      <c r="B6" s="46" t="s">
        <v>398</v>
      </c>
      <c r="C6" s="46"/>
      <c r="D6" s="46">
        <v>2024</v>
      </c>
      <c r="E6" s="46">
        <v>0</v>
      </c>
      <c r="F6" s="46">
        <v>24020.010732097908</v>
      </c>
      <c r="G6" s="46">
        <v>0.1</v>
      </c>
      <c r="H6" s="46">
        <v>51.2</v>
      </c>
      <c r="I6" s="46">
        <v>26688.90081344212</v>
      </c>
      <c r="J6" s="46">
        <v>0</v>
      </c>
      <c r="K6" s="46">
        <v>52</v>
      </c>
    </row>
    <row r="7" spans="1:11">
      <c r="A7" s="46" t="s">
        <v>6</v>
      </c>
      <c r="B7" s="46" t="s">
        <v>398</v>
      </c>
      <c r="C7" s="46"/>
      <c r="D7" s="46">
        <v>2025</v>
      </c>
      <c r="E7" s="46">
        <v>0</v>
      </c>
      <c r="F7" s="46">
        <v>25136.150152942701</v>
      </c>
      <c r="G7" s="46">
        <v>0.1</v>
      </c>
      <c r="H7" s="46">
        <v>51.2</v>
      </c>
      <c r="I7" s="46">
        <v>27929.055725491889</v>
      </c>
      <c r="J7" s="46">
        <v>0</v>
      </c>
      <c r="K7" s="46">
        <v>52</v>
      </c>
    </row>
    <row r="8" spans="1:11">
      <c r="A8" s="46" t="s">
        <v>6</v>
      </c>
      <c r="B8" s="46" t="s">
        <v>398</v>
      </c>
      <c r="C8" s="46"/>
      <c r="D8" s="46">
        <v>2026</v>
      </c>
      <c r="E8" s="46">
        <v>0</v>
      </c>
      <c r="F8" s="46">
        <v>26237.446070149454</v>
      </c>
      <c r="G8" s="46">
        <v>0.1</v>
      </c>
      <c r="H8" s="46">
        <v>51.2</v>
      </c>
      <c r="I8" s="46">
        <v>29152.717855721614</v>
      </c>
      <c r="J8" s="46">
        <v>0</v>
      </c>
      <c r="K8" s="46">
        <v>52</v>
      </c>
    </row>
    <row r="9" spans="1:11">
      <c r="A9" s="46" t="s">
        <v>6</v>
      </c>
      <c r="B9" s="46" t="s">
        <v>398</v>
      </c>
      <c r="C9" s="46"/>
      <c r="D9" s="46">
        <v>2027</v>
      </c>
      <c r="E9" s="46">
        <v>0</v>
      </c>
      <c r="F9" s="46">
        <v>27383.880074665198</v>
      </c>
      <c r="G9" s="46">
        <v>0.1</v>
      </c>
      <c r="H9" s="46">
        <v>51.2</v>
      </c>
      <c r="I9" s="46">
        <v>30426.53341629466</v>
      </c>
      <c r="J9" s="46">
        <v>0</v>
      </c>
      <c r="K9" s="46">
        <v>52</v>
      </c>
    </row>
    <row r="10" spans="1:11">
      <c r="A10" s="46" t="s">
        <v>6</v>
      </c>
      <c r="B10" s="46" t="s">
        <v>398</v>
      </c>
      <c r="C10" s="46"/>
      <c r="D10" s="46">
        <v>2028</v>
      </c>
      <c r="E10" s="46">
        <v>0</v>
      </c>
      <c r="F10" s="46">
        <v>28580.407023562642</v>
      </c>
      <c r="G10" s="46">
        <v>0.1</v>
      </c>
      <c r="H10" s="46">
        <v>51.2</v>
      </c>
      <c r="I10" s="46">
        <v>31756.007803958488</v>
      </c>
      <c r="J10" s="46">
        <v>0</v>
      </c>
      <c r="K10" s="46">
        <v>52</v>
      </c>
    </row>
    <row r="11" spans="1:11">
      <c r="A11" s="46" t="s">
        <v>6</v>
      </c>
      <c r="B11" s="46" t="s">
        <v>398</v>
      </c>
      <c r="C11" s="46"/>
      <c r="D11" s="46">
        <v>2029</v>
      </c>
      <c r="E11" s="46">
        <v>0</v>
      </c>
      <c r="F11" s="46">
        <v>29829.215706660434</v>
      </c>
      <c r="G11" s="46">
        <v>0.1</v>
      </c>
      <c r="H11" s="46">
        <v>51.2</v>
      </c>
      <c r="I11" s="46">
        <v>33143.573007400482</v>
      </c>
      <c r="J11" s="46">
        <v>0</v>
      </c>
      <c r="K11" s="46">
        <v>52</v>
      </c>
    </row>
    <row r="12" spans="1:11">
      <c r="A12" s="46" t="s">
        <v>6</v>
      </c>
      <c r="B12" s="46" t="s">
        <v>398</v>
      </c>
      <c r="C12" s="46"/>
      <c r="D12" s="46">
        <v>2030</v>
      </c>
      <c r="E12" s="46">
        <v>0</v>
      </c>
      <c r="F12" s="46">
        <v>31132.590552013891</v>
      </c>
      <c r="G12" s="46">
        <v>0.1</v>
      </c>
      <c r="H12" s="46">
        <v>51.2</v>
      </c>
      <c r="I12" s="46">
        <v>34591.767280015432</v>
      </c>
      <c r="J12" s="46">
        <v>0</v>
      </c>
      <c r="K12" s="46">
        <v>52</v>
      </c>
    </row>
    <row r="13" spans="1:11">
      <c r="A13" s="46" t="s">
        <v>6</v>
      </c>
      <c r="B13" s="46" t="s">
        <v>398</v>
      </c>
      <c r="C13" s="46"/>
      <c r="D13" s="46">
        <v>2031</v>
      </c>
      <c r="E13" s="46">
        <v>0</v>
      </c>
      <c r="F13" s="46">
        <v>32492.915804786902</v>
      </c>
      <c r="G13" s="46">
        <v>0.1</v>
      </c>
      <c r="H13" s="46">
        <v>51.2</v>
      </c>
      <c r="I13" s="46">
        <v>36103.239783096556</v>
      </c>
      <c r="J13" s="46">
        <v>0</v>
      </c>
      <c r="K13" s="46">
        <v>52</v>
      </c>
    </row>
    <row r="14" spans="1:11">
      <c r="A14" s="46" t="s">
        <v>10</v>
      </c>
      <c r="B14" s="46" t="s">
        <v>398</v>
      </c>
      <c r="C14" s="46"/>
      <c r="D14" s="46">
        <v>2020</v>
      </c>
      <c r="E14" s="46">
        <v>0</v>
      </c>
      <c r="F14" s="46">
        <v>3494.3578580033732</v>
      </c>
      <c r="G14" s="46">
        <v>0</v>
      </c>
      <c r="H14" s="46">
        <v>0</v>
      </c>
      <c r="I14" s="46">
        <v>3494.3578580033732</v>
      </c>
      <c r="J14" s="46">
        <v>0</v>
      </c>
      <c r="K14" s="46">
        <v>0</v>
      </c>
    </row>
    <row r="15" spans="1:11">
      <c r="A15" s="46" t="s">
        <v>10</v>
      </c>
      <c r="B15" s="46" t="s">
        <v>398</v>
      </c>
      <c r="C15" s="46"/>
      <c r="D15" s="46">
        <v>2021</v>
      </c>
      <c r="E15" s="46">
        <v>0</v>
      </c>
      <c r="F15" s="46">
        <v>3576.8978579354234</v>
      </c>
      <c r="G15" s="46">
        <v>0</v>
      </c>
      <c r="H15" s="46">
        <v>0</v>
      </c>
      <c r="I15" s="46">
        <v>3576.8978579354234</v>
      </c>
      <c r="J15" s="46">
        <v>0</v>
      </c>
      <c r="K15" s="46">
        <v>0</v>
      </c>
    </row>
    <row r="16" spans="1:11">
      <c r="A16" s="46" t="s">
        <v>10</v>
      </c>
      <c r="B16" s="46" t="s">
        <v>398</v>
      </c>
      <c r="C16" s="46"/>
      <c r="D16" s="46">
        <v>2022</v>
      </c>
      <c r="E16" s="46">
        <v>0</v>
      </c>
      <c r="F16" s="46">
        <v>3659.9311611943544</v>
      </c>
      <c r="G16" s="46">
        <v>0</v>
      </c>
      <c r="H16" s="46">
        <v>0</v>
      </c>
      <c r="I16" s="46">
        <v>3659.9311611943544</v>
      </c>
      <c r="J16" s="46">
        <v>0</v>
      </c>
      <c r="K16" s="46">
        <v>0</v>
      </c>
    </row>
    <row r="17" spans="1:11">
      <c r="A17" s="46" t="s">
        <v>10</v>
      </c>
      <c r="B17" s="46" t="s">
        <v>398</v>
      </c>
      <c r="C17" s="46"/>
      <c r="D17" s="46">
        <v>2023</v>
      </c>
      <c r="E17" s="46">
        <v>0</v>
      </c>
      <c r="F17" s="46">
        <v>3746.1057306588614</v>
      </c>
      <c r="G17" s="46">
        <v>0</v>
      </c>
      <c r="H17" s="46">
        <v>0</v>
      </c>
      <c r="I17" s="46">
        <v>3746.1057306588614</v>
      </c>
      <c r="J17" s="46">
        <v>0</v>
      </c>
      <c r="K17" s="46">
        <v>0</v>
      </c>
    </row>
    <row r="18" spans="1:11">
      <c r="A18" s="46" t="s">
        <v>10</v>
      </c>
      <c r="B18" s="46" t="s">
        <v>398</v>
      </c>
      <c r="C18" s="46"/>
      <c r="D18" s="46">
        <v>2024</v>
      </c>
      <c r="E18" s="46">
        <v>0</v>
      </c>
      <c r="F18" s="46">
        <v>3833.6786883937298</v>
      </c>
      <c r="G18" s="46">
        <v>0</v>
      </c>
      <c r="H18" s="46">
        <v>0</v>
      </c>
      <c r="I18" s="46">
        <v>3833.6786883937298</v>
      </c>
      <c r="J18" s="46">
        <v>0</v>
      </c>
      <c r="K18" s="46">
        <v>0</v>
      </c>
    </row>
    <row r="19" spans="1:11">
      <c r="A19" s="46" t="s">
        <v>10</v>
      </c>
      <c r="B19" s="46" t="s">
        <v>398</v>
      </c>
      <c r="C19" s="46"/>
      <c r="D19" s="46">
        <v>2025</v>
      </c>
      <c r="E19" s="46">
        <v>0</v>
      </c>
      <c r="F19" s="46">
        <v>3923.210754367406</v>
      </c>
      <c r="G19" s="46">
        <v>0</v>
      </c>
      <c r="H19" s="46">
        <v>0</v>
      </c>
      <c r="I19" s="46">
        <v>3923.210754367406</v>
      </c>
      <c r="J19" s="46">
        <v>0</v>
      </c>
      <c r="K19" s="46">
        <v>0</v>
      </c>
    </row>
    <row r="20" spans="1:11">
      <c r="A20" s="46" t="s">
        <v>10</v>
      </c>
      <c r="B20" s="46" t="s">
        <v>398</v>
      </c>
      <c r="C20" s="46"/>
      <c r="D20" s="46">
        <v>2026</v>
      </c>
      <c r="E20" s="46">
        <v>0</v>
      </c>
      <c r="F20" s="46">
        <v>4015.2984562764232</v>
      </c>
      <c r="G20" s="46">
        <v>0</v>
      </c>
      <c r="H20" s="46">
        <v>0</v>
      </c>
      <c r="I20" s="46">
        <v>4015.2984562764232</v>
      </c>
      <c r="J20" s="46">
        <v>0</v>
      </c>
      <c r="K20" s="46">
        <v>0</v>
      </c>
    </row>
    <row r="21" spans="1:11">
      <c r="A21" s="46" t="s">
        <v>10</v>
      </c>
      <c r="B21" s="46" t="s">
        <v>398</v>
      </c>
      <c r="C21" s="46"/>
      <c r="D21" s="46">
        <v>2027</v>
      </c>
      <c r="E21" s="46">
        <v>0</v>
      </c>
      <c r="F21" s="46">
        <v>4111.0234439416818</v>
      </c>
      <c r="G21" s="46">
        <v>0</v>
      </c>
      <c r="H21" s="46">
        <v>0</v>
      </c>
      <c r="I21" s="46">
        <v>4111.0234439416818</v>
      </c>
      <c r="J21" s="46">
        <v>0</v>
      </c>
      <c r="K21" s="46">
        <v>0</v>
      </c>
    </row>
    <row r="22" spans="1:11">
      <c r="A22" s="46" t="s">
        <v>10</v>
      </c>
      <c r="B22" s="46" t="s">
        <v>398</v>
      </c>
      <c r="C22" s="46"/>
      <c r="D22" s="46">
        <v>2028</v>
      </c>
      <c r="E22" s="46">
        <v>0</v>
      </c>
      <c r="F22" s="46">
        <v>4207.5951387093437</v>
      </c>
      <c r="G22" s="46">
        <v>0</v>
      </c>
      <c r="H22" s="46">
        <v>0</v>
      </c>
      <c r="I22" s="46">
        <v>4207.5951387093437</v>
      </c>
      <c r="J22" s="46">
        <v>0</v>
      </c>
      <c r="K22" s="46">
        <v>0</v>
      </c>
    </row>
    <row r="23" spans="1:11">
      <c r="A23" s="46" t="s">
        <v>10</v>
      </c>
      <c r="B23" s="46" t="s">
        <v>398</v>
      </c>
      <c r="C23" s="46"/>
      <c r="D23" s="46">
        <v>2029</v>
      </c>
      <c r="E23" s="46">
        <v>0</v>
      </c>
      <c r="F23" s="46">
        <v>4304.9860993165357</v>
      </c>
      <c r="G23" s="46">
        <v>0</v>
      </c>
      <c r="H23" s="46">
        <v>0</v>
      </c>
      <c r="I23" s="46">
        <v>4304.9860993165357</v>
      </c>
      <c r="J23" s="46">
        <v>0</v>
      </c>
      <c r="K23" s="46">
        <v>0</v>
      </c>
    </row>
    <row r="24" spans="1:11">
      <c r="A24" s="46" t="s">
        <v>10</v>
      </c>
      <c r="B24" s="46" t="s">
        <v>398</v>
      </c>
      <c r="C24" s="46"/>
      <c r="D24" s="46">
        <v>2030</v>
      </c>
      <c r="E24" s="46">
        <v>0</v>
      </c>
      <c r="F24" s="46">
        <v>4403.168824805377</v>
      </c>
      <c r="G24" s="46">
        <v>0</v>
      </c>
      <c r="H24" s="46">
        <v>0</v>
      </c>
      <c r="I24" s="46">
        <v>4403.168824805377</v>
      </c>
      <c r="J24" s="46">
        <v>0</v>
      </c>
      <c r="K24" s="46">
        <v>0</v>
      </c>
    </row>
    <row r="25" spans="1:11">
      <c r="A25" s="46" t="s">
        <v>10</v>
      </c>
      <c r="B25" s="46" t="s">
        <v>398</v>
      </c>
      <c r="C25" s="46"/>
      <c r="D25" s="46">
        <v>2031</v>
      </c>
      <c r="E25" s="46">
        <v>0</v>
      </c>
      <c r="F25" s="46">
        <v>4502.1157842307348</v>
      </c>
      <c r="G25" s="46">
        <v>0</v>
      </c>
      <c r="H25" s="46">
        <v>0</v>
      </c>
      <c r="I25" s="46">
        <v>4502.1157842307348</v>
      </c>
      <c r="J25" s="46">
        <v>0</v>
      </c>
      <c r="K25" s="46">
        <v>0</v>
      </c>
    </row>
    <row r="26" spans="1:11">
      <c r="A26" s="46" t="s">
        <v>9</v>
      </c>
      <c r="B26" s="46" t="s">
        <v>398</v>
      </c>
      <c r="C26" s="46"/>
      <c r="D26" s="46">
        <v>2020</v>
      </c>
      <c r="E26" s="46">
        <v>0</v>
      </c>
      <c r="F26" s="46">
        <v>34767.524479267442</v>
      </c>
      <c r="G26" s="46">
        <v>0</v>
      </c>
      <c r="H26" s="46">
        <v>0</v>
      </c>
      <c r="I26" s="46">
        <v>34767.524479267442</v>
      </c>
      <c r="J26" s="46">
        <v>0</v>
      </c>
      <c r="K26" s="46">
        <v>0</v>
      </c>
    </row>
    <row r="27" spans="1:11">
      <c r="A27" s="46" t="s">
        <v>9</v>
      </c>
      <c r="B27" s="46" t="s">
        <v>398</v>
      </c>
      <c r="C27" s="46"/>
      <c r="D27" s="46">
        <v>2021</v>
      </c>
      <c r="E27" s="46">
        <v>0</v>
      </c>
      <c r="F27" s="46">
        <v>35234.01612397367</v>
      </c>
      <c r="G27" s="46">
        <v>0</v>
      </c>
      <c r="H27" s="46">
        <v>0</v>
      </c>
      <c r="I27" s="46">
        <v>35234.01612397367</v>
      </c>
      <c r="J27" s="46">
        <v>0</v>
      </c>
      <c r="K27" s="46">
        <v>0</v>
      </c>
    </row>
    <row r="28" spans="1:11">
      <c r="A28" s="46" t="s">
        <v>9</v>
      </c>
      <c r="B28" s="46" t="s">
        <v>398</v>
      </c>
      <c r="C28" s="46"/>
      <c r="D28" s="46">
        <v>2022</v>
      </c>
      <c r="E28" s="46">
        <v>0</v>
      </c>
      <c r="F28" s="46">
        <v>35717.752703644779</v>
      </c>
      <c r="G28" s="46">
        <v>0</v>
      </c>
      <c r="H28" s="46">
        <v>0</v>
      </c>
      <c r="I28" s="46">
        <v>35717.752703644779</v>
      </c>
      <c r="J28" s="46">
        <v>0</v>
      </c>
      <c r="K28" s="46">
        <v>0</v>
      </c>
    </row>
    <row r="29" spans="1:11">
      <c r="A29" s="46" t="s">
        <v>9</v>
      </c>
      <c r="B29" s="46" t="s">
        <v>398</v>
      </c>
      <c r="C29" s="46"/>
      <c r="D29" s="46">
        <v>2023</v>
      </c>
      <c r="E29" s="46">
        <v>0</v>
      </c>
      <c r="F29" s="46">
        <v>36188.119143740747</v>
      </c>
      <c r="G29" s="46">
        <v>0</v>
      </c>
      <c r="H29" s="46">
        <v>0</v>
      </c>
      <c r="I29" s="46">
        <v>36188.119143740747</v>
      </c>
      <c r="J29" s="46">
        <v>0</v>
      </c>
      <c r="K29" s="46">
        <v>0</v>
      </c>
    </row>
    <row r="30" spans="1:11">
      <c r="A30" s="46" t="s">
        <v>9</v>
      </c>
      <c r="B30" s="46" t="s">
        <v>398</v>
      </c>
      <c r="C30" s="46"/>
      <c r="D30" s="46">
        <v>2024</v>
      </c>
      <c r="E30" s="46">
        <v>0</v>
      </c>
      <c r="F30" s="46">
        <v>36686.91237881624</v>
      </c>
      <c r="G30" s="46">
        <v>0</v>
      </c>
      <c r="H30" s="46">
        <v>0</v>
      </c>
      <c r="I30" s="46">
        <v>36686.91237881624</v>
      </c>
      <c r="J30" s="46">
        <v>0</v>
      </c>
      <c r="K30" s="46">
        <v>0</v>
      </c>
    </row>
    <row r="31" spans="1:11">
      <c r="A31" s="46" t="s">
        <v>9</v>
      </c>
      <c r="B31" s="46" t="s">
        <v>398</v>
      </c>
      <c r="C31" s="46"/>
      <c r="D31" s="46">
        <v>2025</v>
      </c>
      <c r="E31" s="46">
        <v>0</v>
      </c>
      <c r="F31" s="46">
        <v>37171.709675763545</v>
      </c>
      <c r="G31" s="46">
        <v>0</v>
      </c>
      <c r="H31" s="46">
        <v>0</v>
      </c>
      <c r="I31" s="46">
        <v>37171.709675763545</v>
      </c>
      <c r="J31" s="46">
        <v>0</v>
      </c>
      <c r="K31" s="46">
        <v>0</v>
      </c>
    </row>
    <row r="32" spans="1:11">
      <c r="A32" s="46" t="s">
        <v>9</v>
      </c>
      <c r="B32" s="46" t="s">
        <v>398</v>
      </c>
      <c r="C32" s="46"/>
      <c r="D32" s="46">
        <v>2026</v>
      </c>
      <c r="E32" s="46">
        <v>0</v>
      </c>
      <c r="F32" s="46">
        <v>37675.064498997897</v>
      </c>
      <c r="G32" s="46">
        <v>0</v>
      </c>
      <c r="H32" s="46">
        <v>0</v>
      </c>
      <c r="I32" s="46">
        <v>37675.064498997897</v>
      </c>
      <c r="J32" s="46">
        <v>0</v>
      </c>
      <c r="K32" s="46">
        <v>0</v>
      </c>
    </row>
    <row r="33" spans="1:11">
      <c r="A33" s="46" t="s">
        <v>9</v>
      </c>
      <c r="B33" s="46" t="s">
        <v>398</v>
      </c>
      <c r="C33" s="46"/>
      <c r="D33" s="46">
        <v>2027</v>
      </c>
      <c r="E33" s="46">
        <v>0</v>
      </c>
      <c r="F33" s="46">
        <v>38193.576650438154</v>
      </c>
      <c r="G33" s="46">
        <v>0</v>
      </c>
      <c r="H33" s="46">
        <v>0</v>
      </c>
      <c r="I33" s="46">
        <v>38193.576650438154</v>
      </c>
      <c r="J33" s="46">
        <v>0</v>
      </c>
      <c r="K33" s="46">
        <v>0</v>
      </c>
    </row>
    <row r="34" spans="1:11">
      <c r="A34" s="46" t="s">
        <v>9</v>
      </c>
      <c r="B34" s="46" t="s">
        <v>398</v>
      </c>
      <c r="C34" s="46"/>
      <c r="D34" s="46">
        <v>2028</v>
      </c>
      <c r="E34" s="46">
        <v>0</v>
      </c>
      <c r="F34" s="46">
        <v>38714.092179236759</v>
      </c>
      <c r="G34" s="46">
        <v>0</v>
      </c>
      <c r="H34" s="46">
        <v>0</v>
      </c>
      <c r="I34" s="46">
        <v>38714.092179236759</v>
      </c>
      <c r="J34" s="46">
        <v>0</v>
      </c>
      <c r="K34" s="46">
        <v>0</v>
      </c>
    </row>
    <row r="35" spans="1:11">
      <c r="A35" s="46" t="s">
        <v>9</v>
      </c>
      <c r="B35" s="46" t="s">
        <v>398</v>
      </c>
      <c r="C35" s="46"/>
      <c r="D35" s="46">
        <v>2029</v>
      </c>
      <c r="E35" s="46">
        <v>0</v>
      </c>
      <c r="F35" s="46">
        <v>39242.715647326535</v>
      </c>
      <c r="G35" s="46">
        <v>0</v>
      </c>
      <c r="H35" s="46">
        <v>0</v>
      </c>
      <c r="I35" s="46">
        <v>39242.715647326535</v>
      </c>
      <c r="J35" s="46">
        <v>0</v>
      </c>
      <c r="K35" s="46">
        <v>0</v>
      </c>
    </row>
    <row r="36" spans="1:11">
      <c r="A36" s="46" t="s">
        <v>9</v>
      </c>
      <c r="B36" s="46" t="s">
        <v>398</v>
      </c>
      <c r="C36" s="46"/>
      <c r="D36" s="46">
        <v>2030</v>
      </c>
      <c r="E36" s="46">
        <v>0</v>
      </c>
      <c r="F36" s="46">
        <v>39779.527308250777</v>
      </c>
      <c r="G36" s="46">
        <v>0</v>
      </c>
      <c r="H36" s="46">
        <v>0</v>
      </c>
      <c r="I36" s="46">
        <v>39779.527308250777</v>
      </c>
      <c r="J36" s="46">
        <v>0</v>
      </c>
      <c r="K36" s="46">
        <v>0</v>
      </c>
    </row>
    <row r="37" spans="1:11">
      <c r="A37" s="46" t="s">
        <v>9</v>
      </c>
      <c r="B37" s="46" t="s">
        <v>398</v>
      </c>
      <c r="C37" s="46"/>
      <c r="D37" s="46">
        <v>2031</v>
      </c>
      <c r="E37" s="46">
        <v>0</v>
      </c>
      <c r="F37" s="46">
        <v>40324.607171760465</v>
      </c>
      <c r="G37" s="46">
        <v>0</v>
      </c>
      <c r="H37" s="46">
        <v>0</v>
      </c>
      <c r="I37" s="46">
        <v>40324.607171760465</v>
      </c>
      <c r="J37" s="46">
        <v>0</v>
      </c>
      <c r="K37" s="46">
        <v>0</v>
      </c>
    </row>
    <row r="38" spans="1:11">
      <c r="A38" s="46" t="s">
        <v>8</v>
      </c>
      <c r="B38" s="46" t="s">
        <v>398</v>
      </c>
      <c r="C38" s="46"/>
      <c r="D38" s="46">
        <v>2020</v>
      </c>
      <c r="E38" s="46">
        <v>0.36046081315680056</v>
      </c>
      <c r="F38" s="46">
        <v>7824.4999801156382</v>
      </c>
      <c r="G38" s="46">
        <v>8.7499999999999994E-2</v>
      </c>
      <c r="H38" s="46">
        <v>0</v>
      </c>
      <c r="I38" s="46">
        <v>19375.903087945066</v>
      </c>
      <c r="J38" s="46">
        <v>2.5000000000000001E-2</v>
      </c>
      <c r="K38" s="46">
        <v>0</v>
      </c>
    </row>
    <row r="39" spans="1:11">
      <c r="A39" s="46" t="s">
        <v>8</v>
      </c>
      <c r="B39" s="46" t="s">
        <v>398</v>
      </c>
      <c r="C39" s="46"/>
      <c r="D39" s="46">
        <v>2021</v>
      </c>
      <c r="E39" s="46">
        <v>0.36046081315680056</v>
      </c>
      <c r="F39" s="46">
        <v>8215.7249791214199</v>
      </c>
      <c r="G39" s="46">
        <v>8.7499999999999994E-2</v>
      </c>
      <c r="H39" s="46">
        <v>0</v>
      </c>
      <c r="I39" s="46">
        <v>14712.769078112953</v>
      </c>
      <c r="J39" s="46">
        <v>2.5000000000000001E-2</v>
      </c>
      <c r="K39" s="46">
        <v>0</v>
      </c>
    </row>
    <row r="40" spans="1:11">
      <c r="A40" s="46" t="s">
        <v>8</v>
      </c>
      <c r="B40" s="46" t="s">
        <v>398</v>
      </c>
      <c r="C40" s="46"/>
      <c r="D40" s="46">
        <v>2022</v>
      </c>
      <c r="E40" s="46">
        <v>0.36046081315680056</v>
      </c>
      <c r="F40" s="46">
        <v>8626.511228077492</v>
      </c>
      <c r="G40" s="46">
        <v>8.7499999999999994E-2</v>
      </c>
      <c r="H40" s="46">
        <v>0</v>
      </c>
      <c r="I40" s="46">
        <v>17022.893416945019</v>
      </c>
      <c r="J40" s="46">
        <v>2.5000000000000001E-2</v>
      </c>
      <c r="K40" s="46">
        <v>0</v>
      </c>
    </row>
    <row r="41" spans="1:11">
      <c r="A41" s="46" t="s">
        <v>8</v>
      </c>
      <c r="B41" s="46" t="s">
        <v>398</v>
      </c>
      <c r="C41" s="46"/>
      <c r="D41" s="46">
        <v>2023</v>
      </c>
      <c r="E41" s="46">
        <v>0.36046081315680056</v>
      </c>
      <c r="F41" s="46">
        <v>9057.8367894813673</v>
      </c>
      <c r="G41" s="46">
        <v>8.7499999999999994E-2</v>
      </c>
      <c r="H41" s="46">
        <v>0</v>
      </c>
      <c r="I41" s="46">
        <v>17477.583859529212</v>
      </c>
      <c r="J41" s="46">
        <v>2.5000000000000001E-2</v>
      </c>
      <c r="K41" s="46">
        <v>0</v>
      </c>
    </row>
    <row r="42" spans="1:11">
      <c r="A42" s="46" t="s">
        <v>8</v>
      </c>
      <c r="B42" s="46" t="s">
        <v>398</v>
      </c>
      <c r="C42" s="46"/>
      <c r="D42" s="46">
        <v>2024</v>
      </c>
      <c r="E42" s="46">
        <v>0.36046081315680056</v>
      </c>
      <c r="F42" s="46">
        <v>9510.7286289554359</v>
      </c>
      <c r="G42" s="46">
        <v>8.7499999999999994E-2</v>
      </c>
      <c r="H42" s="46">
        <v>0</v>
      </c>
      <c r="I42" s="46">
        <v>17943.652762449987</v>
      </c>
      <c r="J42" s="46">
        <v>2.5000000000000001E-2</v>
      </c>
      <c r="K42" s="46">
        <v>0</v>
      </c>
    </row>
    <row r="43" spans="1:11">
      <c r="A43" s="46" t="s">
        <v>8</v>
      </c>
      <c r="B43" s="46" t="s">
        <v>398</v>
      </c>
      <c r="C43" s="46"/>
      <c r="D43" s="46">
        <v>2025</v>
      </c>
      <c r="E43" s="46">
        <v>0.36046081315680056</v>
      </c>
      <c r="F43" s="46">
        <v>9986.2650604032078</v>
      </c>
      <c r="G43" s="46">
        <v>8.7499999999999994E-2</v>
      </c>
      <c r="H43" s="46">
        <v>0</v>
      </c>
      <c r="I43" s="46">
        <v>18421.37338794379</v>
      </c>
      <c r="J43" s="46">
        <v>2.5000000000000001E-2</v>
      </c>
      <c r="K43" s="46">
        <v>0</v>
      </c>
    </row>
    <row r="44" spans="1:11">
      <c r="A44" s="46" t="s">
        <v>8</v>
      </c>
      <c r="B44" s="46" t="s">
        <v>398</v>
      </c>
      <c r="C44" s="46"/>
      <c r="D44" s="46">
        <v>2026</v>
      </c>
      <c r="E44" s="46">
        <v>0.36046081315680056</v>
      </c>
      <c r="F44" s="46">
        <v>10485.578313423368</v>
      </c>
      <c r="G44" s="46">
        <v>8.7499999999999994E-2</v>
      </c>
      <c r="H44" s="46">
        <v>0</v>
      </c>
      <c r="I44" s="46">
        <v>18911.025377352358</v>
      </c>
      <c r="J44" s="46">
        <v>2.5000000000000001E-2</v>
      </c>
      <c r="K44" s="46">
        <v>0</v>
      </c>
    </row>
    <row r="45" spans="1:11">
      <c r="A45" s="46" t="s">
        <v>8</v>
      </c>
      <c r="B45" s="46" t="s">
        <v>398</v>
      </c>
      <c r="C45" s="46"/>
      <c r="D45" s="46">
        <v>2027</v>
      </c>
      <c r="E45" s="46">
        <v>0.36046081315680056</v>
      </c>
      <c r="F45" s="46">
        <v>11009.857229094538</v>
      </c>
      <c r="G45" s="46">
        <v>8.7499999999999994E-2</v>
      </c>
      <c r="H45" s="46">
        <v>0</v>
      </c>
      <c r="I45" s="46">
        <v>19506.848829018854</v>
      </c>
      <c r="J45" s="46">
        <v>2.5000000000000001E-2</v>
      </c>
      <c r="K45" s="46">
        <v>0</v>
      </c>
    </row>
    <row r="46" spans="1:11">
      <c r="A46" s="46" t="s">
        <v>8</v>
      </c>
      <c r="B46" s="46" t="s">
        <v>398</v>
      </c>
      <c r="C46" s="46"/>
      <c r="D46" s="46">
        <v>2028</v>
      </c>
      <c r="E46" s="46">
        <v>0.36046081315680056</v>
      </c>
      <c r="F46" s="46">
        <v>11560.350090549266</v>
      </c>
      <c r="G46" s="46">
        <v>8.7499999999999994E-2</v>
      </c>
      <c r="H46" s="46">
        <v>0</v>
      </c>
      <c r="I46" s="46">
        <v>20121.444694051203</v>
      </c>
      <c r="J46" s="46">
        <v>2.5000000000000001E-2</v>
      </c>
      <c r="K46" s="46">
        <v>0</v>
      </c>
    </row>
    <row r="47" spans="1:11">
      <c r="A47" s="46" t="s">
        <v>8</v>
      </c>
      <c r="B47" s="46" t="s">
        <v>398</v>
      </c>
      <c r="C47" s="46"/>
      <c r="D47" s="46">
        <v>2029</v>
      </c>
      <c r="E47" s="46">
        <v>0.36046081315680056</v>
      </c>
      <c r="F47" s="46">
        <v>12138.36759507673</v>
      </c>
      <c r="G47" s="46">
        <v>8.7499999999999994E-2</v>
      </c>
      <c r="H47" s="46">
        <v>0</v>
      </c>
      <c r="I47" s="46">
        <v>20755.40442869805</v>
      </c>
      <c r="J47" s="46">
        <v>2.5000000000000001E-2</v>
      </c>
      <c r="K47" s="46">
        <v>0</v>
      </c>
    </row>
    <row r="48" spans="1:11">
      <c r="A48" s="46" t="s">
        <v>8</v>
      </c>
      <c r="B48" s="46" t="s">
        <v>398</v>
      </c>
      <c r="C48" s="46"/>
      <c r="D48" s="46">
        <v>2030</v>
      </c>
      <c r="E48" s="46">
        <v>0.36046081315680056</v>
      </c>
      <c r="F48" s="46">
        <v>12745.285974830567</v>
      </c>
      <c r="G48" s="46">
        <v>8.7499999999999994E-2</v>
      </c>
      <c r="H48" s="46">
        <v>0</v>
      </c>
      <c r="I48" s="46">
        <v>21409.33812402538</v>
      </c>
      <c r="J48" s="46">
        <v>2.5000000000000001E-2</v>
      </c>
      <c r="K48" s="46">
        <v>0</v>
      </c>
    </row>
    <row r="49" spans="1:11">
      <c r="A49" s="46" t="s">
        <v>8</v>
      </c>
      <c r="B49" s="46" t="s">
        <v>398</v>
      </c>
      <c r="C49" s="46"/>
      <c r="D49" s="46">
        <v>2031</v>
      </c>
      <c r="E49" s="46">
        <v>0.36046081315680056</v>
      </c>
      <c r="F49" s="46">
        <v>13382.550273572097</v>
      </c>
      <c r="G49" s="46">
        <v>8.7499999999999994E-2</v>
      </c>
      <c r="H49" s="46">
        <v>0</v>
      </c>
      <c r="I49" s="46">
        <v>22083.875093037572</v>
      </c>
      <c r="J49" s="46">
        <v>2.5000000000000001E-2</v>
      </c>
      <c r="K49" s="46">
        <v>0</v>
      </c>
    </row>
    <row r="50" spans="1:11">
      <c r="A50" s="46" t="s">
        <v>17</v>
      </c>
      <c r="B50" s="46" t="s">
        <v>398</v>
      </c>
      <c r="C50" s="46" t="s">
        <v>18</v>
      </c>
      <c r="D50" s="46">
        <v>2020</v>
      </c>
      <c r="E50" s="46">
        <v>0</v>
      </c>
      <c r="F50" s="46">
        <v>1157.5416897280861</v>
      </c>
      <c r="G50" s="46">
        <v>0.2208</v>
      </c>
      <c r="H50" s="46">
        <v>400</v>
      </c>
      <c r="I50" s="46">
        <v>4493.1282858430641</v>
      </c>
      <c r="J50" s="46">
        <v>0.15000000000000002</v>
      </c>
      <c r="K50" s="46">
        <v>400</v>
      </c>
    </row>
    <row r="51" spans="1:11">
      <c r="A51" s="46" t="s">
        <v>17</v>
      </c>
      <c r="B51" s="46" t="s">
        <v>398</v>
      </c>
      <c r="C51" s="46" t="s">
        <v>19</v>
      </c>
      <c r="D51" s="46">
        <v>2020</v>
      </c>
      <c r="E51" s="46">
        <v>0</v>
      </c>
      <c r="F51" s="46">
        <v>1157.5416897280861</v>
      </c>
      <c r="G51" s="46">
        <v>0.2208</v>
      </c>
      <c r="H51" s="46">
        <v>400</v>
      </c>
      <c r="I51" s="46">
        <v>4493.1282858430641</v>
      </c>
      <c r="J51" s="46">
        <v>0.15000000000000002</v>
      </c>
      <c r="K51" s="46">
        <v>400</v>
      </c>
    </row>
    <row r="52" spans="1:11">
      <c r="A52" s="46" t="s">
        <v>17</v>
      </c>
      <c r="B52" s="46" t="s">
        <v>398</v>
      </c>
      <c r="C52" s="46" t="s">
        <v>20</v>
      </c>
      <c r="D52" s="46">
        <v>2020</v>
      </c>
      <c r="E52" s="46">
        <v>0</v>
      </c>
      <c r="F52" s="46">
        <v>1157.5416897280861</v>
      </c>
      <c r="G52" s="46">
        <v>0.2208</v>
      </c>
      <c r="H52" s="46">
        <v>400</v>
      </c>
      <c r="I52" s="46">
        <v>4493.1282858430641</v>
      </c>
      <c r="J52" s="46">
        <v>0.15000000000000002</v>
      </c>
      <c r="K52" s="46">
        <v>400</v>
      </c>
    </row>
    <row r="53" spans="1:11">
      <c r="A53" s="46" t="s">
        <v>17</v>
      </c>
      <c r="B53" s="46" t="s">
        <v>398</v>
      </c>
      <c r="C53" s="46" t="s">
        <v>21</v>
      </c>
      <c r="D53" s="46">
        <v>2020</v>
      </c>
      <c r="E53" s="46">
        <v>0</v>
      </c>
      <c r="F53" s="46">
        <v>1157.5416897280861</v>
      </c>
      <c r="G53" s="46">
        <v>0.2208</v>
      </c>
      <c r="H53" s="46">
        <v>400</v>
      </c>
      <c r="I53" s="46">
        <v>4493.1282858430641</v>
      </c>
      <c r="J53" s="46">
        <v>0.15000000000000002</v>
      </c>
      <c r="K53" s="46">
        <v>400</v>
      </c>
    </row>
    <row r="54" spans="1:11">
      <c r="A54" s="46" t="s">
        <v>17</v>
      </c>
      <c r="B54" s="46" t="s">
        <v>398</v>
      </c>
      <c r="C54" s="46" t="s">
        <v>22</v>
      </c>
      <c r="D54" s="46">
        <v>2020</v>
      </c>
      <c r="E54" s="46">
        <v>0</v>
      </c>
      <c r="F54" s="46">
        <v>1157.5416897280861</v>
      </c>
      <c r="G54" s="46">
        <v>0.2208</v>
      </c>
      <c r="H54" s="46">
        <v>400</v>
      </c>
      <c r="I54" s="46">
        <v>4493.1282858430641</v>
      </c>
      <c r="J54" s="46">
        <v>0.15000000000000002</v>
      </c>
      <c r="K54" s="46">
        <v>400</v>
      </c>
    </row>
    <row r="55" spans="1:11">
      <c r="A55" s="46" t="s">
        <v>17</v>
      </c>
      <c r="B55" s="46" t="s">
        <v>398</v>
      </c>
      <c r="C55" s="46" t="s">
        <v>18</v>
      </c>
      <c r="D55" s="46">
        <v>2021</v>
      </c>
      <c r="E55" s="46">
        <v>0</v>
      </c>
      <c r="F55" s="46">
        <v>1169.1171066253669</v>
      </c>
      <c r="G55" s="46">
        <v>0.2208</v>
      </c>
      <c r="H55" s="46">
        <v>400</v>
      </c>
      <c r="I55" s="46">
        <v>3383.1018035780799</v>
      </c>
      <c r="J55" s="46">
        <v>0.15000000000000002</v>
      </c>
      <c r="K55" s="46">
        <v>400</v>
      </c>
    </row>
    <row r="56" spans="1:11">
      <c r="A56" s="46" t="s">
        <v>17</v>
      </c>
      <c r="B56" s="46" t="s">
        <v>398</v>
      </c>
      <c r="C56" s="46" t="s">
        <v>19</v>
      </c>
      <c r="D56" s="46">
        <v>2021</v>
      </c>
      <c r="E56" s="46">
        <v>0</v>
      </c>
      <c r="F56" s="46">
        <v>1169.1171066253669</v>
      </c>
      <c r="G56" s="46">
        <v>0.2208</v>
      </c>
      <c r="H56" s="46">
        <v>400</v>
      </c>
      <c r="I56" s="46">
        <v>3383.1018035780799</v>
      </c>
      <c r="J56" s="46">
        <v>0.15000000000000002</v>
      </c>
      <c r="K56" s="46">
        <v>400</v>
      </c>
    </row>
    <row r="57" spans="1:11">
      <c r="A57" s="46" t="s">
        <v>17</v>
      </c>
      <c r="B57" s="46" t="s">
        <v>398</v>
      </c>
      <c r="C57" s="46" t="s">
        <v>20</v>
      </c>
      <c r="D57" s="46">
        <v>2021</v>
      </c>
      <c r="E57" s="46">
        <v>0</v>
      </c>
      <c r="F57" s="46">
        <v>1169.1171066253669</v>
      </c>
      <c r="G57" s="46">
        <v>0.2208</v>
      </c>
      <c r="H57" s="46">
        <v>400</v>
      </c>
      <c r="I57" s="46">
        <v>3383.1018035780799</v>
      </c>
      <c r="J57" s="46">
        <v>0.15000000000000002</v>
      </c>
      <c r="K57" s="46">
        <v>400</v>
      </c>
    </row>
    <row r="58" spans="1:11">
      <c r="A58" s="46" t="s">
        <v>17</v>
      </c>
      <c r="B58" s="46" t="s">
        <v>398</v>
      </c>
      <c r="C58" s="46" t="s">
        <v>21</v>
      </c>
      <c r="D58" s="46">
        <v>2021</v>
      </c>
      <c r="E58" s="46">
        <v>0</v>
      </c>
      <c r="F58" s="46">
        <v>1169.1171066253669</v>
      </c>
      <c r="G58" s="46">
        <v>0.2208</v>
      </c>
      <c r="H58" s="46">
        <v>400</v>
      </c>
      <c r="I58" s="46">
        <v>3383.1018035780799</v>
      </c>
      <c r="J58" s="46">
        <v>0.15000000000000002</v>
      </c>
      <c r="K58" s="46">
        <v>400</v>
      </c>
    </row>
    <row r="59" spans="1:11">
      <c r="A59" s="46" t="s">
        <v>17</v>
      </c>
      <c r="B59" s="46" t="s">
        <v>398</v>
      </c>
      <c r="C59" s="46" t="s">
        <v>22</v>
      </c>
      <c r="D59" s="46">
        <v>2021</v>
      </c>
      <c r="E59" s="46">
        <v>0</v>
      </c>
      <c r="F59" s="46">
        <v>1169.1171066253669</v>
      </c>
      <c r="G59" s="46">
        <v>0.2208</v>
      </c>
      <c r="H59" s="46">
        <v>400</v>
      </c>
      <c r="I59" s="46">
        <v>3383.1018035780799</v>
      </c>
      <c r="J59" s="46">
        <v>0.15000000000000002</v>
      </c>
      <c r="K59" s="46">
        <v>400</v>
      </c>
    </row>
    <row r="60" spans="1:11">
      <c r="A60" s="46" t="s">
        <v>17</v>
      </c>
      <c r="B60" s="46" t="s">
        <v>398</v>
      </c>
      <c r="C60" s="46" t="s">
        <v>18</v>
      </c>
      <c r="D60" s="46">
        <v>2022</v>
      </c>
      <c r="E60" s="46">
        <v>0</v>
      </c>
      <c r="F60" s="46">
        <v>1180.8082776916206</v>
      </c>
      <c r="G60" s="46">
        <v>0.2208</v>
      </c>
      <c r="H60" s="46">
        <v>400</v>
      </c>
      <c r="I60" s="46">
        <v>3432.8533006895223</v>
      </c>
      <c r="J60" s="46">
        <v>0.15000000000000002</v>
      </c>
      <c r="K60" s="46">
        <v>400</v>
      </c>
    </row>
    <row r="61" spans="1:11">
      <c r="A61" s="46" t="s">
        <v>17</v>
      </c>
      <c r="B61" s="46" t="s">
        <v>398</v>
      </c>
      <c r="C61" s="46" t="s">
        <v>19</v>
      </c>
      <c r="D61" s="46">
        <v>2022</v>
      </c>
      <c r="E61" s="46">
        <v>0</v>
      </c>
      <c r="F61" s="46">
        <v>1180.8082776916206</v>
      </c>
      <c r="G61" s="46">
        <v>0.2208</v>
      </c>
      <c r="H61" s="46">
        <v>400</v>
      </c>
      <c r="I61" s="46">
        <v>3432.8533006895223</v>
      </c>
      <c r="J61" s="46">
        <v>0.15000000000000002</v>
      </c>
      <c r="K61" s="46">
        <v>400</v>
      </c>
    </row>
    <row r="62" spans="1:11">
      <c r="A62" s="46" t="s">
        <v>17</v>
      </c>
      <c r="B62" s="46" t="s">
        <v>398</v>
      </c>
      <c r="C62" s="46" t="s">
        <v>20</v>
      </c>
      <c r="D62" s="46">
        <v>2022</v>
      </c>
      <c r="E62" s="46">
        <v>0</v>
      </c>
      <c r="F62" s="46">
        <v>1180.8082776916206</v>
      </c>
      <c r="G62" s="46">
        <v>0.2208</v>
      </c>
      <c r="H62" s="46">
        <v>400</v>
      </c>
      <c r="I62" s="46">
        <v>3432.8533006895223</v>
      </c>
      <c r="J62" s="46">
        <v>0.15000000000000002</v>
      </c>
      <c r="K62" s="46">
        <v>400</v>
      </c>
    </row>
    <row r="63" spans="1:11">
      <c r="A63" s="46" t="s">
        <v>17</v>
      </c>
      <c r="B63" s="46" t="s">
        <v>398</v>
      </c>
      <c r="C63" s="46" t="s">
        <v>21</v>
      </c>
      <c r="D63" s="46">
        <v>2022</v>
      </c>
      <c r="E63" s="46">
        <v>0</v>
      </c>
      <c r="F63" s="46">
        <v>1180.8082776916206</v>
      </c>
      <c r="G63" s="46">
        <v>0.2208</v>
      </c>
      <c r="H63" s="46">
        <v>400</v>
      </c>
      <c r="I63" s="46">
        <v>3432.8533006895223</v>
      </c>
      <c r="J63" s="46">
        <v>0.15000000000000002</v>
      </c>
      <c r="K63" s="46">
        <v>400</v>
      </c>
    </row>
    <row r="64" spans="1:11">
      <c r="A64" s="46" t="s">
        <v>17</v>
      </c>
      <c r="B64" s="46" t="s">
        <v>398</v>
      </c>
      <c r="C64" s="46" t="s">
        <v>22</v>
      </c>
      <c r="D64" s="46">
        <v>2022</v>
      </c>
      <c r="E64" s="46">
        <v>0</v>
      </c>
      <c r="F64" s="46">
        <v>1180.8082776916206</v>
      </c>
      <c r="G64" s="46">
        <v>0.2208</v>
      </c>
      <c r="H64" s="46">
        <v>400</v>
      </c>
      <c r="I64" s="46">
        <v>3432.8533006895223</v>
      </c>
      <c r="J64" s="46">
        <v>0.15000000000000002</v>
      </c>
      <c r="K64" s="46">
        <v>400</v>
      </c>
    </row>
    <row r="65" spans="1:11">
      <c r="A65" s="46" t="s">
        <v>17</v>
      </c>
      <c r="B65" s="46" t="s">
        <v>398</v>
      </c>
      <c r="C65" s="46" t="s">
        <v>18</v>
      </c>
      <c r="D65" s="46">
        <v>2023</v>
      </c>
      <c r="E65" s="46">
        <v>0</v>
      </c>
      <c r="F65" s="46">
        <v>1192.6163604685369</v>
      </c>
      <c r="G65" s="46">
        <v>0.2208</v>
      </c>
      <c r="H65" s="46">
        <v>400</v>
      </c>
      <c r="I65" s="46">
        <v>3458.8832839782294</v>
      </c>
      <c r="J65" s="46">
        <v>0.15000000000000002</v>
      </c>
      <c r="K65" s="46">
        <v>400</v>
      </c>
    </row>
    <row r="66" spans="1:11">
      <c r="A66" s="46" t="s">
        <v>17</v>
      </c>
      <c r="B66" s="46" t="s">
        <v>398</v>
      </c>
      <c r="C66" s="46" t="s">
        <v>19</v>
      </c>
      <c r="D66" s="46">
        <v>2023</v>
      </c>
      <c r="E66" s="46">
        <v>0</v>
      </c>
      <c r="F66" s="46">
        <v>1192.6163604685369</v>
      </c>
      <c r="G66" s="46">
        <v>0.2208</v>
      </c>
      <c r="H66" s="46">
        <v>400</v>
      </c>
      <c r="I66" s="46">
        <v>3458.8832839782294</v>
      </c>
      <c r="J66" s="46">
        <v>0.15000000000000002</v>
      </c>
      <c r="K66" s="46">
        <v>400</v>
      </c>
    </row>
    <row r="67" spans="1:11">
      <c r="A67" s="46" t="s">
        <v>17</v>
      </c>
      <c r="B67" s="46" t="s">
        <v>398</v>
      </c>
      <c r="C67" s="46" t="s">
        <v>20</v>
      </c>
      <c r="D67" s="46">
        <v>2023</v>
      </c>
      <c r="E67" s="46">
        <v>0</v>
      </c>
      <c r="F67" s="46">
        <v>1192.6163604685369</v>
      </c>
      <c r="G67" s="46">
        <v>0.2208</v>
      </c>
      <c r="H67" s="46">
        <v>400</v>
      </c>
      <c r="I67" s="46">
        <v>3458.8832839782294</v>
      </c>
      <c r="J67" s="46">
        <v>0.15000000000000002</v>
      </c>
      <c r="K67" s="46">
        <v>400</v>
      </c>
    </row>
    <row r="68" spans="1:11">
      <c r="A68" s="46" t="s">
        <v>17</v>
      </c>
      <c r="B68" s="46" t="s">
        <v>398</v>
      </c>
      <c r="C68" s="46" t="s">
        <v>21</v>
      </c>
      <c r="D68" s="46">
        <v>2023</v>
      </c>
      <c r="E68" s="46">
        <v>0</v>
      </c>
      <c r="F68" s="46">
        <v>1192.6163604685369</v>
      </c>
      <c r="G68" s="46">
        <v>0.2208</v>
      </c>
      <c r="H68" s="46">
        <v>400</v>
      </c>
      <c r="I68" s="46">
        <v>3458.8832839782294</v>
      </c>
      <c r="J68" s="46">
        <v>0.15000000000000002</v>
      </c>
      <c r="K68" s="46">
        <v>400</v>
      </c>
    </row>
    <row r="69" spans="1:11">
      <c r="A69" s="46" t="s">
        <v>17</v>
      </c>
      <c r="B69" s="46" t="s">
        <v>398</v>
      </c>
      <c r="C69" s="46" t="s">
        <v>22</v>
      </c>
      <c r="D69" s="46">
        <v>2023</v>
      </c>
      <c r="E69" s="46">
        <v>0</v>
      </c>
      <c r="F69" s="46">
        <v>1192.6163604685369</v>
      </c>
      <c r="G69" s="46">
        <v>0.2208</v>
      </c>
      <c r="H69" s="46">
        <v>400</v>
      </c>
      <c r="I69" s="46">
        <v>3458.8832839782294</v>
      </c>
      <c r="J69" s="46">
        <v>0.15000000000000002</v>
      </c>
      <c r="K69" s="46">
        <v>400</v>
      </c>
    </row>
    <row r="70" spans="1:11">
      <c r="A70" s="46" t="s">
        <v>17</v>
      </c>
      <c r="B70" s="46" t="s">
        <v>398</v>
      </c>
      <c r="C70" s="46" t="s">
        <v>18</v>
      </c>
      <c r="D70" s="46">
        <v>2024</v>
      </c>
      <c r="E70" s="46">
        <v>0</v>
      </c>
      <c r="F70" s="46">
        <v>1204.5425240732225</v>
      </c>
      <c r="G70" s="46">
        <v>0.2208</v>
      </c>
      <c r="H70" s="46">
        <v>400</v>
      </c>
      <c r="I70" s="46">
        <v>3478.3699503668395</v>
      </c>
      <c r="J70" s="46">
        <v>0.15000000000000002</v>
      </c>
      <c r="K70" s="46">
        <v>400</v>
      </c>
    </row>
    <row r="71" spans="1:11">
      <c r="A71" s="46" t="s">
        <v>17</v>
      </c>
      <c r="B71" s="46" t="s">
        <v>398</v>
      </c>
      <c r="C71" s="46" t="s">
        <v>19</v>
      </c>
      <c r="D71" s="46">
        <v>2024</v>
      </c>
      <c r="E71" s="46">
        <v>0</v>
      </c>
      <c r="F71" s="46">
        <v>1204.5425240732225</v>
      </c>
      <c r="G71" s="46">
        <v>0.2208</v>
      </c>
      <c r="H71" s="46">
        <v>400</v>
      </c>
      <c r="I71" s="46">
        <v>3478.3699503668395</v>
      </c>
      <c r="J71" s="46">
        <v>0.15000000000000002</v>
      </c>
      <c r="K71" s="46">
        <v>400</v>
      </c>
    </row>
    <row r="72" spans="1:11">
      <c r="A72" s="46" t="s">
        <v>17</v>
      </c>
      <c r="B72" s="46" t="s">
        <v>398</v>
      </c>
      <c r="C72" s="46" t="s">
        <v>20</v>
      </c>
      <c r="D72" s="46">
        <v>2024</v>
      </c>
      <c r="E72" s="46">
        <v>0</v>
      </c>
      <c r="F72" s="46">
        <v>1204.5425240732225</v>
      </c>
      <c r="G72" s="46">
        <v>0.2208</v>
      </c>
      <c r="H72" s="46">
        <v>400</v>
      </c>
      <c r="I72" s="46">
        <v>3478.3699503668395</v>
      </c>
      <c r="J72" s="46">
        <v>0.15000000000000002</v>
      </c>
      <c r="K72" s="46">
        <v>400</v>
      </c>
    </row>
    <row r="73" spans="1:11">
      <c r="A73" s="46" t="s">
        <v>17</v>
      </c>
      <c r="B73" s="46" t="s">
        <v>398</v>
      </c>
      <c r="C73" s="46" t="s">
        <v>21</v>
      </c>
      <c r="D73" s="46">
        <v>2024</v>
      </c>
      <c r="E73" s="46">
        <v>0</v>
      </c>
      <c r="F73" s="46">
        <v>1204.5425240732225</v>
      </c>
      <c r="G73" s="46">
        <v>0.2208</v>
      </c>
      <c r="H73" s="46">
        <v>400</v>
      </c>
      <c r="I73" s="46">
        <v>3478.3699503668395</v>
      </c>
      <c r="J73" s="46">
        <v>0.15000000000000002</v>
      </c>
      <c r="K73" s="46">
        <v>400</v>
      </c>
    </row>
    <row r="74" spans="1:11">
      <c r="A74" s="46" t="s">
        <v>17</v>
      </c>
      <c r="B74" s="46" t="s">
        <v>398</v>
      </c>
      <c r="C74" s="46" t="s">
        <v>22</v>
      </c>
      <c r="D74" s="46">
        <v>2024</v>
      </c>
      <c r="E74" s="46">
        <v>0</v>
      </c>
      <c r="F74" s="46">
        <v>1204.5425240732225</v>
      </c>
      <c r="G74" s="46">
        <v>0.2208</v>
      </c>
      <c r="H74" s="46">
        <v>400</v>
      </c>
      <c r="I74" s="46">
        <v>3478.3699503668395</v>
      </c>
      <c r="J74" s="46">
        <v>0.15000000000000002</v>
      </c>
      <c r="K74" s="46">
        <v>400</v>
      </c>
    </row>
    <row r="75" spans="1:11">
      <c r="A75" s="46" t="s">
        <v>17</v>
      </c>
      <c r="B75" s="46" t="s">
        <v>398</v>
      </c>
      <c r="C75" s="46" t="s">
        <v>18</v>
      </c>
      <c r="D75" s="46">
        <v>2025</v>
      </c>
      <c r="E75" s="46">
        <v>0</v>
      </c>
      <c r="F75" s="46">
        <v>1216.5879493139546</v>
      </c>
      <c r="G75" s="46">
        <v>0.2208</v>
      </c>
      <c r="H75" s="46">
        <v>400</v>
      </c>
      <c r="I75" s="46">
        <v>3503.588132506999</v>
      </c>
      <c r="J75" s="46">
        <v>0.15000000000000002</v>
      </c>
      <c r="K75" s="46">
        <v>400</v>
      </c>
    </row>
    <row r="76" spans="1:11">
      <c r="A76" s="46" t="s">
        <v>17</v>
      </c>
      <c r="B76" s="46" t="s">
        <v>398</v>
      </c>
      <c r="C76" s="46" t="s">
        <v>19</v>
      </c>
      <c r="D76" s="46">
        <v>2025</v>
      </c>
      <c r="E76" s="46">
        <v>0</v>
      </c>
      <c r="F76" s="46">
        <v>1216.5879493139546</v>
      </c>
      <c r="G76" s="46">
        <v>0.2208</v>
      </c>
      <c r="H76" s="46">
        <v>400</v>
      </c>
      <c r="I76" s="46">
        <v>3503.588132506999</v>
      </c>
      <c r="J76" s="46">
        <v>0.15000000000000002</v>
      </c>
      <c r="K76" s="46">
        <v>400</v>
      </c>
    </row>
    <row r="77" spans="1:11">
      <c r="A77" s="46" t="s">
        <v>17</v>
      </c>
      <c r="B77" s="46" t="s">
        <v>398</v>
      </c>
      <c r="C77" s="46" t="s">
        <v>20</v>
      </c>
      <c r="D77" s="46">
        <v>2025</v>
      </c>
      <c r="E77" s="46">
        <v>0</v>
      </c>
      <c r="F77" s="46">
        <v>1216.5879493139546</v>
      </c>
      <c r="G77" s="46">
        <v>0.2208</v>
      </c>
      <c r="H77" s="46">
        <v>400</v>
      </c>
      <c r="I77" s="46">
        <v>3503.588132506999</v>
      </c>
      <c r="J77" s="46">
        <v>0.15000000000000002</v>
      </c>
      <c r="K77" s="46">
        <v>400</v>
      </c>
    </row>
    <row r="78" spans="1:11">
      <c r="A78" s="46" t="s">
        <v>17</v>
      </c>
      <c r="B78" s="46" t="s">
        <v>398</v>
      </c>
      <c r="C78" s="46" t="s">
        <v>21</v>
      </c>
      <c r="D78" s="46">
        <v>2025</v>
      </c>
      <c r="E78" s="46">
        <v>0</v>
      </c>
      <c r="F78" s="46">
        <v>1216.5879493139546</v>
      </c>
      <c r="G78" s="46">
        <v>0.2208</v>
      </c>
      <c r="H78" s="46">
        <v>400</v>
      </c>
      <c r="I78" s="46">
        <v>3503.588132506999</v>
      </c>
      <c r="J78" s="46">
        <v>0.15000000000000002</v>
      </c>
      <c r="K78" s="46">
        <v>400</v>
      </c>
    </row>
    <row r="79" spans="1:11">
      <c r="A79" s="46" t="s">
        <v>17</v>
      </c>
      <c r="B79" s="46" t="s">
        <v>398</v>
      </c>
      <c r="C79" s="46" t="s">
        <v>22</v>
      </c>
      <c r="D79" s="46">
        <v>2025</v>
      </c>
      <c r="E79" s="46">
        <v>0</v>
      </c>
      <c r="F79" s="46">
        <v>1216.5879493139546</v>
      </c>
      <c r="G79" s="46">
        <v>0.2208</v>
      </c>
      <c r="H79" s="46">
        <v>400</v>
      </c>
      <c r="I79" s="46">
        <v>3503.588132506999</v>
      </c>
      <c r="J79" s="46">
        <v>0.15000000000000002</v>
      </c>
      <c r="K79" s="46">
        <v>400</v>
      </c>
    </row>
    <row r="80" spans="1:11">
      <c r="A80" s="46" t="s">
        <v>17</v>
      </c>
      <c r="B80" s="46" t="s">
        <v>398</v>
      </c>
      <c r="C80" s="46" t="s">
        <v>18</v>
      </c>
      <c r="D80" s="46">
        <v>2026</v>
      </c>
      <c r="E80" s="46">
        <v>0</v>
      </c>
      <c r="F80" s="46">
        <v>1228.7538288070944</v>
      </c>
      <c r="G80" s="46">
        <v>0.2208</v>
      </c>
      <c r="H80" s="46">
        <v>400</v>
      </c>
      <c r="I80" s="46">
        <v>3521.9613794948295</v>
      </c>
      <c r="J80" s="46">
        <v>0.15000000000000002</v>
      </c>
      <c r="K80" s="46">
        <v>400</v>
      </c>
    </row>
    <row r="81" spans="1:11">
      <c r="A81" s="46" t="s">
        <v>17</v>
      </c>
      <c r="B81" s="46" t="s">
        <v>398</v>
      </c>
      <c r="C81" s="46" t="s">
        <v>19</v>
      </c>
      <c r="D81" s="46">
        <v>2026</v>
      </c>
      <c r="E81" s="46">
        <v>0</v>
      </c>
      <c r="F81" s="46">
        <v>1228.7538288070944</v>
      </c>
      <c r="G81" s="46">
        <v>0.2208</v>
      </c>
      <c r="H81" s="46">
        <v>400</v>
      </c>
      <c r="I81" s="46">
        <v>3521.9613794948295</v>
      </c>
      <c r="J81" s="46">
        <v>0.15000000000000002</v>
      </c>
      <c r="K81" s="46">
        <v>400</v>
      </c>
    </row>
    <row r="82" spans="1:11">
      <c r="A82" s="46" t="s">
        <v>17</v>
      </c>
      <c r="B82" s="46" t="s">
        <v>398</v>
      </c>
      <c r="C82" s="46" t="s">
        <v>20</v>
      </c>
      <c r="D82" s="46">
        <v>2026</v>
      </c>
      <c r="E82" s="46">
        <v>0</v>
      </c>
      <c r="F82" s="46">
        <v>1228.7538288070944</v>
      </c>
      <c r="G82" s="46">
        <v>0.2208</v>
      </c>
      <c r="H82" s="46">
        <v>400</v>
      </c>
      <c r="I82" s="46">
        <v>3521.9613794948295</v>
      </c>
      <c r="J82" s="46">
        <v>0.15000000000000002</v>
      </c>
      <c r="K82" s="46">
        <v>400</v>
      </c>
    </row>
    <row r="83" spans="1:11">
      <c r="A83" s="46" t="s">
        <v>17</v>
      </c>
      <c r="B83" s="46" t="s">
        <v>398</v>
      </c>
      <c r="C83" s="46" t="s">
        <v>21</v>
      </c>
      <c r="D83" s="46">
        <v>2026</v>
      </c>
      <c r="E83" s="46">
        <v>0</v>
      </c>
      <c r="F83" s="46">
        <v>1228.7538288070944</v>
      </c>
      <c r="G83" s="46">
        <v>0.2208</v>
      </c>
      <c r="H83" s="46">
        <v>400</v>
      </c>
      <c r="I83" s="46">
        <v>3521.9613794948295</v>
      </c>
      <c r="J83" s="46">
        <v>0.15000000000000002</v>
      </c>
      <c r="K83" s="46">
        <v>400</v>
      </c>
    </row>
    <row r="84" spans="1:11">
      <c r="A84" s="46" t="s">
        <v>17</v>
      </c>
      <c r="B84" s="46" t="s">
        <v>398</v>
      </c>
      <c r="C84" s="46" t="s">
        <v>22</v>
      </c>
      <c r="D84" s="46">
        <v>2026</v>
      </c>
      <c r="E84" s="46">
        <v>0</v>
      </c>
      <c r="F84" s="46">
        <v>1228.7538288070944</v>
      </c>
      <c r="G84" s="46">
        <v>0.2208</v>
      </c>
      <c r="H84" s="46">
        <v>400</v>
      </c>
      <c r="I84" s="46">
        <v>3521.9613794948295</v>
      </c>
      <c r="J84" s="46">
        <v>0.15000000000000002</v>
      </c>
      <c r="K84" s="46">
        <v>400</v>
      </c>
    </row>
    <row r="85" spans="1:11">
      <c r="A85" s="46" t="s">
        <v>17</v>
      </c>
      <c r="B85" s="46" t="s">
        <v>398</v>
      </c>
      <c r="C85" s="46" t="s">
        <v>18</v>
      </c>
      <c r="D85" s="46">
        <v>2027</v>
      </c>
      <c r="E85" s="46">
        <v>0</v>
      </c>
      <c r="F85" s="46">
        <v>1241.0413670951652</v>
      </c>
      <c r="G85" s="46">
        <v>0.2208</v>
      </c>
      <c r="H85" s="46">
        <v>400</v>
      </c>
      <c r="I85" s="46">
        <v>3539.4482263381155</v>
      </c>
      <c r="J85" s="46">
        <v>0.15000000000000002</v>
      </c>
      <c r="K85" s="46">
        <v>400</v>
      </c>
    </row>
    <row r="86" spans="1:11">
      <c r="A86" s="46" t="s">
        <v>17</v>
      </c>
      <c r="B86" s="46" t="s">
        <v>398</v>
      </c>
      <c r="C86" s="46" t="s">
        <v>19</v>
      </c>
      <c r="D86" s="46">
        <v>2027</v>
      </c>
      <c r="E86" s="46">
        <v>0</v>
      </c>
      <c r="F86" s="46">
        <v>1241.0413670951652</v>
      </c>
      <c r="G86" s="46">
        <v>0.2208</v>
      </c>
      <c r="H86" s="46">
        <v>400</v>
      </c>
      <c r="I86" s="46">
        <v>3539.4482263381155</v>
      </c>
      <c r="J86" s="46">
        <v>0.15000000000000002</v>
      </c>
      <c r="K86" s="46">
        <v>400</v>
      </c>
    </row>
    <row r="87" spans="1:11">
      <c r="A87" s="46" t="s">
        <v>17</v>
      </c>
      <c r="B87" s="46" t="s">
        <v>398</v>
      </c>
      <c r="C87" s="46" t="s">
        <v>20</v>
      </c>
      <c r="D87" s="46">
        <v>2027</v>
      </c>
      <c r="E87" s="46">
        <v>0</v>
      </c>
      <c r="F87" s="46">
        <v>1241.0413670951652</v>
      </c>
      <c r="G87" s="46">
        <v>0.2208</v>
      </c>
      <c r="H87" s="46">
        <v>400</v>
      </c>
      <c r="I87" s="46">
        <v>3539.4482263381155</v>
      </c>
      <c r="J87" s="46">
        <v>0.15000000000000002</v>
      </c>
      <c r="K87" s="46">
        <v>400</v>
      </c>
    </row>
    <row r="88" spans="1:11">
      <c r="A88" s="46" t="s">
        <v>17</v>
      </c>
      <c r="B88" s="46" t="s">
        <v>398</v>
      </c>
      <c r="C88" s="46" t="s">
        <v>21</v>
      </c>
      <c r="D88" s="46">
        <v>2027</v>
      </c>
      <c r="E88" s="46">
        <v>0</v>
      </c>
      <c r="F88" s="46">
        <v>1241.0413670951652</v>
      </c>
      <c r="G88" s="46">
        <v>0.2208</v>
      </c>
      <c r="H88" s="46">
        <v>400</v>
      </c>
      <c r="I88" s="46">
        <v>3539.4482263381155</v>
      </c>
      <c r="J88" s="46">
        <v>0.15000000000000002</v>
      </c>
      <c r="K88" s="46">
        <v>400</v>
      </c>
    </row>
    <row r="89" spans="1:11">
      <c r="A89" s="46" t="s">
        <v>17</v>
      </c>
      <c r="B89" s="46" t="s">
        <v>398</v>
      </c>
      <c r="C89" s="46" t="s">
        <v>22</v>
      </c>
      <c r="D89" s="46">
        <v>2027</v>
      </c>
      <c r="E89" s="46">
        <v>0</v>
      </c>
      <c r="F89" s="46">
        <v>1241.0413670951652</v>
      </c>
      <c r="G89" s="46">
        <v>0.2208</v>
      </c>
      <c r="H89" s="46">
        <v>400</v>
      </c>
      <c r="I89" s="46">
        <v>3539.4482263381155</v>
      </c>
      <c r="J89" s="46">
        <v>0.15000000000000002</v>
      </c>
      <c r="K89" s="46">
        <v>400</v>
      </c>
    </row>
    <row r="90" spans="1:11">
      <c r="A90" s="46" t="s">
        <v>17</v>
      </c>
      <c r="B90" s="46" t="s">
        <v>398</v>
      </c>
      <c r="C90" s="46" t="s">
        <v>18</v>
      </c>
      <c r="D90" s="46">
        <v>2028</v>
      </c>
      <c r="E90" s="46">
        <v>0</v>
      </c>
      <c r="F90" s="46">
        <v>1253.4517807661171</v>
      </c>
      <c r="G90" s="46">
        <v>0.2208</v>
      </c>
      <c r="H90" s="46">
        <v>400</v>
      </c>
      <c r="I90" s="46">
        <v>3557.0218969081752</v>
      </c>
      <c r="J90" s="46">
        <v>0.15000000000000002</v>
      </c>
      <c r="K90" s="46">
        <v>400</v>
      </c>
    </row>
    <row r="91" spans="1:11">
      <c r="A91" s="46" t="s">
        <v>17</v>
      </c>
      <c r="B91" s="46" t="s">
        <v>398</v>
      </c>
      <c r="C91" s="46" t="s">
        <v>19</v>
      </c>
      <c r="D91" s="46">
        <v>2028</v>
      </c>
      <c r="E91" s="46">
        <v>0</v>
      </c>
      <c r="F91" s="46">
        <v>1253.4517807661171</v>
      </c>
      <c r="G91" s="46">
        <v>0.2208</v>
      </c>
      <c r="H91" s="46">
        <v>400</v>
      </c>
      <c r="I91" s="46">
        <v>3557.0218969081752</v>
      </c>
      <c r="J91" s="46">
        <v>0.15000000000000002</v>
      </c>
      <c r="K91" s="46">
        <v>400</v>
      </c>
    </row>
    <row r="92" spans="1:11">
      <c r="A92" s="46" t="s">
        <v>17</v>
      </c>
      <c r="B92" s="46" t="s">
        <v>398</v>
      </c>
      <c r="C92" s="46" t="s">
        <v>20</v>
      </c>
      <c r="D92" s="46">
        <v>2028</v>
      </c>
      <c r="E92" s="46">
        <v>0</v>
      </c>
      <c r="F92" s="46">
        <v>1253.4517807661171</v>
      </c>
      <c r="G92" s="46">
        <v>0.2208</v>
      </c>
      <c r="H92" s="46">
        <v>400</v>
      </c>
      <c r="I92" s="46">
        <v>3557.0218969081752</v>
      </c>
      <c r="J92" s="46">
        <v>0.15000000000000002</v>
      </c>
      <c r="K92" s="46">
        <v>400</v>
      </c>
    </row>
    <row r="93" spans="1:11">
      <c r="A93" s="46" t="s">
        <v>17</v>
      </c>
      <c r="B93" s="46" t="s">
        <v>398</v>
      </c>
      <c r="C93" s="46" t="s">
        <v>21</v>
      </c>
      <c r="D93" s="46">
        <v>2028</v>
      </c>
      <c r="E93" s="46">
        <v>0</v>
      </c>
      <c r="F93" s="46">
        <v>1253.4517807661171</v>
      </c>
      <c r="G93" s="46">
        <v>0.2208</v>
      </c>
      <c r="H93" s="46">
        <v>400</v>
      </c>
      <c r="I93" s="46">
        <v>3557.0218969081752</v>
      </c>
      <c r="J93" s="46">
        <v>0.15000000000000002</v>
      </c>
      <c r="K93" s="46">
        <v>400</v>
      </c>
    </row>
    <row r="94" spans="1:11">
      <c r="A94" s="46" t="s">
        <v>17</v>
      </c>
      <c r="B94" s="46" t="s">
        <v>398</v>
      </c>
      <c r="C94" s="46" t="s">
        <v>22</v>
      </c>
      <c r="D94" s="46">
        <v>2028</v>
      </c>
      <c r="E94" s="46">
        <v>0</v>
      </c>
      <c r="F94" s="46">
        <v>1253.4517807661171</v>
      </c>
      <c r="G94" s="46">
        <v>0.2208</v>
      </c>
      <c r="H94" s="46">
        <v>400</v>
      </c>
      <c r="I94" s="46">
        <v>3557.0218969081752</v>
      </c>
      <c r="J94" s="46">
        <v>0.15000000000000002</v>
      </c>
      <c r="K94" s="46">
        <v>400</v>
      </c>
    </row>
    <row r="95" spans="1:11">
      <c r="A95" s="46" t="s">
        <v>17</v>
      </c>
      <c r="B95" s="46" t="s">
        <v>398</v>
      </c>
      <c r="C95" s="46" t="s">
        <v>18</v>
      </c>
      <c r="D95" s="46">
        <v>2029</v>
      </c>
      <c r="E95" s="46">
        <v>0</v>
      </c>
      <c r="F95" s="46">
        <v>1265.9862985737782</v>
      </c>
      <c r="G95" s="46">
        <v>0.2208</v>
      </c>
      <c r="H95" s="46">
        <v>400</v>
      </c>
      <c r="I95" s="46">
        <v>3574.6828222924191</v>
      </c>
      <c r="J95" s="46">
        <v>0.15000000000000002</v>
      </c>
      <c r="K95" s="46">
        <v>400</v>
      </c>
    </row>
    <row r="96" spans="1:11">
      <c r="A96" s="46" t="s">
        <v>17</v>
      </c>
      <c r="B96" s="46" t="s">
        <v>398</v>
      </c>
      <c r="C96" s="46" t="s">
        <v>19</v>
      </c>
      <c r="D96" s="46">
        <v>2029</v>
      </c>
      <c r="E96" s="46">
        <v>0</v>
      </c>
      <c r="F96" s="46">
        <v>1265.9862985737782</v>
      </c>
      <c r="G96" s="46">
        <v>0.2208</v>
      </c>
      <c r="H96" s="46">
        <v>400</v>
      </c>
      <c r="I96" s="46">
        <v>3574.6828222924191</v>
      </c>
      <c r="J96" s="46">
        <v>0.15000000000000002</v>
      </c>
      <c r="K96" s="46">
        <v>400</v>
      </c>
    </row>
    <row r="97" spans="1:11">
      <c r="A97" s="46" t="s">
        <v>17</v>
      </c>
      <c r="B97" s="46" t="s">
        <v>398</v>
      </c>
      <c r="C97" s="46" t="s">
        <v>20</v>
      </c>
      <c r="D97" s="46">
        <v>2029</v>
      </c>
      <c r="E97" s="46">
        <v>0</v>
      </c>
      <c r="F97" s="46">
        <v>1265.9862985737782</v>
      </c>
      <c r="G97" s="46">
        <v>0.2208</v>
      </c>
      <c r="H97" s="46">
        <v>400</v>
      </c>
      <c r="I97" s="46">
        <v>3574.6828222924191</v>
      </c>
      <c r="J97" s="46">
        <v>0.15000000000000002</v>
      </c>
      <c r="K97" s="46">
        <v>400</v>
      </c>
    </row>
    <row r="98" spans="1:11">
      <c r="A98" s="46" t="s">
        <v>17</v>
      </c>
      <c r="B98" s="46" t="s">
        <v>398</v>
      </c>
      <c r="C98" s="46" t="s">
        <v>21</v>
      </c>
      <c r="D98" s="46">
        <v>2029</v>
      </c>
      <c r="E98" s="46">
        <v>0</v>
      </c>
      <c r="F98" s="46">
        <v>1265.9862985737782</v>
      </c>
      <c r="G98" s="46">
        <v>0.2208</v>
      </c>
      <c r="H98" s="46">
        <v>400</v>
      </c>
      <c r="I98" s="46">
        <v>3574.6828222924191</v>
      </c>
      <c r="J98" s="46">
        <v>0.15000000000000002</v>
      </c>
      <c r="K98" s="46">
        <v>400</v>
      </c>
    </row>
    <row r="99" spans="1:11">
      <c r="A99" s="46" t="s">
        <v>17</v>
      </c>
      <c r="B99" s="46" t="s">
        <v>398</v>
      </c>
      <c r="C99" s="46" t="s">
        <v>22</v>
      </c>
      <c r="D99" s="46">
        <v>2029</v>
      </c>
      <c r="E99" s="46">
        <v>0</v>
      </c>
      <c r="F99" s="46">
        <v>1265.9862985737782</v>
      </c>
      <c r="G99" s="46">
        <v>0.2208</v>
      </c>
      <c r="H99" s="46">
        <v>400</v>
      </c>
      <c r="I99" s="46">
        <v>3574.6828222924191</v>
      </c>
      <c r="J99" s="46">
        <v>0.15000000000000002</v>
      </c>
      <c r="K99" s="46">
        <v>400</v>
      </c>
    </row>
    <row r="100" spans="1:11">
      <c r="A100" s="46" t="s">
        <v>17</v>
      </c>
      <c r="B100" s="46" t="s">
        <v>398</v>
      </c>
      <c r="C100" s="46" t="s">
        <v>18</v>
      </c>
      <c r="D100" s="46">
        <v>2030</v>
      </c>
      <c r="E100" s="46">
        <v>0</v>
      </c>
      <c r="F100" s="46">
        <v>1278.646161559516</v>
      </c>
      <c r="G100" s="46">
        <v>0.2208</v>
      </c>
      <c r="H100" s="46">
        <v>400</v>
      </c>
      <c r="I100" s="46">
        <v>3592.4314357186454</v>
      </c>
      <c r="J100" s="46">
        <v>0.15000000000000002</v>
      </c>
      <c r="K100" s="46">
        <v>400</v>
      </c>
    </row>
    <row r="101" spans="1:11">
      <c r="A101" s="46" t="s">
        <v>17</v>
      </c>
      <c r="B101" s="46" t="s">
        <v>398</v>
      </c>
      <c r="C101" s="46" t="s">
        <v>19</v>
      </c>
      <c r="D101" s="46">
        <v>2030</v>
      </c>
      <c r="E101" s="46">
        <v>0</v>
      </c>
      <c r="F101" s="46">
        <v>1278.646161559516</v>
      </c>
      <c r="G101" s="46">
        <v>0.2208</v>
      </c>
      <c r="H101" s="46">
        <v>400</v>
      </c>
      <c r="I101" s="46">
        <v>3592.4314357186454</v>
      </c>
      <c r="J101" s="46">
        <v>0.15000000000000002</v>
      </c>
      <c r="K101" s="46">
        <v>400</v>
      </c>
    </row>
    <row r="102" spans="1:11">
      <c r="A102" s="46" t="s">
        <v>17</v>
      </c>
      <c r="B102" s="46" t="s">
        <v>398</v>
      </c>
      <c r="C102" s="46" t="s">
        <v>20</v>
      </c>
      <c r="D102" s="46">
        <v>2030</v>
      </c>
      <c r="E102" s="46">
        <v>0</v>
      </c>
      <c r="F102" s="46">
        <v>1278.646161559516</v>
      </c>
      <c r="G102" s="46">
        <v>0.2208</v>
      </c>
      <c r="H102" s="46">
        <v>400</v>
      </c>
      <c r="I102" s="46">
        <v>3592.4314357186454</v>
      </c>
      <c r="J102" s="46">
        <v>0.15000000000000002</v>
      </c>
      <c r="K102" s="46">
        <v>400</v>
      </c>
    </row>
    <row r="103" spans="1:11">
      <c r="A103" s="46" t="s">
        <v>17</v>
      </c>
      <c r="B103" s="46" t="s">
        <v>398</v>
      </c>
      <c r="C103" s="46" t="s">
        <v>21</v>
      </c>
      <c r="D103" s="46">
        <v>2030</v>
      </c>
      <c r="E103" s="46">
        <v>0</v>
      </c>
      <c r="F103" s="46">
        <v>1278.646161559516</v>
      </c>
      <c r="G103" s="46">
        <v>0.2208</v>
      </c>
      <c r="H103" s="46">
        <v>400</v>
      </c>
      <c r="I103" s="46">
        <v>3592.4314357186454</v>
      </c>
      <c r="J103" s="46">
        <v>0.15000000000000002</v>
      </c>
      <c r="K103" s="46">
        <v>400</v>
      </c>
    </row>
    <row r="104" spans="1:11">
      <c r="A104" s="46" t="s">
        <v>17</v>
      </c>
      <c r="B104" s="46" t="s">
        <v>398</v>
      </c>
      <c r="C104" s="46" t="s">
        <v>22</v>
      </c>
      <c r="D104" s="46">
        <v>2030</v>
      </c>
      <c r="E104" s="46">
        <v>0</v>
      </c>
      <c r="F104" s="46">
        <v>1278.646161559516</v>
      </c>
      <c r="G104" s="46">
        <v>0.2208</v>
      </c>
      <c r="H104" s="46">
        <v>400</v>
      </c>
      <c r="I104" s="46">
        <v>3592.4314357186454</v>
      </c>
      <c r="J104" s="46">
        <v>0.15000000000000002</v>
      </c>
      <c r="K104" s="46">
        <v>400</v>
      </c>
    </row>
    <row r="105" spans="1:11">
      <c r="A105" s="46" t="s">
        <v>17</v>
      </c>
      <c r="B105" s="46" t="s">
        <v>398</v>
      </c>
      <c r="C105" s="46" t="s">
        <v>18</v>
      </c>
      <c r="D105" s="46">
        <v>2031</v>
      </c>
      <c r="E105" s="46">
        <v>0</v>
      </c>
      <c r="F105" s="46">
        <v>1291.4326231751113</v>
      </c>
      <c r="G105" s="46">
        <v>0.2208</v>
      </c>
      <c r="H105" s="46">
        <v>400</v>
      </c>
      <c r="I105" s="46">
        <v>3610.2681725656657</v>
      </c>
      <c r="J105" s="46">
        <v>0.15000000000000002</v>
      </c>
      <c r="K105" s="46">
        <v>400</v>
      </c>
    </row>
    <row r="106" spans="1:11">
      <c r="A106" s="46" t="s">
        <v>17</v>
      </c>
      <c r="B106" s="46" t="s">
        <v>398</v>
      </c>
      <c r="C106" s="46" t="s">
        <v>19</v>
      </c>
      <c r="D106" s="46">
        <v>2031</v>
      </c>
      <c r="E106" s="46">
        <v>0</v>
      </c>
      <c r="F106" s="46">
        <v>1291.4326231751113</v>
      </c>
      <c r="G106" s="46">
        <v>0.2208</v>
      </c>
      <c r="H106" s="46">
        <v>400</v>
      </c>
      <c r="I106" s="46">
        <v>3610.2681725656657</v>
      </c>
      <c r="J106" s="46">
        <v>0.15000000000000002</v>
      </c>
      <c r="K106" s="46">
        <v>400</v>
      </c>
    </row>
    <row r="107" spans="1:11">
      <c r="A107" s="46" t="s">
        <v>17</v>
      </c>
      <c r="B107" s="46" t="s">
        <v>398</v>
      </c>
      <c r="C107" s="46" t="s">
        <v>20</v>
      </c>
      <c r="D107" s="46">
        <v>2031</v>
      </c>
      <c r="E107" s="46">
        <v>0</v>
      </c>
      <c r="F107" s="46">
        <v>1291.4326231751113</v>
      </c>
      <c r="G107" s="46">
        <v>0.2208</v>
      </c>
      <c r="H107" s="46">
        <v>400</v>
      </c>
      <c r="I107" s="46">
        <v>3610.2681725656657</v>
      </c>
      <c r="J107" s="46">
        <v>0.15000000000000002</v>
      </c>
      <c r="K107" s="46">
        <v>400</v>
      </c>
    </row>
    <row r="108" spans="1:11">
      <c r="A108" s="46" t="s">
        <v>17</v>
      </c>
      <c r="B108" s="46" t="s">
        <v>398</v>
      </c>
      <c r="C108" s="46" t="s">
        <v>21</v>
      </c>
      <c r="D108" s="46">
        <v>2031</v>
      </c>
      <c r="E108" s="46">
        <v>0</v>
      </c>
      <c r="F108" s="46">
        <v>1291.4326231751113</v>
      </c>
      <c r="G108" s="46">
        <v>0.2208</v>
      </c>
      <c r="H108" s="46">
        <v>400</v>
      </c>
      <c r="I108" s="46">
        <v>3610.2681725656657</v>
      </c>
      <c r="J108" s="46">
        <v>0.15000000000000002</v>
      </c>
      <c r="K108" s="46">
        <v>400</v>
      </c>
    </row>
    <row r="109" spans="1:11">
      <c r="A109" s="46" t="s">
        <v>17</v>
      </c>
      <c r="B109" s="46" t="s">
        <v>398</v>
      </c>
      <c r="C109" s="46" t="s">
        <v>22</v>
      </c>
      <c r="D109" s="46">
        <v>2031</v>
      </c>
      <c r="E109" s="46">
        <v>0</v>
      </c>
      <c r="F109" s="46">
        <v>1291.4326231751113</v>
      </c>
      <c r="G109" s="46">
        <v>0.2208</v>
      </c>
      <c r="H109" s="46">
        <v>400</v>
      </c>
      <c r="I109" s="46">
        <v>3610.2681725656657</v>
      </c>
      <c r="J109" s="46">
        <v>0.15000000000000002</v>
      </c>
      <c r="K109" s="46">
        <v>400</v>
      </c>
    </row>
    <row r="110" spans="1:11">
      <c r="A110" s="46" t="s">
        <v>3</v>
      </c>
      <c r="B110" s="46" t="s">
        <v>398</v>
      </c>
      <c r="C110" s="46" t="s">
        <v>18</v>
      </c>
      <c r="D110" s="46">
        <v>2020</v>
      </c>
      <c r="E110" s="46">
        <v>0</v>
      </c>
      <c r="F110" s="46">
        <v>0</v>
      </c>
      <c r="G110" s="46">
        <v>0</v>
      </c>
      <c r="H110" s="46">
        <v>0</v>
      </c>
      <c r="I110" s="46">
        <v>11421.596419149811</v>
      </c>
      <c r="J110" s="46">
        <v>0.15000000000000002</v>
      </c>
      <c r="K110" s="46">
        <v>400</v>
      </c>
    </row>
    <row r="111" spans="1:11">
      <c r="A111" s="46" t="s">
        <v>3</v>
      </c>
      <c r="B111" s="46" t="s">
        <v>398</v>
      </c>
      <c r="C111" s="46" t="s">
        <v>19</v>
      </c>
      <c r="D111" s="46">
        <v>2020</v>
      </c>
      <c r="E111" s="46">
        <v>0</v>
      </c>
      <c r="F111" s="46">
        <v>0</v>
      </c>
      <c r="G111" s="46">
        <v>0</v>
      </c>
      <c r="H111" s="46">
        <v>0</v>
      </c>
      <c r="I111" s="46">
        <v>11421.596419149811</v>
      </c>
      <c r="J111" s="46">
        <v>0.15000000000000002</v>
      </c>
      <c r="K111" s="46">
        <v>400</v>
      </c>
    </row>
    <row r="112" spans="1:11">
      <c r="A112" s="46" t="s">
        <v>3</v>
      </c>
      <c r="B112" s="46" t="s">
        <v>398</v>
      </c>
      <c r="C112" s="46" t="s">
        <v>20</v>
      </c>
      <c r="D112" s="46">
        <v>2020</v>
      </c>
      <c r="E112" s="46">
        <v>0</v>
      </c>
      <c r="F112" s="46">
        <v>0</v>
      </c>
      <c r="G112" s="46">
        <v>0</v>
      </c>
      <c r="H112" s="46">
        <v>0</v>
      </c>
      <c r="I112" s="46">
        <v>11421.596419149811</v>
      </c>
      <c r="J112" s="46">
        <v>0.15000000000000002</v>
      </c>
      <c r="K112" s="46">
        <v>400</v>
      </c>
    </row>
    <row r="113" spans="1:11">
      <c r="A113" s="46" t="s">
        <v>3</v>
      </c>
      <c r="B113" s="46" t="s">
        <v>398</v>
      </c>
      <c r="C113" s="46" t="s">
        <v>21</v>
      </c>
      <c r="D113" s="46">
        <v>2020</v>
      </c>
      <c r="E113" s="46">
        <v>0</v>
      </c>
      <c r="F113" s="46">
        <v>0</v>
      </c>
      <c r="G113" s="46">
        <v>0</v>
      </c>
      <c r="H113" s="46">
        <v>0</v>
      </c>
      <c r="I113" s="46">
        <v>11421.596419149811</v>
      </c>
      <c r="J113" s="46">
        <v>0.15000000000000002</v>
      </c>
      <c r="K113" s="46">
        <v>400</v>
      </c>
    </row>
    <row r="114" spans="1:11">
      <c r="A114" s="46" t="s">
        <v>3</v>
      </c>
      <c r="B114" s="46" t="s">
        <v>398</v>
      </c>
      <c r="C114" s="46" t="s">
        <v>22</v>
      </c>
      <c r="D114" s="46">
        <v>2020</v>
      </c>
      <c r="E114" s="46">
        <v>0</v>
      </c>
      <c r="F114" s="46">
        <v>0</v>
      </c>
      <c r="G114" s="46">
        <v>0</v>
      </c>
      <c r="H114" s="46">
        <v>0</v>
      </c>
      <c r="I114" s="46">
        <v>11421.596419149811</v>
      </c>
      <c r="J114" s="46">
        <v>0.15000000000000002</v>
      </c>
      <c r="K114" s="46">
        <v>400</v>
      </c>
    </row>
    <row r="115" spans="1:11">
      <c r="A115" s="46" t="s">
        <v>3</v>
      </c>
      <c r="B115" s="46" t="s">
        <v>398</v>
      </c>
      <c r="C115" s="46" t="s">
        <v>18</v>
      </c>
      <c r="D115" s="46">
        <v>2021</v>
      </c>
      <c r="E115" s="46">
        <v>0</v>
      </c>
      <c r="F115" s="46">
        <v>0</v>
      </c>
      <c r="G115" s="46">
        <v>0</v>
      </c>
      <c r="H115" s="46">
        <v>0</v>
      </c>
      <c r="I115" s="46">
        <v>8599.8932118441408</v>
      </c>
      <c r="J115" s="46">
        <v>0.15000000000000002</v>
      </c>
      <c r="K115" s="46">
        <v>400</v>
      </c>
    </row>
    <row r="116" spans="1:11">
      <c r="A116" s="46" t="s">
        <v>3</v>
      </c>
      <c r="B116" s="46" t="s">
        <v>398</v>
      </c>
      <c r="C116" s="46" t="s">
        <v>19</v>
      </c>
      <c r="D116" s="46">
        <v>2021</v>
      </c>
      <c r="E116" s="46">
        <v>0</v>
      </c>
      <c r="F116" s="46">
        <v>0</v>
      </c>
      <c r="G116" s="46">
        <v>0</v>
      </c>
      <c r="H116" s="46">
        <v>0</v>
      </c>
      <c r="I116" s="46">
        <v>8599.8932118441408</v>
      </c>
      <c r="J116" s="46">
        <v>0.15000000000000002</v>
      </c>
      <c r="K116" s="46">
        <v>400</v>
      </c>
    </row>
    <row r="117" spans="1:11">
      <c r="A117" s="46" t="s">
        <v>3</v>
      </c>
      <c r="B117" s="46" t="s">
        <v>398</v>
      </c>
      <c r="C117" s="46" t="s">
        <v>20</v>
      </c>
      <c r="D117" s="46">
        <v>2021</v>
      </c>
      <c r="E117" s="46">
        <v>0</v>
      </c>
      <c r="F117" s="46">
        <v>0</v>
      </c>
      <c r="G117" s="46">
        <v>0</v>
      </c>
      <c r="H117" s="46">
        <v>0</v>
      </c>
      <c r="I117" s="46">
        <v>8599.8932118441408</v>
      </c>
      <c r="J117" s="46">
        <v>0.15000000000000002</v>
      </c>
      <c r="K117" s="46">
        <v>400</v>
      </c>
    </row>
    <row r="118" spans="1:11">
      <c r="A118" s="46" t="s">
        <v>3</v>
      </c>
      <c r="B118" s="46" t="s">
        <v>398</v>
      </c>
      <c r="C118" s="46" t="s">
        <v>21</v>
      </c>
      <c r="D118" s="46">
        <v>2021</v>
      </c>
      <c r="E118" s="46">
        <v>0</v>
      </c>
      <c r="F118" s="46">
        <v>0</v>
      </c>
      <c r="G118" s="46">
        <v>0</v>
      </c>
      <c r="H118" s="46">
        <v>0</v>
      </c>
      <c r="I118" s="46">
        <v>8599.8932118441408</v>
      </c>
      <c r="J118" s="46">
        <v>0.15000000000000002</v>
      </c>
      <c r="K118" s="46">
        <v>400</v>
      </c>
    </row>
    <row r="119" spans="1:11">
      <c r="A119" s="46" t="s">
        <v>3</v>
      </c>
      <c r="B119" s="46" t="s">
        <v>398</v>
      </c>
      <c r="C119" s="46" t="s">
        <v>22</v>
      </c>
      <c r="D119" s="46">
        <v>2021</v>
      </c>
      <c r="E119" s="46">
        <v>0</v>
      </c>
      <c r="F119" s="46">
        <v>0</v>
      </c>
      <c r="G119" s="46">
        <v>0</v>
      </c>
      <c r="H119" s="46">
        <v>0</v>
      </c>
      <c r="I119" s="46">
        <v>8599.8932118441408</v>
      </c>
      <c r="J119" s="46">
        <v>0.15000000000000002</v>
      </c>
      <c r="K119" s="46">
        <v>400</v>
      </c>
    </row>
    <row r="120" spans="1:11">
      <c r="A120" s="46" t="s">
        <v>3</v>
      </c>
      <c r="B120" s="46" t="s">
        <v>398</v>
      </c>
      <c r="C120" s="46" t="s">
        <v>18</v>
      </c>
      <c r="D120" s="46">
        <v>2022</v>
      </c>
      <c r="E120" s="46">
        <v>0</v>
      </c>
      <c r="F120" s="46">
        <v>0</v>
      </c>
      <c r="G120" s="46">
        <v>0</v>
      </c>
      <c r="H120" s="46">
        <v>0</v>
      </c>
      <c r="I120" s="46">
        <v>8726.3622296653757</v>
      </c>
      <c r="J120" s="46">
        <v>0.15000000000000002</v>
      </c>
      <c r="K120" s="46">
        <v>400</v>
      </c>
    </row>
    <row r="121" spans="1:11">
      <c r="A121" s="46" t="s">
        <v>3</v>
      </c>
      <c r="B121" s="46" t="s">
        <v>398</v>
      </c>
      <c r="C121" s="46" t="s">
        <v>19</v>
      </c>
      <c r="D121" s="46">
        <v>2022</v>
      </c>
      <c r="E121" s="46">
        <v>0</v>
      </c>
      <c r="F121" s="46">
        <v>0</v>
      </c>
      <c r="G121" s="46">
        <v>0</v>
      </c>
      <c r="H121" s="46">
        <v>0</v>
      </c>
      <c r="I121" s="46">
        <v>8726.3622296653757</v>
      </c>
      <c r="J121" s="46">
        <v>0.15000000000000002</v>
      </c>
      <c r="K121" s="46">
        <v>400</v>
      </c>
    </row>
    <row r="122" spans="1:11">
      <c r="A122" s="46" t="s">
        <v>3</v>
      </c>
      <c r="B122" s="46" t="s">
        <v>398</v>
      </c>
      <c r="C122" s="46" t="s">
        <v>20</v>
      </c>
      <c r="D122" s="46">
        <v>2022</v>
      </c>
      <c r="E122" s="46">
        <v>0</v>
      </c>
      <c r="F122" s="46">
        <v>0</v>
      </c>
      <c r="G122" s="46">
        <v>0</v>
      </c>
      <c r="H122" s="46">
        <v>0</v>
      </c>
      <c r="I122" s="46">
        <v>8726.3622296653757</v>
      </c>
      <c r="J122" s="46">
        <v>0.15000000000000002</v>
      </c>
      <c r="K122" s="46">
        <v>400</v>
      </c>
    </row>
    <row r="123" spans="1:11">
      <c r="A123" s="46" t="s">
        <v>3</v>
      </c>
      <c r="B123" s="46" t="s">
        <v>398</v>
      </c>
      <c r="C123" s="46" t="s">
        <v>21</v>
      </c>
      <c r="D123" s="46">
        <v>2022</v>
      </c>
      <c r="E123" s="46">
        <v>0</v>
      </c>
      <c r="F123" s="46">
        <v>0</v>
      </c>
      <c r="G123" s="46">
        <v>0</v>
      </c>
      <c r="H123" s="46">
        <v>0</v>
      </c>
      <c r="I123" s="46">
        <v>8726.3622296653757</v>
      </c>
      <c r="J123" s="46">
        <v>0.15000000000000002</v>
      </c>
      <c r="K123" s="46">
        <v>400</v>
      </c>
    </row>
    <row r="124" spans="1:11">
      <c r="A124" s="46" t="s">
        <v>3</v>
      </c>
      <c r="B124" s="46" t="s">
        <v>398</v>
      </c>
      <c r="C124" s="46" t="s">
        <v>22</v>
      </c>
      <c r="D124" s="46">
        <v>2022</v>
      </c>
      <c r="E124" s="46">
        <v>0</v>
      </c>
      <c r="F124" s="46">
        <v>0</v>
      </c>
      <c r="G124" s="46">
        <v>0</v>
      </c>
      <c r="H124" s="46">
        <v>0</v>
      </c>
      <c r="I124" s="46">
        <v>8726.3622296653757</v>
      </c>
      <c r="J124" s="46">
        <v>0.15000000000000002</v>
      </c>
      <c r="K124" s="46">
        <v>400</v>
      </c>
    </row>
    <row r="125" spans="1:11">
      <c r="A125" s="46" t="s">
        <v>3</v>
      </c>
      <c r="B125" s="46" t="s">
        <v>398</v>
      </c>
      <c r="C125" s="46" t="s">
        <v>18</v>
      </c>
      <c r="D125" s="46">
        <v>2023</v>
      </c>
      <c r="E125" s="46">
        <v>0</v>
      </c>
      <c r="F125" s="46">
        <v>0</v>
      </c>
      <c r="G125" s="46">
        <v>0</v>
      </c>
      <c r="H125" s="46">
        <v>0</v>
      </c>
      <c r="I125" s="46">
        <v>8792.5308197894501</v>
      </c>
      <c r="J125" s="46">
        <v>0.15000000000000002</v>
      </c>
      <c r="K125" s="46">
        <v>400</v>
      </c>
    </row>
    <row r="126" spans="1:11">
      <c r="A126" s="46" t="s">
        <v>3</v>
      </c>
      <c r="B126" s="46" t="s">
        <v>398</v>
      </c>
      <c r="C126" s="46" t="s">
        <v>19</v>
      </c>
      <c r="D126" s="46">
        <v>2023</v>
      </c>
      <c r="E126" s="46">
        <v>0</v>
      </c>
      <c r="F126" s="46">
        <v>0</v>
      </c>
      <c r="G126" s="46">
        <v>0</v>
      </c>
      <c r="H126" s="46">
        <v>0</v>
      </c>
      <c r="I126" s="46">
        <v>8792.5308197894501</v>
      </c>
      <c r="J126" s="46">
        <v>0.15000000000000002</v>
      </c>
      <c r="K126" s="46">
        <v>400</v>
      </c>
    </row>
    <row r="127" spans="1:11">
      <c r="A127" s="46" t="s">
        <v>3</v>
      </c>
      <c r="B127" s="46" t="s">
        <v>398</v>
      </c>
      <c r="C127" s="46" t="s">
        <v>20</v>
      </c>
      <c r="D127" s="46">
        <v>2023</v>
      </c>
      <c r="E127" s="46">
        <v>0</v>
      </c>
      <c r="F127" s="46">
        <v>0</v>
      </c>
      <c r="G127" s="46">
        <v>0</v>
      </c>
      <c r="H127" s="46">
        <v>0</v>
      </c>
      <c r="I127" s="46">
        <v>8792.5308197894501</v>
      </c>
      <c r="J127" s="46">
        <v>0.15000000000000002</v>
      </c>
      <c r="K127" s="46">
        <v>400</v>
      </c>
    </row>
    <row r="128" spans="1:11">
      <c r="A128" s="46" t="s">
        <v>3</v>
      </c>
      <c r="B128" s="46" t="s">
        <v>398</v>
      </c>
      <c r="C128" s="46" t="s">
        <v>21</v>
      </c>
      <c r="D128" s="46">
        <v>2023</v>
      </c>
      <c r="E128" s="46">
        <v>0</v>
      </c>
      <c r="F128" s="46">
        <v>0</v>
      </c>
      <c r="G128" s="46">
        <v>0</v>
      </c>
      <c r="H128" s="46">
        <v>0</v>
      </c>
      <c r="I128" s="46">
        <v>8792.5308197894501</v>
      </c>
      <c r="J128" s="46">
        <v>0.15000000000000002</v>
      </c>
      <c r="K128" s="46">
        <v>400</v>
      </c>
    </row>
    <row r="129" spans="1:11">
      <c r="A129" s="46" t="s">
        <v>3</v>
      </c>
      <c r="B129" s="46" t="s">
        <v>398</v>
      </c>
      <c r="C129" s="46" t="s">
        <v>22</v>
      </c>
      <c r="D129" s="46">
        <v>2023</v>
      </c>
      <c r="E129" s="46">
        <v>0</v>
      </c>
      <c r="F129" s="46">
        <v>0</v>
      </c>
      <c r="G129" s="46">
        <v>0</v>
      </c>
      <c r="H129" s="46">
        <v>0</v>
      </c>
      <c r="I129" s="46">
        <v>8792.5308197894501</v>
      </c>
      <c r="J129" s="46">
        <v>0.15000000000000002</v>
      </c>
      <c r="K129" s="46">
        <v>400</v>
      </c>
    </row>
    <row r="130" spans="1:11">
      <c r="A130" s="46" t="s">
        <v>3</v>
      </c>
      <c r="B130" s="46" t="s">
        <v>398</v>
      </c>
      <c r="C130" s="46" t="s">
        <v>18</v>
      </c>
      <c r="D130" s="46">
        <v>2024</v>
      </c>
      <c r="E130" s="46">
        <v>0</v>
      </c>
      <c r="F130" s="46">
        <v>0</v>
      </c>
      <c r="G130" s="46">
        <v>0</v>
      </c>
      <c r="H130" s="46">
        <v>0</v>
      </c>
      <c r="I130" s="46">
        <v>8842.0662046896723</v>
      </c>
      <c r="J130" s="46">
        <v>0.15000000000000002</v>
      </c>
      <c r="K130" s="46">
        <v>400</v>
      </c>
    </row>
    <row r="131" spans="1:11">
      <c r="A131" s="46" t="s">
        <v>3</v>
      </c>
      <c r="B131" s="46" t="s">
        <v>398</v>
      </c>
      <c r="C131" s="46" t="s">
        <v>19</v>
      </c>
      <c r="D131" s="46">
        <v>2024</v>
      </c>
      <c r="E131" s="46">
        <v>0</v>
      </c>
      <c r="F131" s="46">
        <v>0</v>
      </c>
      <c r="G131" s="46">
        <v>0</v>
      </c>
      <c r="H131" s="46">
        <v>0</v>
      </c>
      <c r="I131" s="46">
        <v>8842.0662046896723</v>
      </c>
      <c r="J131" s="46">
        <v>0.15000000000000002</v>
      </c>
      <c r="K131" s="46">
        <v>400</v>
      </c>
    </row>
    <row r="132" spans="1:11">
      <c r="A132" s="46" t="s">
        <v>3</v>
      </c>
      <c r="B132" s="46" t="s">
        <v>398</v>
      </c>
      <c r="C132" s="46" t="s">
        <v>20</v>
      </c>
      <c r="D132" s="46">
        <v>2024</v>
      </c>
      <c r="E132" s="46">
        <v>0</v>
      </c>
      <c r="F132" s="46">
        <v>0</v>
      </c>
      <c r="G132" s="46">
        <v>0</v>
      </c>
      <c r="H132" s="46">
        <v>0</v>
      </c>
      <c r="I132" s="46">
        <v>8842.0662046896723</v>
      </c>
      <c r="J132" s="46">
        <v>0.15000000000000002</v>
      </c>
      <c r="K132" s="46">
        <v>400</v>
      </c>
    </row>
    <row r="133" spans="1:11">
      <c r="A133" s="46" t="s">
        <v>3</v>
      </c>
      <c r="B133" s="46" t="s">
        <v>398</v>
      </c>
      <c r="C133" s="46" t="s">
        <v>21</v>
      </c>
      <c r="D133" s="46">
        <v>2024</v>
      </c>
      <c r="E133" s="46">
        <v>0</v>
      </c>
      <c r="F133" s="46">
        <v>0</v>
      </c>
      <c r="G133" s="46">
        <v>0</v>
      </c>
      <c r="H133" s="46">
        <v>0</v>
      </c>
      <c r="I133" s="46">
        <v>8842.0662046896723</v>
      </c>
      <c r="J133" s="46">
        <v>0.15000000000000002</v>
      </c>
      <c r="K133" s="46">
        <v>400</v>
      </c>
    </row>
    <row r="134" spans="1:11">
      <c r="A134" s="46" t="s">
        <v>3</v>
      </c>
      <c r="B134" s="46" t="s">
        <v>398</v>
      </c>
      <c r="C134" s="46" t="s">
        <v>22</v>
      </c>
      <c r="D134" s="46">
        <v>2024</v>
      </c>
      <c r="E134" s="46">
        <v>0</v>
      </c>
      <c r="F134" s="46">
        <v>0</v>
      </c>
      <c r="G134" s="46">
        <v>0</v>
      </c>
      <c r="H134" s="46">
        <v>0</v>
      </c>
      <c r="I134" s="46">
        <v>8842.0662046896723</v>
      </c>
      <c r="J134" s="46">
        <v>0.15000000000000002</v>
      </c>
      <c r="K134" s="46">
        <v>400</v>
      </c>
    </row>
    <row r="135" spans="1:11">
      <c r="A135" s="46" t="s">
        <v>3</v>
      </c>
      <c r="B135" s="46" t="s">
        <v>398</v>
      </c>
      <c r="C135" s="46" t="s">
        <v>18</v>
      </c>
      <c r="D135" s="46">
        <v>2025</v>
      </c>
      <c r="E135" s="46">
        <v>0</v>
      </c>
      <c r="F135" s="46">
        <v>0</v>
      </c>
      <c r="G135" s="46">
        <v>0</v>
      </c>
      <c r="H135" s="46">
        <v>0</v>
      </c>
      <c r="I135" s="46">
        <v>8906.1711846736725</v>
      </c>
      <c r="J135" s="46">
        <v>0.15000000000000002</v>
      </c>
      <c r="K135" s="46">
        <v>400</v>
      </c>
    </row>
    <row r="136" spans="1:11">
      <c r="A136" s="46" t="s">
        <v>3</v>
      </c>
      <c r="B136" s="46" t="s">
        <v>398</v>
      </c>
      <c r="C136" s="46" t="s">
        <v>19</v>
      </c>
      <c r="D136" s="46">
        <v>2025</v>
      </c>
      <c r="E136" s="46">
        <v>0</v>
      </c>
      <c r="F136" s="46">
        <v>0</v>
      </c>
      <c r="G136" s="46">
        <v>0</v>
      </c>
      <c r="H136" s="46">
        <v>0</v>
      </c>
      <c r="I136" s="46">
        <v>8906.1711846736725</v>
      </c>
      <c r="J136" s="46">
        <v>0.15000000000000002</v>
      </c>
      <c r="K136" s="46">
        <v>400</v>
      </c>
    </row>
    <row r="137" spans="1:11">
      <c r="A137" s="46" t="s">
        <v>3</v>
      </c>
      <c r="B137" s="46" t="s">
        <v>398</v>
      </c>
      <c r="C137" s="46" t="s">
        <v>20</v>
      </c>
      <c r="D137" s="46">
        <v>2025</v>
      </c>
      <c r="E137" s="46">
        <v>0</v>
      </c>
      <c r="F137" s="46">
        <v>0</v>
      </c>
      <c r="G137" s="46">
        <v>0</v>
      </c>
      <c r="H137" s="46">
        <v>0</v>
      </c>
      <c r="I137" s="46">
        <v>8906.1711846736725</v>
      </c>
      <c r="J137" s="46">
        <v>0.15000000000000002</v>
      </c>
      <c r="K137" s="46">
        <v>400</v>
      </c>
    </row>
    <row r="138" spans="1:11">
      <c r="A138" s="46" t="s">
        <v>3</v>
      </c>
      <c r="B138" s="46" t="s">
        <v>398</v>
      </c>
      <c r="C138" s="46" t="s">
        <v>21</v>
      </c>
      <c r="D138" s="46">
        <v>2025</v>
      </c>
      <c r="E138" s="46">
        <v>0</v>
      </c>
      <c r="F138" s="46">
        <v>0</v>
      </c>
      <c r="G138" s="46">
        <v>0</v>
      </c>
      <c r="H138" s="46">
        <v>0</v>
      </c>
      <c r="I138" s="46">
        <v>8906.1711846736725</v>
      </c>
      <c r="J138" s="46">
        <v>0.15000000000000002</v>
      </c>
      <c r="K138" s="46">
        <v>400</v>
      </c>
    </row>
    <row r="139" spans="1:11">
      <c r="A139" s="46" t="s">
        <v>3</v>
      </c>
      <c r="B139" s="46" t="s">
        <v>398</v>
      </c>
      <c r="C139" s="46" t="s">
        <v>22</v>
      </c>
      <c r="D139" s="46">
        <v>2025</v>
      </c>
      <c r="E139" s="46">
        <v>0</v>
      </c>
      <c r="F139" s="46">
        <v>0</v>
      </c>
      <c r="G139" s="46">
        <v>0</v>
      </c>
      <c r="H139" s="46">
        <v>0</v>
      </c>
      <c r="I139" s="46">
        <v>8906.1711846736725</v>
      </c>
      <c r="J139" s="46">
        <v>0.15000000000000002</v>
      </c>
      <c r="K139" s="46">
        <v>400</v>
      </c>
    </row>
    <row r="140" spans="1:11">
      <c r="A140" s="46" t="s">
        <v>3</v>
      </c>
      <c r="B140" s="46" t="s">
        <v>398</v>
      </c>
      <c r="C140" s="46" t="s">
        <v>18</v>
      </c>
      <c r="D140" s="46">
        <v>2026</v>
      </c>
      <c r="E140" s="46">
        <v>0</v>
      </c>
      <c r="F140" s="46">
        <v>0</v>
      </c>
      <c r="G140" s="46">
        <v>0</v>
      </c>
      <c r="H140" s="46">
        <v>0</v>
      </c>
      <c r="I140" s="46">
        <v>8952.8762415191577</v>
      </c>
      <c r="J140" s="46">
        <v>0.15000000000000002</v>
      </c>
      <c r="K140" s="46">
        <v>400</v>
      </c>
    </row>
    <row r="141" spans="1:11">
      <c r="A141" s="46" t="s">
        <v>3</v>
      </c>
      <c r="B141" s="46" t="s">
        <v>398</v>
      </c>
      <c r="C141" s="46" t="s">
        <v>19</v>
      </c>
      <c r="D141" s="46">
        <v>2026</v>
      </c>
      <c r="E141" s="46">
        <v>0</v>
      </c>
      <c r="F141" s="46">
        <v>0</v>
      </c>
      <c r="G141" s="46">
        <v>0</v>
      </c>
      <c r="H141" s="46">
        <v>0</v>
      </c>
      <c r="I141" s="46">
        <v>8952.8762415191577</v>
      </c>
      <c r="J141" s="46">
        <v>0.15000000000000002</v>
      </c>
      <c r="K141" s="46">
        <v>400</v>
      </c>
    </row>
    <row r="142" spans="1:11">
      <c r="A142" s="46" t="s">
        <v>3</v>
      </c>
      <c r="B142" s="46" t="s">
        <v>398</v>
      </c>
      <c r="C142" s="46" t="s">
        <v>20</v>
      </c>
      <c r="D142" s="46">
        <v>2026</v>
      </c>
      <c r="E142" s="46">
        <v>0</v>
      </c>
      <c r="F142" s="46">
        <v>0</v>
      </c>
      <c r="G142" s="46">
        <v>0</v>
      </c>
      <c r="H142" s="46">
        <v>0</v>
      </c>
      <c r="I142" s="46">
        <v>8952.8762415191577</v>
      </c>
      <c r="J142" s="46">
        <v>0.15000000000000002</v>
      </c>
      <c r="K142" s="46">
        <v>400</v>
      </c>
    </row>
    <row r="143" spans="1:11">
      <c r="A143" s="46" t="s">
        <v>3</v>
      </c>
      <c r="B143" s="46" t="s">
        <v>398</v>
      </c>
      <c r="C143" s="46" t="s">
        <v>21</v>
      </c>
      <c r="D143" s="46">
        <v>2026</v>
      </c>
      <c r="E143" s="46">
        <v>0</v>
      </c>
      <c r="F143" s="46">
        <v>0</v>
      </c>
      <c r="G143" s="46">
        <v>0</v>
      </c>
      <c r="H143" s="46">
        <v>0</v>
      </c>
      <c r="I143" s="46">
        <v>8952.8762415191577</v>
      </c>
      <c r="J143" s="46">
        <v>0.15000000000000002</v>
      </c>
      <c r="K143" s="46">
        <v>400</v>
      </c>
    </row>
    <row r="144" spans="1:11">
      <c r="A144" s="46" t="s">
        <v>3</v>
      </c>
      <c r="B144" s="46" t="s">
        <v>398</v>
      </c>
      <c r="C144" s="46" t="s">
        <v>22</v>
      </c>
      <c r="D144" s="46">
        <v>2026</v>
      </c>
      <c r="E144" s="46">
        <v>0</v>
      </c>
      <c r="F144" s="46">
        <v>0</v>
      </c>
      <c r="G144" s="46">
        <v>0</v>
      </c>
      <c r="H144" s="46">
        <v>0</v>
      </c>
      <c r="I144" s="46">
        <v>8952.8762415191577</v>
      </c>
      <c r="J144" s="46">
        <v>0.15000000000000002</v>
      </c>
      <c r="K144" s="46">
        <v>400</v>
      </c>
    </row>
    <row r="145" spans="1:11">
      <c r="A145" s="46" t="s">
        <v>3</v>
      </c>
      <c r="B145" s="46" t="s">
        <v>398</v>
      </c>
      <c r="C145" s="46" t="s">
        <v>18</v>
      </c>
      <c r="D145" s="46">
        <v>2027</v>
      </c>
      <c r="E145" s="46">
        <v>0</v>
      </c>
      <c r="F145" s="46">
        <v>0</v>
      </c>
      <c r="G145" s="46">
        <v>0</v>
      </c>
      <c r="H145" s="46">
        <v>0</v>
      </c>
      <c r="I145" s="46">
        <v>8997.3280565089062</v>
      </c>
      <c r="J145" s="46">
        <v>0.15000000000000002</v>
      </c>
      <c r="K145" s="46">
        <v>400</v>
      </c>
    </row>
    <row r="146" spans="1:11">
      <c r="A146" s="46" t="s">
        <v>3</v>
      </c>
      <c r="B146" s="46" t="s">
        <v>398</v>
      </c>
      <c r="C146" s="46" t="s">
        <v>19</v>
      </c>
      <c r="D146" s="46">
        <v>2027</v>
      </c>
      <c r="E146" s="46">
        <v>0</v>
      </c>
      <c r="F146" s="46">
        <v>0</v>
      </c>
      <c r="G146" s="46">
        <v>0</v>
      </c>
      <c r="H146" s="46">
        <v>0</v>
      </c>
      <c r="I146" s="46">
        <v>8997.3280565089062</v>
      </c>
      <c r="J146" s="46">
        <v>0.15000000000000002</v>
      </c>
      <c r="K146" s="46">
        <v>400</v>
      </c>
    </row>
    <row r="147" spans="1:11">
      <c r="A147" s="46" t="s">
        <v>3</v>
      </c>
      <c r="B147" s="46" t="s">
        <v>398</v>
      </c>
      <c r="C147" s="46" t="s">
        <v>20</v>
      </c>
      <c r="D147" s="46">
        <v>2027</v>
      </c>
      <c r="E147" s="46">
        <v>0</v>
      </c>
      <c r="F147" s="46">
        <v>0</v>
      </c>
      <c r="G147" s="46">
        <v>0</v>
      </c>
      <c r="H147" s="46">
        <v>0</v>
      </c>
      <c r="I147" s="46">
        <v>8997.3280565089062</v>
      </c>
      <c r="J147" s="46">
        <v>0.15000000000000002</v>
      </c>
      <c r="K147" s="46">
        <v>400</v>
      </c>
    </row>
    <row r="148" spans="1:11">
      <c r="A148" s="46" t="s">
        <v>3</v>
      </c>
      <c r="B148" s="46" t="s">
        <v>398</v>
      </c>
      <c r="C148" s="46" t="s">
        <v>21</v>
      </c>
      <c r="D148" s="46">
        <v>2027</v>
      </c>
      <c r="E148" s="46">
        <v>0</v>
      </c>
      <c r="F148" s="46">
        <v>0</v>
      </c>
      <c r="G148" s="46">
        <v>0</v>
      </c>
      <c r="H148" s="46">
        <v>0</v>
      </c>
      <c r="I148" s="46">
        <v>8997.3280565089062</v>
      </c>
      <c r="J148" s="46">
        <v>0.15000000000000002</v>
      </c>
      <c r="K148" s="46">
        <v>400</v>
      </c>
    </row>
    <row r="149" spans="1:11">
      <c r="A149" s="46" t="s">
        <v>3</v>
      </c>
      <c r="B149" s="46" t="s">
        <v>398</v>
      </c>
      <c r="C149" s="46" t="s">
        <v>22</v>
      </c>
      <c r="D149" s="46">
        <v>2027</v>
      </c>
      <c r="E149" s="46">
        <v>0</v>
      </c>
      <c r="F149" s="46">
        <v>0</v>
      </c>
      <c r="G149" s="46">
        <v>0</v>
      </c>
      <c r="H149" s="46">
        <v>0</v>
      </c>
      <c r="I149" s="46">
        <v>8997.3280565089062</v>
      </c>
      <c r="J149" s="46">
        <v>0.15000000000000002</v>
      </c>
      <c r="K149" s="46">
        <v>400</v>
      </c>
    </row>
    <row r="150" spans="1:11">
      <c r="A150" s="46" t="s">
        <v>3</v>
      </c>
      <c r="B150" s="46" t="s">
        <v>398</v>
      </c>
      <c r="C150" s="46" t="s">
        <v>18</v>
      </c>
      <c r="D150" s="46">
        <v>2028</v>
      </c>
      <c r="E150" s="46">
        <v>0</v>
      </c>
      <c r="F150" s="46">
        <v>0</v>
      </c>
      <c r="G150" s="46">
        <v>0</v>
      </c>
      <c r="H150" s="46">
        <v>0</v>
      </c>
      <c r="I150" s="46">
        <v>9042.0005786549427</v>
      </c>
      <c r="J150" s="46">
        <v>0.15000000000000002</v>
      </c>
      <c r="K150" s="46">
        <v>400</v>
      </c>
    </row>
    <row r="151" spans="1:11">
      <c r="A151" s="46" t="s">
        <v>3</v>
      </c>
      <c r="B151" s="46" t="s">
        <v>398</v>
      </c>
      <c r="C151" s="46" t="s">
        <v>19</v>
      </c>
      <c r="D151" s="46">
        <v>2028</v>
      </c>
      <c r="E151" s="46">
        <v>0</v>
      </c>
      <c r="F151" s="46">
        <v>0</v>
      </c>
      <c r="G151" s="46">
        <v>0</v>
      </c>
      <c r="H151" s="46">
        <v>0</v>
      </c>
      <c r="I151" s="46">
        <v>9042.0005786549427</v>
      </c>
      <c r="J151" s="46">
        <v>0.15000000000000002</v>
      </c>
      <c r="K151" s="46">
        <v>400</v>
      </c>
    </row>
    <row r="152" spans="1:11">
      <c r="A152" s="46" t="s">
        <v>3</v>
      </c>
      <c r="B152" s="46" t="s">
        <v>398</v>
      </c>
      <c r="C152" s="46" t="s">
        <v>20</v>
      </c>
      <c r="D152" s="46">
        <v>2028</v>
      </c>
      <c r="E152" s="46">
        <v>0</v>
      </c>
      <c r="F152" s="46">
        <v>0</v>
      </c>
      <c r="G152" s="46">
        <v>0</v>
      </c>
      <c r="H152" s="46">
        <v>0</v>
      </c>
      <c r="I152" s="46">
        <v>9042.0005786549427</v>
      </c>
      <c r="J152" s="46">
        <v>0.15000000000000002</v>
      </c>
      <c r="K152" s="46">
        <v>400</v>
      </c>
    </row>
    <row r="153" spans="1:11">
      <c r="A153" s="46" t="s">
        <v>3</v>
      </c>
      <c r="B153" s="46" t="s">
        <v>398</v>
      </c>
      <c r="C153" s="46" t="s">
        <v>21</v>
      </c>
      <c r="D153" s="46">
        <v>2028</v>
      </c>
      <c r="E153" s="46">
        <v>0</v>
      </c>
      <c r="F153" s="46">
        <v>0</v>
      </c>
      <c r="G153" s="46">
        <v>0</v>
      </c>
      <c r="H153" s="46">
        <v>0</v>
      </c>
      <c r="I153" s="46">
        <v>9042.0005786549427</v>
      </c>
      <c r="J153" s="46">
        <v>0.15000000000000002</v>
      </c>
      <c r="K153" s="46">
        <v>400</v>
      </c>
    </row>
    <row r="154" spans="1:11">
      <c r="A154" s="46" t="s">
        <v>3</v>
      </c>
      <c r="B154" s="46" t="s">
        <v>398</v>
      </c>
      <c r="C154" s="46" t="s">
        <v>22</v>
      </c>
      <c r="D154" s="46">
        <v>2028</v>
      </c>
      <c r="E154" s="46">
        <v>0</v>
      </c>
      <c r="F154" s="46">
        <v>0</v>
      </c>
      <c r="G154" s="46">
        <v>0</v>
      </c>
      <c r="H154" s="46">
        <v>0</v>
      </c>
      <c r="I154" s="46">
        <v>9042.0005786549427</v>
      </c>
      <c r="J154" s="46">
        <v>0.15000000000000002</v>
      </c>
      <c r="K154" s="46">
        <v>400</v>
      </c>
    </row>
    <row r="155" spans="1:11">
      <c r="A155" s="46" t="s">
        <v>3</v>
      </c>
      <c r="B155" s="46" t="s">
        <v>398</v>
      </c>
      <c r="C155" s="46" t="s">
        <v>18</v>
      </c>
      <c r="D155" s="46">
        <v>2029</v>
      </c>
      <c r="E155" s="46">
        <v>0</v>
      </c>
      <c r="F155" s="46">
        <v>0</v>
      </c>
      <c r="G155" s="46">
        <v>0</v>
      </c>
      <c r="H155" s="46">
        <v>0</v>
      </c>
      <c r="I155" s="46">
        <v>9086.8949037876391</v>
      </c>
      <c r="J155" s="46">
        <v>0.15000000000000002</v>
      </c>
      <c r="K155" s="46">
        <v>400</v>
      </c>
    </row>
    <row r="156" spans="1:11">
      <c r="A156" s="46" t="s">
        <v>3</v>
      </c>
      <c r="B156" s="46" t="s">
        <v>398</v>
      </c>
      <c r="C156" s="46" t="s">
        <v>19</v>
      </c>
      <c r="D156" s="46">
        <v>2029</v>
      </c>
      <c r="E156" s="46">
        <v>0</v>
      </c>
      <c r="F156" s="46">
        <v>0</v>
      </c>
      <c r="G156" s="46">
        <v>0</v>
      </c>
      <c r="H156" s="46">
        <v>0</v>
      </c>
      <c r="I156" s="46">
        <v>9086.8949037876391</v>
      </c>
      <c r="J156" s="46">
        <v>0.15000000000000002</v>
      </c>
      <c r="K156" s="46">
        <v>400</v>
      </c>
    </row>
    <row r="157" spans="1:11">
      <c r="A157" s="46" t="s">
        <v>3</v>
      </c>
      <c r="B157" s="46" t="s">
        <v>398</v>
      </c>
      <c r="C157" s="46" t="s">
        <v>20</v>
      </c>
      <c r="D157" s="46">
        <v>2029</v>
      </c>
      <c r="E157" s="46">
        <v>0</v>
      </c>
      <c r="F157" s="46">
        <v>0</v>
      </c>
      <c r="G157" s="46">
        <v>0</v>
      </c>
      <c r="H157" s="46">
        <v>0</v>
      </c>
      <c r="I157" s="46">
        <v>9086.8949037876391</v>
      </c>
      <c r="J157" s="46">
        <v>0.15000000000000002</v>
      </c>
      <c r="K157" s="46">
        <v>400</v>
      </c>
    </row>
    <row r="158" spans="1:11">
      <c r="A158" s="46" t="s">
        <v>3</v>
      </c>
      <c r="B158" s="46" t="s">
        <v>398</v>
      </c>
      <c r="C158" s="46" t="s">
        <v>21</v>
      </c>
      <c r="D158" s="46">
        <v>2029</v>
      </c>
      <c r="E158" s="46">
        <v>0</v>
      </c>
      <c r="F158" s="46">
        <v>0</v>
      </c>
      <c r="G158" s="46">
        <v>0</v>
      </c>
      <c r="H158" s="46">
        <v>0</v>
      </c>
      <c r="I158" s="46">
        <v>9086.8949037876391</v>
      </c>
      <c r="J158" s="46">
        <v>0.15000000000000002</v>
      </c>
      <c r="K158" s="46">
        <v>400</v>
      </c>
    </row>
    <row r="159" spans="1:11">
      <c r="A159" s="46" t="s">
        <v>3</v>
      </c>
      <c r="B159" s="46" t="s">
        <v>398</v>
      </c>
      <c r="C159" s="46" t="s">
        <v>22</v>
      </c>
      <c r="D159" s="46">
        <v>2029</v>
      </c>
      <c r="E159" s="46">
        <v>0</v>
      </c>
      <c r="F159" s="46">
        <v>0</v>
      </c>
      <c r="G159" s="46">
        <v>0</v>
      </c>
      <c r="H159" s="46">
        <v>0</v>
      </c>
      <c r="I159" s="46">
        <v>9086.8949037876391</v>
      </c>
      <c r="J159" s="46">
        <v>0.15000000000000002</v>
      </c>
      <c r="K159" s="46">
        <v>400</v>
      </c>
    </row>
    <row r="160" spans="1:11">
      <c r="A160" s="46" t="s">
        <v>3</v>
      </c>
      <c r="B160" s="46" t="s">
        <v>398</v>
      </c>
      <c r="C160" s="46" t="s">
        <v>18</v>
      </c>
      <c r="D160" s="46">
        <v>2030</v>
      </c>
      <c r="E160" s="46">
        <v>0</v>
      </c>
      <c r="F160" s="46">
        <v>0</v>
      </c>
      <c r="G160" s="46">
        <v>0</v>
      </c>
      <c r="H160" s="46">
        <v>0</v>
      </c>
      <c r="I160" s="46">
        <v>9132.0121331782593</v>
      </c>
      <c r="J160" s="46">
        <v>0.15000000000000002</v>
      </c>
      <c r="K160" s="46">
        <v>400</v>
      </c>
    </row>
    <row r="161" spans="1:11">
      <c r="A161" s="46" t="s">
        <v>3</v>
      </c>
      <c r="B161" s="46" t="s">
        <v>398</v>
      </c>
      <c r="C161" s="46" t="s">
        <v>19</v>
      </c>
      <c r="D161" s="46">
        <v>2030</v>
      </c>
      <c r="E161" s="46">
        <v>0</v>
      </c>
      <c r="F161" s="46">
        <v>0</v>
      </c>
      <c r="G161" s="46">
        <v>0</v>
      </c>
      <c r="H161" s="46">
        <v>0</v>
      </c>
      <c r="I161" s="46">
        <v>9132.0121331782593</v>
      </c>
      <c r="J161" s="46">
        <v>0.15000000000000002</v>
      </c>
      <c r="K161" s="46">
        <v>400</v>
      </c>
    </row>
    <row r="162" spans="1:11">
      <c r="A162" s="46" t="s">
        <v>3</v>
      </c>
      <c r="B162" s="46" t="s">
        <v>398</v>
      </c>
      <c r="C162" s="46" t="s">
        <v>20</v>
      </c>
      <c r="D162" s="46">
        <v>2030</v>
      </c>
      <c r="E162" s="46">
        <v>0</v>
      </c>
      <c r="F162" s="46">
        <v>0</v>
      </c>
      <c r="G162" s="46">
        <v>0</v>
      </c>
      <c r="H162" s="46">
        <v>0</v>
      </c>
      <c r="I162" s="46">
        <v>9132.0121331782593</v>
      </c>
      <c r="J162" s="46">
        <v>0.15000000000000002</v>
      </c>
      <c r="K162" s="46">
        <v>400</v>
      </c>
    </row>
    <row r="163" spans="1:11">
      <c r="A163" s="46" t="s">
        <v>3</v>
      </c>
      <c r="B163" s="46" t="s">
        <v>398</v>
      </c>
      <c r="C163" s="46" t="s">
        <v>21</v>
      </c>
      <c r="D163" s="46">
        <v>2030</v>
      </c>
      <c r="E163" s="46">
        <v>0</v>
      </c>
      <c r="F163" s="46">
        <v>0</v>
      </c>
      <c r="G163" s="46">
        <v>0</v>
      </c>
      <c r="H163" s="46">
        <v>0</v>
      </c>
      <c r="I163" s="46">
        <v>9132.0121331782593</v>
      </c>
      <c r="J163" s="46">
        <v>0.15000000000000002</v>
      </c>
      <c r="K163" s="46">
        <v>400</v>
      </c>
    </row>
    <row r="164" spans="1:11">
      <c r="A164" s="46" t="s">
        <v>3</v>
      </c>
      <c r="B164" s="46" t="s">
        <v>398</v>
      </c>
      <c r="C164" s="46" t="s">
        <v>22</v>
      </c>
      <c r="D164" s="46">
        <v>2030</v>
      </c>
      <c r="E164" s="46">
        <v>0</v>
      </c>
      <c r="F164" s="46">
        <v>0</v>
      </c>
      <c r="G164" s="46">
        <v>0</v>
      </c>
      <c r="H164" s="46">
        <v>0</v>
      </c>
      <c r="I164" s="46">
        <v>9132.0121331782593</v>
      </c>
      <c r="J164" s="46">
        <v>0.15000000000000002</v>
      </c>
      <c r="K164" s="46">
        <v>400</v>
      </c>
    </row>
    <row r="165" spans="1:11">
      <c r="A165" s="46" t="s">
        <v>3</v>
      </c>
      <c r="B165" s="46" t="s">
        <v>398</v>
      </c>
      <c r="C165" s="46" t="s">
        <v>18</v>
      </c>
      <c r="D165" s="46">
        <v>2031</v>
      </c>
      <c r="E165" s="46">
        <v>0</v>
      </c>
      <c r="F165" s="46">
        <v>0</v>
      </c>
      <c r="G165" s="46">
        <v>0</v>
      </c>
      <c r="H165" s="46">
        <v>0</v>
      </c>
      <c r="I165" s="46">
        <v>9177.353373565973</v>
      </c>
      <c r="J165" s="46">
        <v>0.15000000000000002</v>
      </c>
      <c r="K165" s="46">
        <v>400</v>
      </c>
    </row>
    <row r="166" spans="1:11">
      <c r="A166" s="46" t="s">
        <v>3</v>
      </c>
      <c r="B166" s="46" t="s">
        <v>398</v>
      </c>
      <c r="C166" s="46" t="s">
        <v>19</v>
      </c>
      <c r="D166" s="46">
        <v>2031</v>
      </c>
      <c r="E166" s="46">
        <v>0</v>
      </c>
      <c r="F166" s="46">
        <v>0</v>
      </c>
      <c r="G166" s="46">
        <v>0</v>
      </c>
      <c r="H166" s="46">
        <v>0</v>
      </c>
      <c r="I166" s="46">
        <v>9177.353373565973</v>
      </c>
      <c r="J166" s="46">
        <v>0.15000000000000002</v>
      </c>
      <c r="K166" s="46">
        <v>400</v>
      </c>
    </row>
    <row r="167" spans="1:11">
      <c r="A167" s="46" t="s">
        <v>3</v>
      </c>
      <c r="B167" s="46" t="s">
        <v>398</v>
      </c>
      <c r="C167" s="46" t="s">
        <v>20</v>
      </c>
      <c r="D167" s="46">
        <v>2031</v>
      </c>
      <c r="E167" s="46">
        <v>0</v>
      </c>
      <c r="F167" s="46">
        <v>0</v>
      </c>
      <c r="G167" s="46">
        <v>0</v>
      </c>
      <c r="H167" s="46">
        <v>0</v>
      </c>
      <c r="I167" s="46">
        <v>9177.353373565973</v>
      </c>
      <c r="J167" s="46">
        <v>0.15000000000000002</v>
      </c>
      <c r="K167" s="46">
        <v>400</v>
      </c>
    </row>
    <row r="168" spans="1:11">
      <c r="A168" s="46" t="s">
        <v>3</v>
      </c>
      <c r="B168" s="46" t="s">
        <v>398</v>
      </c>
      <c r="C168" s="46" t="s">
        <v>21</v>
      </c>
      <c r="D168" s="46">
        <v>2031</v>
      </c>
      <c r="E168" s="46">
        <v>0</v>
      </c>
      <c r="F168" s="46">
        <v>0</v>
      </c>
      <c r="G168" s="46">
        <v>0</v>
      </c>
      <c r="H168" s="46">
        <v>0</v>
      </c>
      <c r="I168" s="46">
        <v>9177.353373565973</v>
      </c>
      <c r="J168" s="46">
        <v>0.15000000000000002</v>
      </c>
      <c r="K168" s="46">
        <v>400</v>
      </c>
    </row>
    <row r="169" spans="1:11">
      <c r="A169" s="46" t="s">
        <v>3</v>
      </c>
      <c r="B169" s="46" t="s">
        <v>398</v>
      </c>
      <c r="C169" s="46" t="s">
        <v>22</v>
      </c>
      <c r="D169" s="46">
        <v>2031</v>
      </c>
      <c r="E169" s="46">
        <v>0</v>
      </c>
      <c r="F169" s="46">
        <v>0</v>
      </c>
      <c r="G169" s="46">
        <v>0</v>
      </c>
      <c r="H169" s="46">
        <v>0</v>
      </c>
      <c r="I169" s="46">
        <v>9177.353373565973</v>
      </c>
      <c r="J169" s="46">
        <v>0.15000000000000002</v>
      </c>
      <c r="K169" s="46">
        <v>400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zoomScaleNormal="100" workbookViewId="0"/>
  </sheetViews>
  <sheetFormatPr defaultRowHeight="15"/>
  <cols>
    <col min="2" max="3" width="18.85546875" style="13" customWidth="1"/>
  </cols>
  <sheetData>
    <row r="2" spans="2:3" ht="60" customHeight="1">
      <c r="B2" s="416" t="s">
        <v>490</v>
      </c>
      <c r="C2" s="416"/>
    </row>
    <row r="3" spans="2:3" ht="30" customHeight="1">
      <c r="B3" s="416" t="s">
        <v>491</v>
      </c>
      <c r="C3" s="416"/>
    </row>
    <row r="4" spans="2:3">
      <c r="B4" s="132" t="s">
        <v>492</v>
      </c>
      <c r="C4" s="132" t="s">
        <v>493</v>
      </c>
    </row>
    <row r="5" spans="2:3">
      <c r="B5" s="13">
        <v>1.1000000000000001</v>
      </c>
      <c r="C5" s="13">
        <v>0.9</v>
      </c>
    </row>
  </sheetData>
  <mergeCells count="2">
    <mergeCell ref="B3:C3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0 2 5 e d a - d f a 4 - 4 4 3 2 - 9 1 c 9 - 5 e 1 a b e b a e 4 2 4 "   x m l n s = " h t t p : / / s c h e m a s . m i c r o s o f t . c o m / D a t a M a s h u p " > A A A A A E 4 H A A B Q S w M E F A A C A A g A y V V E U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J V U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V V E U z 0 n k C h G B A A A s x o A A B M A H A B G b 3 J t d W x h c y 9 T Z W N 0 a W 9 u M S 5 t I K I Y A C i g F A A A A A A A A A A A A A A A A A A A A A A A A A A A A O 1 Y W 2 / b N h R + D + D / Q L A v d i E Y k V s M G L o O U G X F 8 e r b L L V D Y B i C L D G x U I k U a G m z Y e S / l 7 p Y p m 6 2 p G V Y h y U v j k k e n u + c 8 5 2 L u U O m b x M M 1 P h T / N C 5 6 d z s t g Z F F l B k f Y w f i T 6 i B g 4 c g 9 r + A X w E D v I 7 N 4 D 9 q S S g J m I r y t 5 E T l 8 O K E X Y / 4 P Q b x t C v n V 7 x 9 X M c N F H W H I N X D + v Z I J 9 d n 4 t x L e 9 g f L W w E 9 M r X b w E G T X a s b G Q X 2 N S e 0 e C X V l 4 g Q u D j d 3 3 V i 1 c D x C B S P 6 d J A N S m 1 E o Q B 8 t g 9 8 t P e f B X C E I 0 S e q O F t b Z N X n j + l 2 S 6 q 2 n / u d W 5 s X A q R d 5 U 6 E n X X 8 N q 4 J x F 9 O Z f U M 1 o N N q e D B 7 G N y f J c m s T 2 N j I 3 F M v Y m u i Z B o 5 v e 8 4 B x E Z V W p t a C p i p Q + K i n W + b C 2 q b i B m B D H M L d P A W i L e 3 t 4 l N O H A 3 i D K r K j S J F 1 Q V Y U V q 7 + w 9 s j R j P 7 9 n A F q q H T R R K 8 Z 6 x 6 5 H q P 9 3 j H 3 X R O s g b y 3 T f 0 0 v Y 0 6 V 5 g x 5 l l + G S h v 2 h H K v 9 P m / 0 + f T e D 6 V V F V n n y N J b c G j 7 A V l h J I s K + Q p w Z Y d N k b D K T C L n Y i X U k p B W e y X c s p + B K t M p 1 q z W 0 4 g I P C 3 C I N V R n L 9 N n Q P Q M 4 O 5 X d Y c K 5 g F M t A X j A p R l 5 K y 1 r I M 5 I Z 5 N m d 3 j X n D p o B F x P k J c S u h Z u T y 6 D m 1 6 9 i f t c M 8 6 D g b S 4 t G n q b S V Z 4 O 9 x J k S + R S / 6 M w E S Z e s Y b b 5 w T u N p E o V g s C 2 U s V 1 9 y i f / M w c E s B 0 v h h B t n O H n c 4 X B T k m E 5 Z N F 0 U 0 L n H N 7 T s R x o / m v x p j h U e c t 4 0 w i 1 E C 0 3 L t r i r c u 6 Q S g O s 5 W j H H x A R n R g R n A s p I a F s e g M t i B 9 r X Z C M W j J 6 X J D u f J c t J S v z 5 P F q M 0 o z M R + r F 8 G i Z v H 2 P / p f T 9 U E K 2 e v Q I L f b O T b V 9 2 6 q C L n T N j Y K 5 r X m u Z / L B e 1 M p H Z a r q 9 + q w T W B i y d f Y / H O x k b Q 7 f b H Q 5 9 q 9 s m w x z / D i Z d P M a 5 R e J E r K R J G 1 5 V g e a w 8 t g s R J / 1 A x q n 4 K a B X B W q 8 H Q 0 X W m b g R P T 6 V V a T Y e p m 4 G x u j 7 p H z n R C 2 F y G p Z k I m c z j 6 L J H n G C b T 9 N V w A s T 3 4 W g 9 W j 3 5 E a p f P o 2 U + W g p L e 4 f m A f g e D Y c S 1 B I z t K T k M Z 8 I l R 5 t V K 3 W K G 8 g F G A 0 / l Q m a R I X g J I 7 V E r i / j S O x K c E g s 5 K W M g n 7 R 3 t u N H U 8 G S / M W p U 5 G D T D 9 c K x t 8 4 u z s r k K m r c E v v 4 L B r f h z L 8 O j 7 L 0 8 k d 5 E L 0 q g O + j B C z y a s Z k I W b 8 R G 3 f D 4 9 W + E 5 L n u A s n 0 h c 7 I b z v s 4 2 t / g Q 9 + v O A I T x 7 Q t l 7 B r b O T 4 N n Z 8 Q 7 0 f / 5 3 4 / p z Y W s L E n U T J z r z 5 0 F Y I 0 G z 3 y t + L c m U Z 4 c l 2 f R m a S l b w T N p p 7 I g e / 5 U n 3 W G t / B 6 1 k k 7 9 x 1 q l n 0 j C X k n j G E B C o X V 8 n z U B S r 3 w N E D 7 B 4 0 Y k 5 X B a 0 p E V O 1 X + S F G 3 q X t 5 D b S t f r X 5 T U v y a 1 v w 8 h B f o O s 2 6 X z W A e s U / 1 2 i a F / / v U E s B A i 0 A F A A C A A g A y V V E U 9 H d V o y m A A A A + A A A A B I A A A A A A A A A A A A A A A A A A A A A A E N v b m Z p Z y 9 Q Y W N r Y W d l L n h t b F B L A Q I t A B Q A A g A I A M l V R F M P y u m r p A A A A O k A A A A T A A A A A A A A A A A A A A A A A P I A A A B b Q 2 9 u d G V u d F 9 U e X B l c 1 0 u e G 1 s U E s B A i 0 A F A A C A A g A y V V E U z 0 n k C h G B A A A s x o A A B M A A A A A A A A A A A A A A A A A 4 w E A A E Z v c m 1 1 b G F z L 1 N l Y 3 R p b 2 4 x L m 1 Q S w U G A A A A A A M A A w D C A A A A d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V U A A A A A A A C X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B e F Z y U E R i T m J 5 U V p y W H Y 5 S W 1 Z e C t 3 Q T B O V F Z n Q U J i c j N G O H B o N X B r V 2 h Z T j F C O G t M b G Z R Q U F B Q U F B Q U F B Q S t D M G h j U l o 4 N l V x U X p p Q X F w V G x Q N l F O U V J V T U F B Q U V B Q U F B Q U F B Q U F i c j N G O H B o N X B r V 2 h Z T j F C O G t M b G Z R T k V S V U 1 B Q U F J Q U F B Q U F B Q U F B a T R 6 U E 9 F U E Y 5 V V d n b k x w M G x S d 2 Q r U U 5 E V T F Z Q U F m Z 3 R J W E V X Z k 9 s S 2 t N N G d L c V U 1 V C t r Q U F B Q U E i I C 8 + P C 9 T d G F i b G V F b n R y a W V z P j w v S X R l b T 4 8 S X R l b T 4 8 S X R l b U x v Y 2 F 0 a W 9 u P j x J d G V t V H l w Z T 5 G b 3 J t d W x h P C 9 J d G V t V H l w Z T 4 8 S X R l b V B h d G g + U 2 V j d G l v b j E v R U N f S W 5 m b 1 9 H c m F u d W x h c m l 0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Q t M j J U M T I 6 M T A 6 M z Y u M z E 2 N j A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U N f S W 5 m b 1 9 H c m F u d W x h c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1 9 J b m Z v X 0 d y Y W 5 1 b G F y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x X 2 1 h c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Q t M j J U M T I 6 M T A 6 N T A u N D c 3 M z E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0 c x X 2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F f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B T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d y b 3 V w S U Q i I F Z h b H V l P S J z N z E y M T J k Z j g t N 2 M x N i 0 0 Y W U 5 L T k w Y 2 U t M j A y Y W E 1 M z k 0 Z m U 5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x h c 3 R V c G R h d G V k I i B W Y W x 1 Z T 0 i Z D I w M j E t M D U t M T J U M D Y 6 M j E 6 N T I u M D c 1 N T A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1 J V R E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U X V l c n l H c m 9 1 c E l E I i B W Y W x 1 Z T 0 i c z c x M j E y Z G Y 4 L T d j M T Y t N G F l O S 0 5 M G N l L T I w M m F h N T M 5 N G Z l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1 L T E y V D A 2 O j I y O j A 5 L j A x O D Y x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J T 0 1 B U 1 N f Q k l P R 0 F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R 3 J v d X B J R C I g V m F s d W U 9 I n M 3 M T I x M m R m O C 0 3 Y z E 2 L T R h Z T k t O T B j Z S 0 y M D J h Y T U z O T R m Z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x M l Q w N j o y N T o x M i 4 y M z I 0 M z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U E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R d W V y e U d y b 3 V w S U Q i I F Z h b H V l P S J z Z j J j N W J k N m U t N z k 5 O C 0 0 N W E 2 L W E x N j A t Z G Q 0 M W Y y N D J l N T d k I i A v P j x F b n R y e S B U e X B l P S J B Z G R l Z F R v R G F 0 Y U 1 v Z G V s I i B W Y W x 1 Z T 0 i b D A i I C 8 + P E V u d H J 5 I F R 5 c G U 9 I k Z p b G x M Y X N 0 V X B k Y X R l Z C I g V m F s d W U 9 I m Q y M D I x L T A 1 L T E y V D A 2 O j M z O j I x L j g 2 N T c y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Q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1 9 I U 0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R d W V y e U d y b 3 V w S U Q i I F Z h b H V l P S J z Z j J j N W J k N m U t N z k 5 O C 0 0 N W E 2 L W E x N j A t Z G Q 0 M W Y y N D J l N T d k I i A v P j x F b n R y e S B U e X B l P S J B Z G R l Z F R v R G F 0 Y U 1 v Z G V s I i B W Y W x 1 Z T 0 i b D A i I C 8 + P E V u d H J 5 I F R 5 c G U 9 I k Z p b G x M Y X N 0 V X B k Y X R l Z C I g V m F s d W U 9 I m Q y M D I x L T A 1 L T E y V D A 2 O j M y O j I z L j I 3 M z c 4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T X 0 h T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1 9 I U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E Z f U F B f T 1 R I R V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R d W V y e U d y b 3 V w S U Q i I F Z h b H V l P S J z Z j J j N W J k N m U t N z k 5 O C 0 0 N W E 2 L W E x N j A t Z G Q 0 M W Y y N D J l N T d k I i A v P j x F b n R y e S B U e X B l P S J B Z G R l Z F R v R G F 0 Y U 1 v Z G V s I i B W Y W x 1 Z T 0 i b D A i I C 8 + P E V u d H J 5 I F R 5 c G U 9 I k Z p b G x M Y X N 0 V X B k Y X R l Z C I g V m F s d W U 9 I m Q y M D I x L T A 1 L T E y V D A 2 O j M y O j Q z L j Q w M D U x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U R l 9 Q U F 9 P V E h F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E Z f U F B f T 1 R I R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E V D V F J J Q 0 l U W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R d W V y e U d y b 3 V w S U Q i I F Z h b H V l P S J z Z j J j N W J k N m U t N z k 5 O C 0 0 N W E 2 L W E x N j A t Z G Q 0 M W Y y N D J l N T d k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T R U M T Q 6 N D E 6 M j k u O D k 4 N z I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U x F Q 1 R S S U N J V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x F Q 1 R S S U N J V F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U N f V G F 4 Y X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E V D X 1 R h e G F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S 0 x M C 0 w N F Q w N T o x N j o x O S 4 1 N D I 3 N z k 1 W i I g L z 4 8 R W 5 0 c n k g V H l w Z T 0 i R m l s b F R h c m d l d E 5 h b W V D d X N 0 b 2 1 p e m V k I i B W Y W x 1 Z T 0 i b D E i I C 8 + P E V u d H J 5 I F R 5 c G U 9 I l F 1 Z X J 5 R 3 J v d X B J R C I g V m F s d W U 9 I n N j M 2 I z N T Y z M S 1 k N j Z j L T Q x Z j I t O W F k N y 1 i Z m Q y M j Y 2 M z F m Y j A i I C 8 + P E V u d H J 5 I F R 5 c G U 9 I l F 1 Z X J 5 S U Q i I F Z h b H V l P S J z N T c 4 M z k 3 O T A t N z Q x Y S 0 0 O W Z h L W I 0 Y z E t Z D R h N m I y N j J h N j M y I i A v P j x F b n R y e S B U e X B l P S J G a W x s Q 2 9 s d W 1 u V H l w Z X M i I F Z h b H V l P S J z Q m d Z R 0 F 3 V T 0 i I C 8 + P E V u d H J 5 I F R 5 c G U 9 I k Z p b G x F c n J v c k N v d W 5 0 I i B W Y W x 1 Z T 0 i b D A i I C 8 + P E V u d H J 5 I F R 5 c G U 9 I k Z p b G x D b 2 x 1 b W 5 O Y W 1 l c y I g V m F s d W U 9 I n N b J n F 1 b 3 Q 7 R W 5 l c m d 5 Q 2 F y c m l l c i Z x d W 9 0 O y w m c X V v d D t N b 2 R l b E d l b 2 d y Y X B o e S Z x d W 9 0 O y w m c X V v d D t T d W J H Z W 9 n c m F w a H k x J n F 1 b 3 Q 7 L C Z x d W 9 0 O 1 l l Y X I m c X V v d D s s J n F 1 b 3 Q 7 R m l 4 Z W R U Y X h P S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U N f V G F 4 Y X R p b 2 4 v U 2 9 1 c m N l L n t F b m V y Z 3 l D Y X J y a W V y L D B 9 J n F 1 b 3 Q 7 L C Z x d W 9 0 O 1 N l Y 3 R p b 2 4 x L 0 R F Q 1 9 U Y X h h d G l v b i 9 S Z X B s Y W N l Z C B W Y W x 1 Z T E u e 0 d l b 2 d y Y X B o a W N H c m F u d W x h c m l 0 e S w x f S Z x d W 9 0 O y w m c X V v d D t T Z W N 0 a W 9 u M S 9 E R U N f V G F 4 Y X R p b 2 4 v U 2 9 1 c m N l L n t T d W J H Z W 9 n c m F w a H k x L D J 9 J n F 1 b 3 Q 7 L C Z x d W 9 0 O 1 N l Y 3 R p b 2 4 x L 0 R F Q 1 9 U Y X h h d G l v b i 9 T b 3 V y Y 2 U u e 1 l l Y X I s M 3 0 m c X V v d D s s J n F 1 b 3 Q 7 U 2 V j d G l v b j E v R E V D X 1 R h e G F 0 a W 9 u L 1 N v d X J j Z S 5 7 R m l 4 Z W R U Y X h P S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U N f V G F 4 Y X R p b 2 4 v U 2 9 1 c m N l L n t F b m V y Z 3 l D Y X J y a W V y L D B 9 J n F 1 b 3 Q 7 L C Z x d W 9 0 O 1 N l Y 3 R p b 2 4 x L 0 R F Q 1 9 U Y X h h d G l v b i 9 S Z X B s Y W N l Z C B W Y W x 1 Z T E u e 0 d l b 2 d y Y X B o a W N H c m F u d W x h c m l 0 e S w x f S Z x d W 9 0 O y w m c X V v d D t T Z W N 0 a W 9 u M S 9 E R U N f V G F 4 Y X R p b 2 4 v U 2 9 1 c m N l L n t T d W J H Z W 9 n c m F w a H k x L D J 9 J n F 1 b 3 Q 7 L C Z x d W 9 0 O 1 N l Y 3 R p b 2 4 x L 0 R F Q 1 9 U Y X h h d G l v b i 9 T b 3 V y Y 2 U u e 1 l l Y X I s M 3 0 m c X V v d D s s J n F 1 b 3 Q 7 U 2 V j d G l v b j E v R E V D X 1 R h e G F 0 a W 9 u L 1 N v d X J j Z S 5 7 R m l 4 Z W R U Y X h P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D X 1 R h e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9 U Y X h h d G l v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D X 1 R h e G F 0 a W 9 u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D X 1 R h e G F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D X 1 R h e G F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Q U w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I y V D E z O j M z O j A 5 L j c 4 N j c 4 O T l a I i A v P j x F b n R y e S B U e X B l P S J G a W x s U 3 R h d H V z I i B W Y W x 1 Z T 0 i c 0 N v b X B s Z X R l I i A v P j x F b n R y e S B U e X B l P S J R d W V y e U d y b 3 V w S U Q i I F Z h b H V l P S J z N z E y M T J k Z j g t N 2 M x N i 0 0 Y W U 5 L T k w Y 2 U t M j A y Y W E 1 M z k 0 Z m U 5 I i A v P j w v U 3 R h Y m x l R W 5 0 c m l l c z 4 8 L 0 l 0 Z W 0 + P E l 0 Z W 0 + P E l 0 Z W 1 M b 2 N h d G l v b j 4 8 S X R l b V R 5 c G U + R m 9 y b X V s Y T w v S X R l b V R 5 c G U + P E l 0 Z W 1 Q Y X R o P l N l Y 3 R p b 2 4 x L 0 N P Q U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B T C U y M C g y K S 9 F e H B h b m R l Z C U y M F N H M V 9 t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F M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V R H Q V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3 M T I x M m R m O C 0 3 Y z E 2 L T R h Z T k t O T B j Z S 0 y M D J h Y T U z O T R m Z T k i I C 8 + P E V u d H J 5 I F R 5 c G U 9 I k Z p b G x M Y X N 0 V X B k Y X R l Z C I g V m F s d W U 9 I m Q y M D I x L T A 0 L T I z V D A 1 O j Q x O j E 5 L j Q 1 N D g 1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B V E d B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U N f S W 5 m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R U N f S W 5 m b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N v b H V t b l R 5 c G V z I i B W Y W x 1 Z T 0 i c 0 F B W U d B Q U F B Q U F B Q U F B Q T 0 i I C 8 + P E V u d H J 5 I F R 5 c G U 9 I k Z p b G x M Y X N 0 V X B k Y X R l Z C I g V m F s d W U 9 I m Q y M D I x L T E w L T A 0 V D A 1 O j E 2 O j E 2 L j Q z N D Q 0 M D R a I i A v P j x F b n R y e S B U e X B l P S J R d W V y e U d y b 3 V w S U Q i I F Z h b H V l P S J z M z h j Z j h j O G I t Y z U 0 M y 0 0 N W Y 1 L W E w O W M t Y m E 3 N D k 1 M W M x Z G Y 5 I i A v P j x F b n R y e S B U e X B l P S J R d W V y e U l E I i B W Y W x 1 Z T 0 i c z F j Z W U y M D I w L W I 3 Z j Q t N G Z h O S 1 h N z k x L W U 3 N T U y N T E z Z G E 3 N y I g L z 4 8 R W 5 0 c n k g V H l w Z T 0 i R m l s b E V y c m 9 y Q 2 9 1 b n Q i I F Z h b H V l P S J s M C I g L z 4 8 R W 5 0 c n k g V H l w Z T 0 i R m l s b E N v b H V t b k 5 h b W V z I i B W Y W x 1 Z T 0 i c 1 s m c X V v d D t F b m V y Z 3 l D Y X J y a W V y J n F 1 b 3 Q 7 L C Z x d W 9 0 O 0 1 v Z G V s R 2 V v Z 3 J h c G h 5 J n F 1 b 3 Q 7 L C Z x d W 9 0 O 1 N 1 Y k d l b 2 d y Y X B o e T E m c X V v d D s s J n F 1 b 3 Q 7 W W V h c i Z x d W 9 0 O y w m c X V v d D t O b 2 5 F b m V y Z 3 l T a G F y Z S Z x d W 9 0 O y w m c X V v d D t E b 2 1 l c 3 R p Y 1 B y a W N l J n F 1 b 3 Q 7 L C Z x d W 9 0 O 0 F W V G F 4 T 0 h E b 2 0 m c X V v d D s s J n F 1 b 3 Q 7 R m l 4 Z W R U Y X h P S E R v b S Z x d W 9 0 O y w m c X V v d D t J b X B v c n R Q c m l j Z S Z x d W 9 0 O y w m c X V v d D t B V l R h e E 9 I S W 1 w J n F 1 b 3 Q 7 L C Z x d W 9 0 O 0 Z p e G V k V G F 4 T 0 h J b X A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j g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U N f S W 5 m b y 9 B c H B l b m R l Z C B R d W V y e S 5 7 R W 5 l c m d 5 Q 2 F y c m l l c i w w f S Z x d W 9 0 O y w m c X V v d D t T Z W N 0 a W 9 u M S 9 Q R U N f S W 5 m b y 9 S Z X B s Y W N l Z C B W Y W x 1 Z T E u e 0 1 v Z G V s R 2 V v Z 3 J h c G h 5 L D F 9 J n F 1 b 3 Q 7 L C Z x d W 9 0 O 1 N l Y 3 R p b 2 4 x L 1 B F Q 1 9 J b m Z v L 0 F w c G V u Z G V k I F F 1 Z X J 5 L n t T d W J H Z W 9 n c m F w a H k x L D E w f S Z x d W 9 0 O y w m c X V v d D t T Z W N 0 a W 9 u M S 9 Q R U N f S W 5 m b y 9 B c H B l b m R l Z C B R d W V y e S 5 7 W W V h c i w y f S Z x d W 9 0 O y w m c X V v d D t T Z W N 0 a W 9 u M S 9 Q R U N f S W 5 m b y 9 B c H B l b m R l Z C B R d W V y e S 5 7 T m 9 u R W 5 l c m d 5 U 2 h h c m U s M 3 0 m c X V v d D s s J n F 1 b 3 Q 7 U 2 V j d G l v b j E v U E V D X 0 l u Z m 8 v Q X B w Z W 5 k Z W Q g U X V l c n k u e 0 R v b W V z d G l j U H J p Y 2 U s N H 0 m c X V v d D s s J n F 1 b 3 Q 7 U 2 V j d G l v b j E v U E V D X 0 l u Z m 8 v Q X B w Z W 5 k Z W Q g U X V l c n k u e 0 F W V G F 4 T 0 h E b 2 0 s N X 0 m c X V v d D s s J n F 1 b 3 Q 7 U 2 V j d G l v b j E v U E V D X 0 l u Z m 8 v Q X B w Z W 5 k Z W Q g U X V l c n k u e 0 Z p e G V k V G F 4 T 0 h E b 2 0 s N n 0 m c X V v d D s s J n F 1 b 3 Q 7 U 2 V j d G l v b j E v U E V D X 0 l u Z m 8 v Q X B w Z W 5 k Z W Q g U X V l c n k u e 0 l t c G 9 y d F B y a W N l L D d 9 J n F 1 b 3 Q 7 L C Z x d W 9 0 O 1 N l Y 3 R p b 2 4 x L 1 B F Q 1 9 J b m Z v L 0 F w c G V u Z G V k I F F 1 Z X J 5 L n t B V l R h e E 9 I S W 1 w L D h 9 J n F 1 b 3 Q 7 L C Z x d W 9 0 O 1 N l Y 3 R p b 2 4 x L 1 B F Q 1 9 J b m Z v L 0 F w c G V u Z G V k I F F 1 Z X J 5 L n t G a X h l Z F R h e E 9 I S W 1 w L D l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R U N f S W 5 m b y 9 B c H B l b m R l Z C B R d W V y e S 5 7 R W 5 l c m d 5 Q 2 F y c m l l c i w w f S Z x d W 9 0 O y w m c X V v d D t T Z W N 0 a W 9 u M S 9 Q R U N f S W 5 m b y 9 S Z X B s Y W N l Z C B W Y W x 1 Z T E u e 0 1 v Z G V s R 2 V v Z 3 J h c G h 5 L D F 9 J n F 1 b 3 Q 7 L C Z x d W 9 0 O 1 N l Y 3 R p b 2 4 x L 1 B F Q 1 9 J b m Z v L 0 F w c G V u Z G V k I F F 1 Z X J 5 L n t T d W J H Z W 9 n c m F w a H k x L D E w f S Z x d W 9 0 O y w m c X V v d D t T Z W N 0 a W 9 u M S 9 Q R U N f S W 5 m b y 9 B c H B l b m R l Z C B R d W V y e S 5 7 W W V h c i w y f S Z x d W 9 0 O y w m c X V v d D t T Z W N 0 a W 9 u M S 9 Q R U N f S W 5 m b y 9 B c H B l b m R l Z C B R d W V y e S 5 7 T m 9 u R W 5 l c m d 5 U 2 h h c m U s M 3 0 m c X V v d D s s J n F 1 b 3 Q 7 U 2 V j d G l v b j E v U E V D X 0 l u Z m 8 v Q X B w Z W 5 k Z W Q g U X V l c n k u e 0 R v b W V z d G l j U H J p Y 2 U s N H 0 m c X V v d D s s J n F 1 b 3 Q 7 U 2 V j d G l v b j E v U E V D X 0 l u Z m 8 v Q X B w Z W 5 k Z W Q g U X V l c n k u e 0 F W V G F 4 T 0 h E b 2 0 s N X 0 m c X V v d D s s J n F 1 b 3 Q 7 U 2 V j d G l v b j E v U E V D X 0 l u Z m 8 v Q X B w Z W 5 k Z W Q g U X V l c n k u e 0 Z p e G V k V G F 4 T 0 h E b 2 0 s N n 0 m c X V v d D s s J n F 1 b 3 Q 7 U 2 V j d G l v b j E v U E V D X 0 l u Z m 8 v Q X B w Z W 5 k Z W Q g U X V l c n k u e 0 l t c G 9 y d F B y a W N l L D d 9 J n F 1 b 3 Q 7 L C Z x d W 9 0 O 1 N l Y 3 R p b 2 4 x L 1 B F Q 1 9 J b m Z v L 0 F w c G V u Z G V k I F F 1 Z X J 5 L n t B V l R h e E 9 I S W 1 w L D h 9 J n F 1 b 3 Q 7 L C Z x d W 9 0 O 1 N l Y 3 R p b 2 4 x L 1 B F Q 1 9 J b m Z v L 0 F w c G V u Z G V k I F F 1 Z X J 5 L n t G a X h l Z F R h e E 9 I S W 1 w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F Q 1 9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Q 1 9 J b m Z v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U N f S W 5 m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D X 0 l u Z m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U N f S W 5 m b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V D X 0 l u Z m 8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U N f S W 5 m b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l V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U 9 N Q V N T X 0 J J T 0 d B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U 9 N Q V N T X 0 J J T 0 d B U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T 0 1 B U 1 N f Q k l P R 0 F T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P T U F T U 1 9 C S U 9 H Q V M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U 9 N Q V N T X 0 J J T 0 d B U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P T U F T U 1 9 C S U 9 H Q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U 9 N Q V N T X 0 J J T 0 d B U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T 0 1 B U 1 N f Q k l P R 0 F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Q U w v T X V s d G l w b H k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F M L 0 1 1 b H R p c G x 5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Q U w v T X V s d G l w b H k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B T C 9 N d W x 0 a X B s e S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l V E R S 9 N d W x 0 a X B s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V U R F L 0 1 1 b H R p c G x 5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V U R F L 0 1 1 b H R p c G x 5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V U R F L 0 1 1 b H R p c G x 5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X 0 h T R C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G X 1 B Q X 0 9 U S E V S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c v T X V s d G l w b G l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Z 3 m J c z n P T q O Z u T E k s D t U A A A A A A I A A A A A A B B m A A A A A Q A A I A A A A A H / L P k I A J o A V P 7 e N G T z X 8 K x m V W E X H w E d Q N z z v h L h L l n A A A A A A 6 A A A A A A g A A I A A A A N g O 3 Y A 3 6 N h A m H R e V G i W f b 1 S X 3 m A v C + k n J g w w 1 m 2 v I 6 g U A A A A C t Y I 0 e 2 c J m F 1 h f n E m 9 n j G l 1 Z E K T P j Z u n g 5 d m M 6 p n 8 J K Y B K + / p E y 3 7 j F P / 8 0 o S e i u s P 0 K 3 N s c Z + F + c 3 7 7 J G I X 8 V Y v W j D Q 5 I J a s j k / N c 1 W s i q Q A A A A E u s 0 T H I 3 c V 6 + W + 3 T X w s Y 6 2 t D u W q 0 y M i f c r f K 7 u X U f A U T k X D / P h X n u D o D 1 p V E e G l u Q 0 / p s y e d b x 1 u j Q 7 L A v h R r M = < / D a t a M a s h u p > 
</file>

<file path=customXml/itemProps1.xml><?xml version="1.0" encoding="utf-8"?>
<ds:datastoreItem xmlns:ds="http://schemas.openxmlformats.org/officeDocument/2006/customXml" ds:itemID="{91DD0745-6D20-4B0E-B40E-B84B8240CB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FileInfo</vt:lpstr>
      <vt:lpstr>Maps</vt:lpstr>
      <vt:lpstr>Growth-Rates</vt:lpstr>
      <vt:lpstr>COKING_COAL,STEAM_COAL</vt:lpstr>
      <vt:lpstr>CRUDE</vt:lpstr>
      <vt:lpstr>NATGAS</vt:lpstr>
      <vt:lpstr>BIOMASS, BIOGAS</vt:lpstr>
      <vt:lpstr>PEC_Info</vt:lpstr>
      <vt:lpstr>PEC_Info_Scen_assumptions</vt:lpstr>
      <vt:lpstr>PEC_Info LowREHighFossil</vt:lpstr>
      <vt:lpstr>PEC_Info HighRELowFossil</vt:lpstr>
      <vt:lpstr>ELECTRICITY</vt:lpstr>
      <vt:lpstr>LPG</vt:lpstr>
      <vt:lpstr>MS,HSD</vt:lpstr>
      <vt:lpstr>ATF,PP_OTHER</vt:lpstr>
      <vt:lpstr>DEC_Taxation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Narendra Pai</cp:lastModifiedBy>
  <dcterms:created xsi:type="dcterms:W3CDTF">2021-04-14T11:16:12Z</dcterms:created>
  <dcterms:modified xsi:type="dcterms:W3CDTF">2021-11-15T05:16:05Z</dcterms:modified>
</cp:coreProperties>
</file>