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5.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omments6.xml" ContentType="application/vnd.openxmlformats-officedocument.spreadsheetml.comments+xml"/>
  <Override PartName="/xl/comments7.xml" ContentType="application/vnd.openxmlformats-officedocument.spreadsheetml.comments+xml"/>
  <Override PartName="/xl/tables/table2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Prayas\EnMo\Rumi-India\Scenarios\Sens02_LowerSolarWindAddn\Supply\Source\"/>
    </mc:Choice>
  </mc:AlternateContent>
  <bookViews>
    <workbookView xWindow="-120" yWindow="-120" windowWidth="29040" windowHeight="15840" tabRatio="791"/>
  </bookViews>
  <sheets>
    <sheet name="FileInfo" sheetId="41" r:id="rId1"/>
    <sheet name="Maps" sheetId="32" r:id="rId2"/>
    <sheet name="MaxCapacity-Input" sheetId="33" r:id="rId3"/>
    <sheet name="HPM_QTR_rev_P63" sheetId="39" state="hidden" r:id="rId4"/>
    <sheet name="HPM_QTR_revP31" sheetId="40" r:id="rId5"/>
    <sheet name="HYDRO" sheetId="15" r:id="rId6"/>
    <sheet name="PHWR&amp;GAS" sheetId="16" r:id="rId7"/>
    <sheet name="PV&amp;WIND" sheetId="2" r:id="rId8"/>
    <sheet name="Electricity Potential" sheetId="26" r:id="rId9"/>
    <sheet name="Source-MNRE" sheetId="3" r:id="rId10"/>
    <sheet name="Source-BTI" sheetId="1" r:id="rId11"/>
    <sheet name="SECI-SolarParks" sheetId="5" state="hidden" r:id="rId12"/>
    <sheet name="CEA-underConsSOLAR0" sheetId="6" state="hidden" r:id="rId13"/>
    <sheet name="CEA-underConsSOLAR1" sheetId="7" state="hidden" r:id="rId14"/>
    <sheet name="CEA_underConsWIND0" sheetId="9" state="hidden" r:id="rId15"/>
    <sheet name="CEA-underConsWIND1" sheetId="10" state="hidden" r:id="rId16"/>
    <sheet name="CEA-underConsSOLAR2" sheetId="8" r:id="rId17"/>
    <sheet name="CEA-underConsWIND2" sheetId="11" r:id="rId18"/>
    <sheet name="COAL_CEA BSM Apr 2020" sheetId="27" r:id="rId19"/>
    <sheet name="COAL" sheetId="28" r:id="rId20"/>
    <sheet name="HYDRO RMLEU" sheetId="19" state="hidden" r:id="rId21"/>
    <sheet name="COAL_FY21additions" sheetId="37" r:id="rId22"/>
    <sheet name="BIOMASS&amp;SH" sheetId="38" r:id="rId23"/>
    <sheet name="RF" sheetId="34" r:id="rId24"/>
    <sheet name="HistoricalProdPP" sheetId="35" r:id="rId25"/>
    <sheet name="ECT_CapAddBounds" sheetId="36" r:id="rId26"/>
  </sheets>
  <definedNames>
    <definedName name="_xlnm._FilterDatabase" localSheetId="16" hidden="1">'CEA-underConsSOLAR2'!$B$3:$Q$64</definedName>
    <definedName name="_xlnm._FilterDatabase" localSheetId="17" hidden="1">'CEA-underConsWIND2'!$A$3:$R$52</definedName>
    <definedName name="_xlnm._FilterDatabase" localSheetId="18" hidden="1">'COAL_CEA BSM Apr 2020'!$A$5:$N$152</definedName>
    <definedName name="_xlnm._FilterDatabase" localSheetId="8" hidden="1">'Electricity Potential'!$A$4:$G$190</definedName>
    <definedName name="_xlnm._FilterDatabase" localSheetId="20" hidden="1">'HYDRO RMLEU'!$A$2:$N$55</definedName>
    <definedName name="ExternalData_1" localSheetId="25" hidden="1">ECT_CapAddBounds!$A$1:$G$2531</definedName>
    <definedName name="_xlnm.Print_Area" localSheetId="21">COAL_FY21additions!$B$1:$L$329</definedName>
    <definedName name="_xlnm.Print_Area" localSheetId="9">'Source-MNRE'!$B$2:$M$45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33" l="1"/>
  <c r="H12" i="33"/>
  <c r="I12" i="33"/>
  <c r="J12" i="33"/>
  <c r="K12" i="33"/>
  <c r="L12" i="33"/>
  <c r="M12" i="33"/>
  <c r="F12" i="33"/>
  <c r="F11" i="33"/>
  <c r="G11" i="33"/>
  <c r="H11" i="33"/>
  <c r="I11" i="33"/>
  <c r="J11" i="33"/>
  <c r="K11" i="33"/>
  <c r="L11" i="33"/>
  <c r="M11" i="33"/>
  <c r="E11" i="33"/>
  <c r="X68" i="16"/>
  <c r="Y68" i="16"/>
  <c r="X69" i="16"/>
  <c r="Y69" i="16"/>
  <c r="X70" i="16"/>
  <c r="Y70" i="16"/>
  <c r="X71" i="16"/>
  <c r="Y71" i="16"/>
  <c r="X72" i="16"/>
  <c r="Y72" i="16"/>
  <c r="X73" i="16"/>
  <c r="Y73" i="16"/>
  <c r="X74" i="16"/>
  <c r="Y74" i="16"/>
  <c r="X75" i="16"/>
  <c r="Y75" i="16"/>
  <c r="X76" i="16"/>
  <c r="Y76" i="16"/>
  <c r="X77" i="16"/>
  <c r="Y77" i="16"/>
  <c r="X78" i="16"/>
  <c r="Y78" i="16"/>
  <c r="X79" i="16"/>
  <c r="Y79" i="16"/>
  <c r="X80" i="16"/>
  <c r="Y80" i="16"/>
  <c r="X81" i="16"/>
  <c r="Y81" i="16"/>
  <c r="X82" i="16"/>
  <c r="Y82" i="16"/>
  <c r="X83" i="16"/>
  <c r="Y83" i="16"/>
  <c r="X84" i="16"/>
  <c r="Y84" i="16"/>
  <c r="X85" i="16"/>
  <c r="Y85" i="16"/>
  <c r="X86" i="16"/>
  <c r="Y86" i="16"/>
  <c r="X87" i="16"/>
  <c r="Y87" i="16"/>
  <c r="X88" i="16"/>
  <c r="Y88" i="16"/>
  <c r="X89" i="16"/>
  <c r="Y89" i="16"/>
  <c r="X90" i="16"/>
  <c r="Y90" i="16"/>
  <c r="X91" i="16"/>
  <c r="Y91" i="16"/>
  <c r="Y67" i="16"/>
  <c r="X67" i="16"/>
  <c r="V64" i="28"/>
  <c r="S29" i="38"/>
  <c r="T29" i="38"/>
  <c r="U29" i="38"/>
  <c r="V29" i="38"/>
  <c r="W29" i="38"/>
  <c r="X29" i="38"/>
  <c r="Y29" i="38"/>
  <c r="Z29" i="38"/>
  <c r="AA29" i="38"/>
  <c r="R29" i="38"/>
  <c r="N5" i="38"/>
  <c r="N6" i="38"/>
  <c r="N7" i="38"/>
  <c r="N8" i="38"/>
  <c r="N9" i="38"/>
  <c r="N10" i="38"/>
  <c r="N11" i="38"/>
  <c r="N12" i="38"/>
  <c r="N13" i="38"/>
  <c r="N14" i="38"/>
  <c r="N15" i="38"/>
  <c r="N16" i="38"/>
  <c r="N17" i="38"/>
  <c r="N18" i="38"/>
  <c r="N19" i="38"/>
  <c r="N20" i="38"/>
  <c r="N21" i="38"/>
  <c r="N22" i="38"/>
  <c r="N23" i="38"/>
  <c r="N24" i="38"/>
  <c r="N25" i="38"/>
  <c r="N26" i="38"/>
  <c r="N27" i="38"/>
  <c r="N28" i="38"/>
  <c r="N4" i="38"/>
  <c r="O14" i="38" l="1"/>
  <c r="V14" i="38" s="1"/>
  <c r="O28" i="38"/>
  <c r="X28" i="38" s="1"/>
  <c r="O22" i="38"/>
  <c r="X22" i="38" s="1"/>
  <c r="O16" i="38"/>
  <c r="Y16" i="38" s="1"/>
  <c r="O8" i="38"/>
  <c r="V8" i="38" s="1"/>
  <c r="T14" i="38"/>
  <c r="V28" i="38"/>
  <c r="W28" i="38"/>
  <c r="O4" i="38"/>
  <c r="O21" i="38"/>
  <c r="O15" i="38"/>
  <c r="O9" i="38"/>
  <c r="O26" i="38"/>
  <c r="O17" i="38"/>
  <c r="O27" i="38"/>
  <c r="O25" i="38"/>
  <c r="O19" i="38"/>
  <c r="O13" i="38"/>
  <c r="O7" i="38"/>
  <c r="O23" i="38"/>
  <c r="O11" i="38"/>
  <c r="O24" i="38"/>
  <c r="O18" i="38"/>
  <c r="O12" i="38"/>
  <c r="O6" i="38"/>
  <c r="O10" i="38"/>
  <c r="O5" i="38"/>
  <c r="O20" i="38"/>
  <c r="H67" i="33"/>
  <c r="I67" i="33"/>
  <c r="J67" i="33"/>
  <c r="K67" i="33"/>
  <c r="L67" i="33"/>
  <c r="H68" i="33"/>
  <c r="I68" i="33"/>
  <c r="J68" i="33"/>
  <c r="K68" i="33"/>
  <c r="L68" i="33"/>
  <c r="H69" i="33"/>
  <c r="I69" i="33"/>
  <c r="J69" i="33"/>
  <c r="K69" i="33"/>
  <c r="L69" i="33"/>
  <c r="H70" i="33"/>
  <c r="I70" i="33"/>
  <c r="J70" i="33"/>
  <c r="K70" i="33"/>
  <c r="L70" i="33"/>
  <c r="H71" i="33"/>
  <c r="I71" i="33"/>
  <c r="J71" i="33"/>
  <c r="K71" i="33"/>
  <c r="L71" i="33"/>
  <c r="H72" i="33"/>
  <c r="I72" i="33"/>
  <c r="J72" i="33"/>
  <c r="K72" i="33"/>
  <c r="L72" i="33"/>
  <c r="H73" i="33"/>
  <c r="I73" i="33"/>
  <c r="J73" i="33"/>
  <c r="K73" i="33"/>
  <c r="L73" i="33"/>
  <c r="H74" i="33"/>
  <c r="I74" i="33"/>
  <c r="J74" i="33"/>
  <c r="K74" i="33"/>
  <c r="L74" i="33"/>
  <c r="H75" i="33"/>
  <c r="I75" i="33"/>
  <c r="J75" i="33"/>
  <c r="K75" i="33"/>
  <c r="L75" i="33"/>
  <c r="H76" i="33"/>
  <c r="I76" i="33"/>
  <c r="J76" i="33"/>
  <c r="K76" i="33"/>
  <c r="L76" i="33"/>
  <c r="H77" i="33"/>
  <c r="I77" i="33"/>
  <c r="J77" i="33"/>
  <c r="K77" i="33"/>
  <c r="L77" i="33"/>
  <c r="H78" i="33"/>
  <c r="I78" i="33"/>
  <c r="J78" i="33"/>
  <c r="K78" i="33"/>
  <c r="L78" i="33"/>
  <c r="H79" i="33"/>
  <c r="I79" i="33"/>
  <c r="J79" i="33"/>
  <c r="K79" i="33"/>
  <c r="L79" i="33"/>
  <c r="H80" i="33"/>
  <c r="I80" i="33"/>
  <c r="J80" i="33"/>
  <c r="K80" i="33"/>
  <c r="L80" i="33"/>
  <c r="H81" i="33"/>
  <c r="I81" i="33"/>
  <c r="J81" i="33"/>
  <c r="K81" i="33"/>
  <c r="L81" i="33"/>
  <c r="H82" i="33"/>
  <c r="I82" i="33"/>
  <c r="J82" i="33"/>
  <c r="K82" i="33"/>
  <c r="L82" i="33"/>
  <c r="H83" i="33"/>
  <c r="I83" i="33"/>
  <c r="J83" i="33"/>
  <c r="K83" i="33"/>
  <c r="L83" i="33"/>
  <c r="H84" i="33"/>
  <c r="I84" i="33"/>
  <c r="J84" i="33"/>
  <c r="K84" i="33"/>
  <c r="L84" i="33"/>
  <c r="H85" i="33"/>
  <c r="I85" i="33"/>
  <c r="J85" i="33"/>
  <c r="K85" i="33"/>
  <c r="L85" i="33"/>
  <c r="H86" i="33"/>
  <c r="I86" i="33"/>
  <c r="J86" i="33"/>
  <c r="K86" i="33"/>
  <c r="L86" i="33"/>
  <c r="H87" i="33"/>
  <c r="I87" i="33"/>
  <c r="J87" i="33"/>
  <c r="K87" i="33"/>
  <c r="L87" i="33"/>
  <c r="H88" i="33"/>
  <c r="I88" i="33"/>
  <c r="J88" i="33"/>
  <c r="K88" i="33"/>
  <c r="L88" i="33"/>
  <c r="H89" i="33"/>
  <c r="I89" i="33"/>
  <c r="J89" i="33"/>
  <c r="K89" i="33"/>
  <c r="L89" i="33"/>
  <c r="H90" i="33"/>
  <c r="I90" i="33"/>
  <c r="J90" i="33"/>
  <c r="K90" i="33"/>
  <c r="L90" i="33"/>
  <c r="I66" i="33"/>
  <c r="J66" i="33"/>
  <c r="K66" i="33"/>
  <c r="L66" i="33"/>
  <c r="H66" i="33"/>
  <c r="G90" i="33"/>
  <c r="L65" i="33"/>
  <c r="K65" i="33"/>
  <c r="J65" i="33"/>
  <c r="I65" i="33"/>
  <c r="H65" i="33"/>
  <c r="G89" i="33"/>
  <c r="G88" i="33"/>
  <c r="G87" i="33"/>
  <c r="G86" i="33"/>
  <c r="G85" i="33"/>
  <c r="G84" i="33"/>
  <c r="G83" i="33"/>
  <c r="G82" i="33"/>
  <c r="G81" i="33"/>
  <c r="G80" i="33"/>
  <c r="G79" i="33"/>
  <c r="G78" i="33"/>
  <c r="G77" i="33"/>
  <c r="G76" i="33"/>
  <c r="G75" i="33"/>
  <c r="G74" i="33"/>
  <c r="G73" i="33"/>
  <c r="G72" i="33"/>
  <c r="G71" i="33"/>
  <c r="G70" i="33"/>
  <c r="G69" i="33"/>
  <c r="G68" i="33"/>
  <c r="G67" i="33"/>
  <c r="G66" i="33"/>
  <c r="G65" i="33"/>
  <c r="W22" i="38" l="1"/>
  <c r="V22" i="38"/>
  <c r="T28" i="38"/>
  <c r="Y22" i="38"/>
  <c r="V16" i="38"/>
  <c r="Z16" i="38"/>
  <c r="S16" i="38"/>
  <c r="W8" i="38"/>
  <c r="Z22" i="38"/>
  <c r="W14" i="38"/>
  <c r="AA8" i="38"/>
  <c r="Z14" i="38"/>
  <c r="AA14" i="38"/>
  <c r="R22" i="38"/>
  <c r="Y14" i="38"/>
  <c r="U14" i="38"/>
  <c r="X16" i="38"/>
  <c r="U16" i="38"/>
  <c r="T16" i="38"/>
  <c r="U28" i="38"/>
  <c r="Z28" i="38"/>
  <c r="R28" i="38"/>
  <c r="T8" i="38"/>
  <c r="AA28" i="38"/>
  <c r="S28" i="38"/>
  <c r="R14" i="38"/>
  <c r="Y28" i="38"/>
  <c r="X14" i="38"/>
  <c r="S8" i="38"/>
  <c r="S14" i="38"/>
  <c r="Z8" i="38"/>
  <c r="U8" i="38"/>
  <c r="U22" i="38"/>
  <c r="T22" i="38"/>
  <c r="X8" i="38"/>
  <c r="R8" i="38"/>
  <c r="W16" i="38"/>
  <c r="AA16" i="38"/>
  <c r="AA22" i="38"/>
  <c r="S22" i="38"/>
  <c r="Y8" i="38"/>
  <c r="R16" i="38"/>
  <c r="W9" i="38"/>
  <c r="Y9" i="38"/>
  <c r="R9" i="38"/>
  <c r="X9" i="38"/>
  <c r="S9" i="38"/>
  <c r="T9" i="38"/>
  <c r="Z9" i="38"/>
  <c r="U9" i="38"/>
  <c r="V9" i="38"/>
  <c r="AA9" i="38"/>
  <c r="S19" i="38"/>
  <c r="Y19" i="38"/>
  <c r="U19" i="38"/>
  <c r="T19" i="38"/>
  <c r="Z19" i="38"/>
  <c r="AA19" i="38"/>
  <c r="V19" i="38"/>
  <c r="X19" i="38"/>
  <c r="W19" i="38"/>
  <c r="R19" i="38"/>
  <c r="U20" i="38"/>
  <c r="AA20" i="38"/>
  <c r="W20" i="38"/>
  <c r="V20" i="38"/>
  <c r="R20" i="38"/>
  <c r="X20" i="38"/>
  <c r="S20" i="38"/>
  <c r="T20" i="38"/>
  <c r="Y20" i="38"/>
  <c r="Z20" i="38"/>
  <c r="W24" i="38"/>
  <c r="R24" i="38"/>
  <c r="X24" i="38"/>
  <c r="T24" i="38"/>
  <c r="Z24" i="38"/>
  <c r="S24" i="38"/>
  <c r="U24" i="38"/>
  <c r="V24" i="38"/>
  <c r="Y24" i="38"/>
  <c r="AA24" i="38"/>
  <c r="S25" i="38"/>
  <c r="Y25" i="38"/>
  <c r="T25" i="38"/>
  <c r="Z25" i="38"/>
  <c r="V25" i="38"/>
  <c r="R25" i="38"/>
  <c r="U25" i="38"/>
  <c r="W25" i="38"/>
  <c r="X25" i="38"/>
  <c r="AA25" i="38"/>
  <c r="W21" i="38"/>
  <c r="R21" i="38"/>
  <c r="X21" i="38"/>
  <c r="S21" i="38"/>
  <c r="T21" i="38"/>
  <c r="Z21" i="38"/>
  <c r="V21" i="38"/>
  <c r="Y21" i="38"/>
  <c r="AA21" i="38"/>
  <c r="U21" i="38"/>
  <c r="W12" i="38"/>
  <c r="S12" i="38"/>
  <c r="R12" i="38"/>
  <c r="X12" i="38"/>
  <c r="Y12" i="38"/>
  <c r="T12" i="38"/>
  <c r="Z12" i="38"/>
  <c r="V12" i="38"/>
  <c r="AA12" i="38"/>
  <c r="U12" i="38"/>
  <c r="W18" i="38"/>
  <c r="S18" i="38"/>
  <c r="R18" i="38"/>
  <c r="X18" i="38"/>
  <c r="Y18" i="38"/>
  <c r="T18" i="38"/>
  <c r="Z18" i="38"/>
  <c r="U18" i="38"/>
  <c r="V18" i="38"/>
  <c r="AA18" i="38"/>
  <c r="U5" i="38"/>
  <c r="AA5" i="38"/>
  <c r="V5" i="38"/>
  <c r="W5" i="38"/>
  <c r="R5" i="38"/>
  <c r="X5" i="38"/>
  <c r="S5" i="38"/>
  <c r="Y5" i="38"/>
  <c r="T5" i="38"/>
  <c r="Z5" i="38"/>
  <c r="U11" i="38"/>
  <c r="AA11" i="38"/>
  <c r="V11" i="38"/>
  <c r="W11" i="38"/>
  <c r="R11" i="38"/>
  <c r="X11" i="38"/>
  <c r="S11" i="38"/>
  <c r="T11" i="38"/>
  <c r="Y11" i="38"/>
  <c r="Z11" i="38"/>
  <c r="W27" i="38"/>
  <c r="R27" i="38"/>
  <c r="X27" i="38"/>
  <c r="T27" i="38"/>
  <c r="Z27" i="38"/>
  <c r="V27" i="38"/>
  <c r="Y27" i="38"/>
  <c r="AA27" i="38"/>
  <c r="U27" i="38"/>
  <c r="S27" i="38"/>
  <c r="V4" i="38"/>
  <c r="R4" i="38"/>
  <c r="W4" i="38"/>
  <c r="S4" i="38"/>
  <c r="Y4" i="38"/>
  <c r="AA4" i="38"/>
  <c r="T4" i="38"/>
  <c r="Z4" i="38"/>
  <c r="U4" i="38"/>
  <c r="X4" i="38"/>
  <c r="S13" i="38"/>
  <c r="Y13" i="38"/>
  <c r="U13" i="38"/>
  <c r="T13" i="38"/>
  <c r="Z13" i="38"/>
  <c r="AA13" i="38"/>
  <c r="V13" i="38"/>
  <c r="R13" i="38"/>
  <c r="W13" i="38"/>
  <c r="X13" i="38"/>
  <c r="S10" i="38"/>
  <c r="Y10" i="38"/>
  <c r="AA10" i="38"/>
  <c r="T10" i="38"/>
  <c r="Z10" i="38"/>
  <c r="U10" i="38"/>
  <c r="V10" i="38"/>
  <c r="X10" i="38"/>
  <c r="W10" i="38"/>
  <c r="R10" i="38"/>
  <c r="U23" i="38"/>
  <c r="AA23" i="38"/>
  <c r="V23" i="38"/>
  <c r="R23" i="38"/>
  <c r="X23" i="38"/>
  <c r="Z23" i="38"/>
  <c r="S23" i="38"/>
  <c r="Y23" i="38"/>
  <c r="T23" i="38"/>
  <c r="W23" i="38"/>
  <c r="U17" i="38"/>
  <c r="AA17" i="38"/>
  <c r="V17" i="38"/>
  <c r="W17" i="38"/>
  <c r="R17" i="38"/>
  <c r="X17" i="38"/>
  <c r="Z17" i="38"/>
  <c r="S17" i="38"/>
  <c r="T17" i="38"/>
  <c r="Y17" i="38"/>
  <c r="W15" i="38"/>
  <c r="Y15" i="38"/>
  <c r="R15" i="38"/>
  <c r="X15" i="38"/>
  <c r="S15" i="38"/>
  <c r="T15" i="38"/>
  <c r="Z15" i="38"/>
  <c r="AA15" i="38"/>
  <c r="U15" i="38"/>
  <c r="V15" i="38"/>
  <c r="W6" i="38"/>
  <c r="Y6" i="38"/>
  <c r="R6" i="38"/>
  <c r="X6" i="38"/>
  <c r="S6" i="38"/>
  <c r="T6" i="38"/>
  <c r="Z6" i="38"/>
  <c r="U6" i="38"/>
  <c r="AA6" i="38"/>
  <c r="V6" i="38"/>
  <c r="S7" i="38"/>
  <c r="Y7" i="38"/>
  <c r="T7" i="38"/>
  <c r="Z7" i="38"/>
  <c r="U7" i="38"/>
  <c r="AA7" i="38"/>
  <c r="V7" i="38"/>
  <c r="R7" i="38"/>
  <c r="W7" i="38"/>
  <c r="X7" i="38"/>
  <c r="U26" i="38"/>
  <c r="AA26" i="38"/>
  <c r="V26" i="38"/>
  <c r="R26" i="38"/>
  <c r="X26" i="38"/>
  <c r="T26" i="38"/>
  <c r="S26" i="38"/>
  <c r="W26" i="38"/>
  <c r="Y26" i="38"/>
  <c r="Z26" i="38"/>
  <c r="T39" i="16"/>
  <c r="T43" i="16"/>
  <c r="T47" i="16"/>
  <c r="T51" i="16"/>
  <c r="T55" i="16"/>
  <c r="T59" i="16"/>
  <c r="T38" i="16"/>
  <c r="Y38" i="16" s="1"/>
  <c r="AH12" i="15"/>
  <c r="AH16" i="15"/>
  <c r="AH20" i="15"/>
  <c r="N43" i="28"/>
  <c r="T40" i="16"/>
  <c r="T44" i="16"/>
  <c r="T48" i="16"/>
  <c r="T52" i="16"/>
  <c r="T56" i="16"/>
  <c r="T60" i="16"/>
  <c r="AH9" i="15"/>
  <c r="AH13" i="15"/>
  <c r="AH17" i="15"/>
  <c r="AH21" i="15"/>
  <c r="AH25" i="15"/>
  <c r="AH29" i="15"/>
  <c r="N40" i="28"/>
  <c r="N44" i="28"/>
  <c r="N48" i="28"/>
  <c r="N52" i="28"/>
  <c r="N56" i="28"/>
  <c r="N60" i="28"/>
  <c r="N55" i="28"/>
  <c r="T41" i="16"/>
  <c r="T45" i="16"/>
  <c r="T49" i="16"/>
  <c r="T53" i="16"/>
  <c r="T57" i="16"/>
  <c r="T61" i="16"/>
  <c r="AH6" i="15"/>
  <c r="AH10" i="15"/>
  <c r="AH14" i="15"/>
  <c r="AH18" i="15"/>
  <c r="AH22" i="15"/>
  <c r="AH26" i="15"/>
  <c r="AH5" i="15"/>
  <c r="N41" i="28"/>
  <c r="N45" i="28"/>
  <c r="N49" i="28"/>
  <c r="N53" i="28"/>
  <c r="N57" i="28"/>
  <c r="N61" i="28"/>
  <c r="AH8" i="15"/>
  <c r="AH24" i="15"/>
  <c r="N47" i="28"/>
  <c r="N59" i="28"/>
  <c r="T42" i="16"/>
  <c r="T46" i="16"/>
  <c r="T50" i="16"/>
  <c r="T54" i="16"/>
  <c r="T58" i="16"/>
  <c r="T62" i="16"/>
  <c r="AH7" i="15"/>
  <c r="AH11" i="15"/>
  <c r="AH15" i="15"/>
  <c r="AH19" i="15"/>
  <c r="AH23" i="15"/>
  <c r="AH27" i="15"/>
  <c r="N42" i="28"/>
  <c r="N46" i="28"/>
  <c r="N50" i="28"/>
  <c r="N54" i="28"/>
  <c r="N58" i="28"/>
  <c r="N62" i="28"/>
  <c r="AH28" i="15"/>
  <c r="N39" i="28"/>
  <c r="N51" i="28"/>
  <c r="N38" i="28"/>
  <c r="I38" i="33"/>
  <c r="J38" i="33"/>
  <c r="K38" i="33"/>
  <c r="L38" i="33"/>
  <c r="I39" i="33"/>
  <c r="J39" i="33"/>
  <c r="K39" i="33"/>
  <c r="L39" i="33"/>
  <c r="I40" i="33"/>
  <c r="J40" i="33"/>
  <c r="K40" i="33"/>
  <c r="L40" i="33"/>
  <c r="I41" i="33"/>
  <c r="J41" i="33"/>
  <c r="K41" i="33"/>
  <c r="L41" i="33"/>
  <c r="I42" i="33"/>
  <c r="J42" i="33"/>
  <c r="K42" i="33"/>
  <c r="L42" i="33"/>
  <c r="I43" i="33"/>
  <c r="J43" i="33"/>
  <c r="K43" i="33"/>
  <c r="L43" i="33"/>
  <c r="I44" i="33"/>
  <c r="J44" i="33"/>
  <c r="K44" i="33"/>
  <c r="L44" i="33"/>
  <c r="I45" i="33"/>
  <c r="J45" i="33"/>
  <c r="K45" i="33"/>
  <c r="L45" i="33"/>
  <c r="I46" i="33"/>
  <c r="J46" i="33"/>
  <c r="K46" i="33"/>
  <c r="L46" i="33"/>
  <c r="I47" i="33"/>
  <c r="J47" i="33"/>
  <c r="K47" i="33"/>
  <c r="L47" i="33"/>
  <c r="I48" i="33"/>
  <c r="J48" i="33"/>
  <c r="K48" i="33"/>
  <c r="L48" i="33"/>
  <c r="I49" i="33"/>
  <c r="J49" i="33"/>
  <c r="K49" i="33"/>
  <c r="L49" i="33"/>
  <c r="I50" i="33"/>
  <c r="J50" i="33"/>
  <c r="K50" i="33"/>
  <c r="L50" i="33"/>
  <c r="I51" i="33"/>
  <c r="J51" i="33"/>
  <c r="K51" i="33"/>
  <c r="L51" i="33"/>
  <c r="I52" i="33"/>
  <c r="J52" i="33"/>
  <c r="K52" i="33"/>
  <c r="L52" i="33"/>
  <c r="I53" i="33"/>
  <c r="J53" i="33"/>
  <c r="K53" i="33"/>
  <c r="L53" i="33"/>
  <c r="I54" i="33"/>
  <c r="J54" i="33"/>
  <c r="K54" i="33"/>
  <c r="L54" i="33"/>
  <c r="I55" i="33"/>
  <c r="J55" i="33"/>
  <c r="K55" i="33"/>
  <c r="L55" i="33"/>
  <c r="I56" i="33"/>
  <c r="J56" i="33"/>
  <c r="K56" i="33"/>
  <c r="L56" i="33"/>
  <c r="I57" i="33"/>
  <c r="J57" i="33"/>
  <c r="K57" i="33"/>
  <c r="L57" i="33"/>
  <c r="I58" i="33"/>
  <c r="J58" i="33"/>
  <c r="K58" i="33"/>
  <c r="L58" i="33"/>
  <c r="I59" i="33"/>
  <c r="J59" i="33"/>
  <c r="K59" i="33"/>
  <c r="L59" i="33"/>
  <c r="I60" i="33"/>
  <c r="J60" i="33"/>
  <c r="K60" i="33"/>
  <c r="L60" i="33"/>
  <c r="I61" i="33"/>
  <c r="J61" i="33"/>
  <c r="K61" i="33"/>
  <c r="L61" i="33"/>
  <c r="I62" i="33"/>
  <c r="J62" i="33"/>
  <c r="K62" i="33"/>
  <c r="L62" i="33"/>
  <c r="H39" i="33"/>
  <c r="H40" i="33"/>
  <c r="H41" i="33"/>
  <c r="H42" i="33"/>
  <c r="H43" i="33"/>
  <c r="H44" i="33"/>
  <c r="H45" i="33"/>
  <c r="H46" i="33"/>
  <c r="H47" i="33"/>
  <c r="H48" i="33"/>
  <c r="H49" i="33"/>
  <c r="H50" i="33"/>
  <c r="H51" i="33"/>
  <c r="H52" i="33"/>
  <c r="H53" i="33"/>
  <c r="H54" i="33"/>
  <c r="H55" i="33"/>
  <c r="H56" i="33"/>
  <c r="H57" i="33"/>
  <c r="H58" i="33"/>
  <c r="H59" i="33"/>
  <c r="H60" i="33"/>
  <c r="H61" i="33"/>
  <c r="H62" i="33"/>
  <c r="H38" i="33"/>
  <c r="L37" i="33"/>
  <c r="G39" i="33"/>
  <c r="G40" i="33"/>
  <c r="G41" i="33"/>
  <c r="G42" i="33"/>
  <c r="G43" i="33"/>
  <c r="G44" i="33"/>
  <c r="G45" i="33"/>
  <c r="G46" i="33"/>
  <c r="G47" i="33"/>
  <c r="G48" i="33"/>
  <c r="G49" i="33"/>
  <c r="G50" i="33"/>
  <c r="G51" i="33"/>
  <c r="G52" i="33"/>
  <c r="G53" i="33"/>
  <c r="G54" i="33"/>
  <c r="G55" i="33"/>
  <c r="G56" i="33"/>
  <c r="G57" i="33"/>
  <c r="G58" i="33"/>
  <c r="G59" i="33"/>
  <c r="G60" i="33"/>
  <c r="G61" i="33"/>
  <c r="G62" i="33"/>
  <c r="G38" i="33"/>
  <c r="I37" i="33"/>
  <c r="J37" i="33"/>
  <c r="K37" i="33"/>
  <c r="H37" i="33"/>
  <c r="Y39" i="16" l="1"/>
  <c r="Y43" i="16"/>
  <c r="Y47" i="16"/>
  <c r="Y51" i="16"/>
  <c r="Y55" i="16"/>
  <c r="Y59" i="16"/>
  <c r="Y42" i="16"/>
  <c r="Y48" i="16"/>
  <c r="X53" i="16"/>
  <c r="Y58" i="16"/>
  <c r="Y44" i="16"/>
  <c r="X49" i="16"/>
  <c r="Y54" i="16"/>
  <c r="Y60" i="16"/>
  <c r="Y40" i="16"/>
  <c r="X45" i="16"/>
  <c r="Y50" i="16"/>
  <c r="Y56" i="16"/>
  <c r="X61" i="16"/>
  <c r="X41" i="16"/>
  <c r="Y46" i="16"/>
  <c r="Y52" i="16"/>
  <c r="X57" i="16"/>
  <c r="Y62" i="16"/>
  <c r="Y57" i="16"/>
  <c r="Y41" i="16"/>
  <c r="X48" i="16"/>
  <c r="X60" i="16"/>
  <c r="X44" i="16"/>
  <c r="Y53" i="16"/>
  <c r="X56" i="16"/>
  <c r="X40" i="16"/>
  <c r="Y45" i="16"/>
  <c r="X38" i="16"/>
  <c r="X59" i="16"/>
  <c r="X51" i="16"/>
  <c r="X43" i="16"/>
  <c r="X58" i="16"/>
  <c r="X54" i="16"/>
  <c r="X46" i="16"/>
  <c r="X62" i="16" l="1"/>
  <c r="X52" i="16"/>
  <c r="X42" i="16"/>
  <c r="X50" i="16"/>
  <c r="X39" i="16"/>
  <c r="X47" i="16"/>
  <c r="X55" i="16"/>
  <c r="Y61" i="16"/>
  <c r="Y49" i="16"/>
  <c r="K29" i="33"/>
  <c r="K28" i="33"/>
  <c r="F18" i="33" l="1"/>
  <c r="F47" i="34" l="1"/>
  <c r="F36" i="34"/>
  <c r="F25" i="34"/>
  <c r="F14" i="34"/>
  <c r="AD30" i="2"/>
  <c r="AC30" i="2"/>
  <c r="AB30" i="2"/>
  <c r="AA30" i="2"/>
  <c r="Z30" i="2"/>
  <c r="Y30" i="2"/>
  <c r="X30" i="2"/>
  <c r="X64" i="2"/>
  <c r="Y64" i="2"/>
  <c r="Z64" i="2"/>
  <c r="AA64" i="2"/>
  <c r="AB64" i="2"/>
  <c r="AC64" i="2"/>
  <c r="AD64" i="2"/>
  <c r="Q5" i="15"/>
  <c r="L30" i="40"/>
  <c r="P29" i="15" s="1"/>
  <c r="L29" i="40"/>
  <c r="P28" i="15" s="1"/>
  <c r="L28" i="40"/>
  <c r="P27" i="15" s="1"/>
  <c r="L27" i="40"/>
  <c r="P26" i="15" s="1"/>
  <c r="L26" i="40"/>
  <c r="P25" i="15" s="1"/>
  <c r="L25" i="40"/>
  <c r="P24" i="15" s="1"/>
  <c r="L24" i="40"/>
  <c r="P23" i="15" s="1"/>
  <c r="L23" i="40"/>
  <c r="P22" i="15" s="1"/>
  <c r="L22" i="40"/>
  <c r="P21" i="15" s="1"/>
  <c r="L21" i="40"/>
  <c r="P20" i="15" s="1"/>
  <c r="L20" i="40"/>
  <c r="P19" i="15" s="1"/>
  <c r="L19" i="40"/>
  <c r="P18" i="15" s="1"/>
  <c r="L18" i="40"/>
  <c r="P17" i="15" s="1"/>
  <c r="L17" i="40"/>
  <c r="P16" i="15" s="1"/>
  <c r="L16" i="40"/>
  <c r="P15" i="15" s="1"/>
  <c r="L15" i="40"/>
  <c r="P14" i="15" s="1"/>
  <c r="L14" i="40"/>
  <c r="P13" i="15" s="1"/>
  <c r="L13" i="40"/>
  <c r="P12" i="15" s="1"/>
  <c r="L12" i="40"/>
  <c r="P11" i="15" s="1"/>
  <c r="L11" i="40"/>
  <c r="P10" i="15" s="1"/>
  <c r="L10" i="40"/>
  <c r="P9" i="15" s="1"/>
  <c r="L9" i="40"/>
  <c r="P8" i="15" s="1"/>
  <c r="L8" i="40"/>
  <c r="P7" i="15" s="1"/>
  <c r="L7" i="40"/>
  <c r="P6" i="15" s="1"/>
  <c r="L6" i="40"/>
  <c r="P5" i="15" s="1"/>
  <c r="E226" i="39"/>
  <c r="O224" i="39"/>
  <c r="O223" i="39"/>
  <c r="O222" i="39"/>
  <c r="O221" i="39"/>
  <c r="O220" i="39"/>
  <c r="O219" i="39"/>
  <c r="O218" i="39"/>
  <c r="O217" i="39"/>
  <c r="O216" i="39"/>
  <c r="O215" i="39"/>
  <c r="O214" i="39"/>
  <c r="O213" i="39"/>
  <c r="O212" i="39"/>
  <c r="O211" i="39"/>
  <c r="O210" i="39"/>
  <c r="O209" i="39"/>
  <c r="O208" i="39"/>
  <c r="O207" i="39"/>
  <c r="O206" i="39"/>
  <c r="O205" i="39"/>
  <c r="O204" i="39"/>
  <c r="O203" i="39"/>
  <c r="O202" i="39"/>
  <c r="O201" i="39"/>
  <c r="O200" i="39"/>
  <c r="O199" i="39"/>
  <c r="O198" i="39"/>
  <c r="O197" i="39"/>
  <c r="O196" i="39"/>
  <c r="O195" i="39"/>
  <c r="O194" i="39"/>
  <c r="O193" i="39"/>
  <c r="O192" i="39"/>
  <c r="O191" i="39"/>
  <c r="O190" i="39"/>
  <c r="O189" i="39"/>
  <c r="O188" i="39"/>
  <c r="O187" i="39"/>
  <c r="O186" i="39"/>
  <c r="O185" i="39"/>
  <c r="O184" i="39"/>
  <c r="O183" i="39"/>
  <c r="O182" i="39"/>
  <c r="O181" i="39"/>
  <c r="O180" i="39"/>
  <c r="O179" i="39"/>
  <c r="O178" i="39"/>
  <c r="O177" i="39"/>
  <c r="O176" i="39"/>
  <c r="O175" i="39"/>
  <c r="O174" i="39"/>
  <c r="O173" i="39"/>
  <c r="O172" i="39"/>
  <c r="O171" i="39"/>
  <c r="O170" i="39"/>
  <c r="O169" i="39"/>
  <c r="O168" i="39"/>
  <c r="O167" i="39"/>
  <c r="O166" i="39"/>
  <c r="O165" i="39"/>
  <c r="O164" i="39"/>
  <c r="O163" i="39"/>
  <c r="O162" i="39"/>
  <c r="O161" i="39"/>
  <c r="O160" i="39"/>
  <c r="O159" i="39"/>
  <c r="O158" i="39"/>
  <c r="O157" i="39"/>
  <c r="O156" i="39"/>
  <c r="O155" i="39"/>
  <c r="O154" i="39"/>
  <c r="O153" i="39"/>
  <c r="O152" i="39"/>
  <c r="O151" i="39"/>
  <c r="O150" i="39"/>
  <c r="O149" i="39"/>
  <c r="O148" i="39"/>
  <c r="O147" i="39"/>
  <c r="O146" i="39"/>
  <c r="O145" i="39"/>
  <c r="O144" i="39"/>
  <c r="O143" i="39"/>
  <c r="O142" i="39"/>
  <c r="O141" i="39"/>
  <c r="O140" i="39"/>
  <c r="O139" i="39"/>
  <c r="O138" i="39"/>
  <c r="O137" i="39"/>
  <c r="O136" i="39"/>
  <c r="O135" i="39"/>
  <c r="O134" i="39"/>
  <c r="O133" i="39"/>
  <c r="O132" i="39"/>
  <c r="O131" i="39"/>
  <c r="O130" i="39"/>
  <c r="O129" i="39"/>
  <c r="O128" i="39"/>
  <c r="O127" i="39"/>
  <c r="O126" i="39"/>
  <c r="O125" i="39"/>
  <c r="O124" i="39"/>
  <c r="O123" i="39"/>
  <c r="O122" i="39"/>
  <c r="O121" i="39"/>
  <c r="O120" i="39"/>
  <c r="O119" i="39"/>
  <c r="O118" i="39"/>
  <c r="O117" i="39"/>
  <c r="O116" i="39"/>
  <c r="O115" i="39"/>
  <c r="O114" i="39"/>
  <c r="O113" i="39"/>
  <c r="O112" i="39"/>
  <c r="O111" i="39"/>
  <c r="O110" i="39"/>
  <c r="O109" i="39"/>
  <c r="O108" i="39"/>
  <c r="O107" i="39"/>
  <c r="O106" i="39"/>
  <c r="O105" i="39"/>
  <c r="O104" i="39"/>
  <c r="O103" i="39"/>
  <c r="O102" i="39"/>
  <c r="O101" i="39"/>
  <c r="O100" i="39"/>
  <c r="O99" i="39"/>
  <c r="O98" i="39"/>
  <c r="O97" i="39"/>
  <c r="O96" i="39"/>
  <c r="O95" i="39"/>
  <c r="O94" i="39"/>
  <c r="O93" i="39"/>
  <c r="O92" i="39"/>
  <c r="O91" i="39"/>
  <c r="O90" i="39"/>
  <c r="O89" i="39"/>
  <c r="O88" i="39"/>
  <c r="O87" i="39"/>
  <c r="O86" i="39"/>
  <c r="O85" i="39"/>
  <c r="O84" i="39"/>
  <c r="O83" i="39"/>
  <c r="O82" i="39"/>
  <c r="O81" i="39"/>
  <c r="O80" i="39"/>
  <c r="O79" i="39"/>
  <c r="O78" i="39"/>
  <c r="O77" i="39"/>
  <c r="O76" i="39"/>
  <c r="O75" i="39"/>
  <c r="O74" i="39"/>
  <c r="O73" i="39"/>
  <c r="O72" i="39"/>
  <c r="O71" i="39"/>
  <c r="O70" i="39"/>
  <c r="O69" i="39"/>
  <c r="O68" i="39"/>
  <c r="O67" i="39"/>
  <c r="O66" i="39"/>
  <c r="O65" i="39"/>
  <c r="O64" i="39"/>
  <c r="O63" i="39"/>
  <c r="O62" i="39"/>
  <c r="O61" i="39"/>
  <c r="O60" i="39"/>
  <c r="O59" i="39"/>
  <c r="O58" i="39"/>
  <c r="O57" i="39"/>
  <c r="O56" i="39"/>
  <c r="O55" i="39"/>
  <c r="O54" i="39"/>
  <c r="O53" i="39"/>
  <c r="O52" i="39"/>
  <c r="O51" i="39"/>
  <c r="O50" i="39"/>
  <c r="O49" i="39"/>
  <c r="O48" i="39"/>
  <c r="O47" i="39"/>
  <c r="O46" i="39"/>
  <c r="O45" i="39"/>
  <c r="O44" i="39"/>
  <c r="O43" i="39"/>
  <c r="O42" i="39"/>
  <c r="O41" i="39"/>
  <c r="O40" i="39"/>
  <c r="O39" i="39"/>
  <c r="O38" i="39"/>
  <c r="O37" i="39"/>
  <c r="O36" i="39"/>
  <c r="O35" i="39"/>
  <c r="O34" i="39"/>
  <c r="O33" i="39"/>
  <c r="O32" i="39"/>
  <c r="O31" i="39"/>
  <c r="O30" i="39"/>
  <c r="R29" i="39"/>
  <c r="O29" i="39"/>
  <c r="R28" i="39"/>
  <c r="O28" i="39"/>
  <c r="O27" i="39"/>
  <c r="O26" i="39"/>
  <c r="R25" i="39"/>
  <c r="O25" i="39"/>
  <c r="R24" i="39"/>
  <c r="O24" i="39"/>
  <c r="O23" i="39"/>
  <c r="R22" i="39"/>
  <c r="O22" i="39"/>
  <c r="O21" i="39"/>
  <c r="R20" i="39"/>
  <c r="O20" i="39"/>
  <c r="O19" i="39"/>
  <c r="O18" i="39"/>
  <c r="O17" i="39"/>
  <c r="R16" i="39"/>
  <c r="O16" i="39"/>
  <c r="R15" i="39"/>
  <c r="O15" i="39"/>
  <c r="O14" i="39"/>
  <c r="O13" i="39"/>
  <c r="R12" i="39"/>
  <c r="O12" i="39"/>
  <c r="R11" i="39"/>
  <c r="O11" i="39"/>
  <c r="R10" i="39"/>
  <c r="O10" i="39"/>
  <c r="R9" i="39"/>
  <c r="O9" i="39"/>
  <c r="R8" i="39"/>
  <c r="O8" i="39"/>
  <c r="R7" i="39"/>
  <c r="O7" i="39"/>
  <c r="V5" i="15" l="1"/>
  <c r="AL5" i="15" s="1"/>
  <c r="R5" i="39"/>
  <c r="R14" i="39"/>
  <c r="R18" i="39"/>
  <c r="R19" i="39"/>
  <c r="R21" i="39"/>
  <c r="R26" i="39"/>
  <c r="R27" i="39"/>
  <c r="R13" i="39"/>
  <c r="R17" i="39"/>
  <c r="R6" i="39"/>
  <c r="R23" i="39"/>
  <c r="H17" i="35" l="1"/>
  <c r="G17" i="35"/>
  <c r="F17" i="35"/>
  <c r="E17" i="35"/>
  <c r="D17" i="35"/>
  <c r="C17" i="35"/>
  <c r="B17" i="35"/>
  <c r="L81" i="34"/>
  <c r="W14" i="37" l="1"/>
  <c r="X14" i="37"/>
  <c r="Y17" i="37"/>
  <c r="Y12" i="37"/>
  <c r="Y13" i="37"/>
  <c r="Y11" i="37"/>
  <c r="O36" i="37"/>
  <c r="Y14" i="37" l="1"/>
  <c r="O74" i="37"/>
  <c r="O36" i="38" l="1"/>
  <c r="O37" i="38"/>
  <c r="O38" i="38"/>
  <c r="O39" i="38"/>
  <c r="O40" i="38"/>
  <c r="O41" i="38"/>
  <c r="O42" i="38"/>
  <c r="O43" i="38"/>
  <c r="O44" i="38"/>
  <c r="O45" i="38"/>
  <c r="O46" i="38"/>
  <c r="O47" i="38"/>
  <c r="O48" i="38"/>
  <c r="O49" i="38"/>
  <c r="O50" i="38"/>
  <c r="O51" i="38"/>
  <c r="O52" i="38"/>
  <c r="O53" i="38"/>
  <c r="O54" i="38"/>
  <c r="O55" i="38"/>
  <c r="O56" i="38"/>
  <c r="O57" i="38"/>
  <c r="O58" i="38"/>
  <c r="O59" i="38"/>
  <c r="O35" i="38"/>
  <c r="AC36" i="38"/>
  <c r="AC37" i="38"/>
  <c r="AC38" i="38"/>
  <c r="AC39" i="38"/>
  <c r="AC40" i="38"/>
  <c r="AC41" i="38"/>
  <c r="AC42" i="38"/>
  <c r="AC43" i="38"/>
  <c r="AC44" i="38"/>
  <c r="AC45" i="38"/>
  <c r="AC46" i="38"/>
  <c r="AC47" i="38"/>
  <c r="AC48" i="38"/>
  <c r="AC49" i="38"/>
  <c r="AC50" i="38"/>
  <c r="AC51" i="38"/>
  <c r="AC52" i="38"/>
  <c r="AC53" i="38"/>
  <c r="AC54" i="38"/>
  <c r="AC55" i="38"/>
  <c r="AC56" i="38"/>
  <c r="AC57" i="38"/>
  <c r="AC58" i="38"/>
  <c r="AC59" i="38"/>
  <c r="AC35" i="38"/>
  <c r="S60" i="38" l="1"/>
  <c r="S42" i="38" s="1"/>
  <c r="T60" i="38"/>
  <c r="T55" i="38" s="1"/>
  <c r="U60" i="38"/>
  <c r="U40" i="38" s="1"/>
  <c r="V60" i="38"/>
  <c r="V55" i="38" s="1"/>
  <c r="W60" i="38"/>
  <c r="W55" i="38" s="1"/>
  <c r="X60" i="38"/>
  <c r="X38" i="38" s="1"/>
  <c r="Y60" i="38"/>
  <c r="Y59" i="38" s="1"/>
  <c r="Z60" i="38"/>
  <c r="Z59" i="38" s="1"/>
  <c r="AA60" i="38"/>
  <c r="AA52" i="38" s="1"/>
  <c r="R60" i="38"/>
  <c r="R42" i="38" s="1"/>
  <c r="O241" i="37"/>
  <c r="O240" i="37"/>
  <c r="O239" i="37"/>
  <c r="O238" i="37"/>
  <c r="O237" i="37"/>
  <c r="O236" i="37"/>
  <c r="O235" i="37"/>
  <c r="S11" i="37" s="1"/>
  <c r="O234" i="37"/>
  <c r="O233" i="37"/>
  <c r="O232" i="37"/>
  <c r="O231" i="37"/>
  <c r="O230" i="37"/>
  <c r="O229" i="37"/>
  <c r="O228" i="37"/>
  <c r="O227" i="37"/>
  <c r="O226" i="37"/>
  <c r="O225" i="37"/>
  <c r="O224" i="37"/>
  <c r="O223" i="37"/>
  <c r="O222" i="37"/>
  <c r="O221" i="37"/>
  <c r="O220" i="37"/>
  <c r="S20" i="37" s="1"/>
  <c r="O219" i="37"/>
  <c r="O218" i="37"/>
  <c r="O217" i="37"/>
  <c r="O216" i="37"/>
  <c r="S13" i="37" s="1"/>
  <c r="O215" i="37"/>
  <c r="O214" i="37"/>
  <c r="O213" i="37"/>
  <c r="O202" i="37"/>
  <c r="O201" i="37"/>
  <c r="O200" i="37"/>
  <c r="O199" i="37"/>
  <c r="O198" i="37"/>
  <c r="O197" i="37"/>
  <c r="O196" i="37"/>
  <c r="O195" i="37"/>
  <c r="O194" i="37"/>
  <c r="O193" i="37"/>
  <c r="O192" i="37"/>
  <c r="O191" i="37"/>
  <c r="O190" i="37"/>
  <c r="O189" i="37"/>
  <c r="O188" i="37"/>
  <c r="O187" i="37"/>
  <c r="O186" i="37"/>
  <c r="O185" i="37"/>
  <c r="O184" i="37"/>
  <c r="O183" i="37"/>
  <c r="O182" i="37"/>
  <c r="O181" i="37"/>
  <c r="O180" i="37"/>
  <c r="O179" i="37"/>
  <c r="O178" i="37"/>
  <c r="O177" i="37"/>
  <c r="S29" i="37" s="1"/>
  <c r="O176" i="37"/>
  <c r="O175" i="37"/>
  <c r="O174" i="37"/>
  <c r="O173" i="37"/>
  <c r="O172" i="37"/>
  <c r="O171" i="37"/>
  <c r="O170" i="37"/>
  <c r="O157" i="37"/>
  <c r="O156" i="37"/>
  <c r="O155" i="37"/>
  <c r="O154" i="37"/>
  <c r="O153" i="37"/>
  <c r="O152" i="37"/>
  <c r="O151" i="37"/>
  <c r="O150" i="37"/>
  <c r="O149" i="37"/>
  <c r="O148" i="37"/>
  <c r="S24" i="37" s="1"/>
  <c r="O147" i="37"/>
  <c r="O146" i="37"/>
  <c r="O145" i="37"/>
  <c r="O144" i="37"/>
  <c r="S14" i="37" s="1"/>
  <c r="O143" i="37"/>
  <c r="O142" i="37"/>
  <c r="O141" i="37"/>
  <c r="O140" i="37"/>
  <c r="S23" i="37" s="1"/>
  <c r="O139" i="37"/>
  <c r="O138" i="37"/>
  <c r="O137" i="37"/>
  <c r="O136" i="37"/>
  <c r="S16" i="37" s="1"/>
  <c r="O135" i="37"/>
  <c r="O134" i="37"/>
  <c r="O133" i="37"/>
  <c r="O132" i="37"/>
  <c r="O131" i="37"/>
  <c r="O130" i="37"/>
  <c r="O129" i="37"/>
  <c r="O128" i="37"/>
  <c r="S15" i="37" s="1"/>
  <c r="O127" i="37"/>
  <c r="O126" i="37"/>
  <c r="O125" i="37"/>
  <c r="O115" i="37"/>
  <c r="O114" i="37"/>
  <c r="O113" i="37"/>
  <c r="O112" i="37"/>
  <c r="O111" i="37"/>
  <c r="O110" i="37"/>
  <c r="O109" i="37"/>
  <c r="O108" i="37"/>
  <c r="O107" i="37"/>
  <c r="O106" i="37"/>
  <c r="O105" i="37"/>
  <c r="O104" i="37"/>
  <c r="O103" i="37"/>
  <c r="O102" i="37"/>
  <c r="O101" i="37"/>
  <c r="S30" i="37" s="1"/>
  <c r="O100" i="37"/>
  <c r="O99" i="37"/>
  <c r="O98" i="37"/>
  <c r="O97" i="37"/>
  <c r="S27" i="37" s="1"/>
  <c r="O96" i="37"/>
  <c r="O95" i="37"/>
  <c r="O94" i="37"/>
  <c r="O93" i="37"/>
  <c r="S26" i="37" s="1"/>
  <c r="O92" i="37"/>
  <c r="O91" i="37"/>
  <c r="O90" i="37"/>
  <c r="O89" i="37"/>
  <c r="S19" i="37" s="1"/>
  <c r="O88" i="37"/>
  <c r="O87" i="37"/>
  <c r="O86" i="37"/>
  <c r="O85" i="37"/>
  <c r="O84" i="37"/>
  <c r="O83" i="37"/>
  <c r="O82" i="37"/>
  <c r="O81" i="37"/>
  <c r="S17" i="37" s="1"/>
  <c r="O80" i="37"/>
  <c r="O79" i="37"/>
  <c r="O78" i="37"/>
  <c r="O77" i="37"/>
  <c r="O76" i="37"/>
  <c r="O75" i="37"/>
  <c r="O44" i="37"/>
  <c r="O43" i="37"/>
  <c r="O42" i="37"/>
  <c r="O41" i="37"/>
  <c r="O40" i="37"/>
  <c r="O39" i="37"/>
  <c r="O38" i="37"/>
  <c r="O37" i="37"/>
  <c r="O35" i="37"/>
  <c r="S34" i="37"/>
  <c r="O34" i="37"/>
  <c r="O33" i="37"/>
  <c r="S32" i="37"/>
  <c r="O32" i="37"/>
  <c r="S31" i="37"/>
  <c r="O31" i="37"/>
  <c r="O30" i="37"/>
  <c r="O29" i="37"/>
  <c r="S28" i="37"/>
  <c r="O28" i="37"/>
  <c r="O27" i="37"/>
  <c r="O26" i="37"/>
  <c r="S25" i="37"/>
  <c r="O25" i="37"/>
  <c r="O24" i="37"/>
  <c r="O23" i="37"/>
  <c r="S22" i="37"/>
  <c r="O22" i="37"/>
  <c r="S21" i="37"/>
  <c r="O21" i="37"/>
  <c r="O20" i="37"/>
  <c r="O19" i="37"/>
  <c r="S18" i="37"/>
  <c r="O18" i="37"/>
  <c r="O17" i="37"/>
  <c r="O16" i="37"/>
  <c r="O15" i="37"/>
  <c r="O14" i="37"/>
  <c r="O13" i="37"/>
  <c r="S12" i="37"/>
  <c r="O12" i="37"/>
  <c r="O11" i="37"/>
  <c r="S10" i="37"/>
  <c r="O10" i="37"/>
  <c r="O9" i="37"/>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6" i="3"/>
  <c r="AD7" i="3"/>
  <c r="AD8" i="3"/>
  <c r="AD15" i="3"/>
  <c r="AD21" i="3"/>
  <c r="AD23" i="3"/>
  <c r="AD24" i="3"/>
  <c r="AD28" i="3"/>
  <c r="AD31" i="3"/>
  <c r="AD35" i="3"/>
  <c r="AD36" i="3"/>
  <c r="AD37" i="3"/>
  <c r="AD38" i="3"/>
  <c r="AD40" i="3"/>
  <c r="AD41" i="3"/>
  <c r="AD42" i="3"/>
  <c r="AC42"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6" i="3"/>
  <c r="N7" i="3"/>
  <c r="AA7" i="3" s="1"/>
  <c r="N8" i="3"/>
  <c r="AA8" i="3" s="1"/>
  <c r="N9" i="3"/>
  <c r="AA9" i="3" s="1"/>
  <c r="N10" i="3"/>
  <c r="AA10" i="3" s="1"/>
  <c r="N11" i="3"/>
  <c r="AA11" i="3" s="1"/>
  <c r="N12" i="3"/>
  <c r="AA12" i="3" s="1"/>
  <c r="N13" i="3"/>
  <c r="AA13" i="3" s="1"/>
  <c r="N14" i="3"/>
  <c r="AA14" i="3" s="1"/>
  <c r="N15" i="3"/>
  <c r="AA15" i="3" s="1"/>
  <c r="N16" i="3"/>
  <c r="AA16" i="3" s="1"/>
  <c r="N17" i="3"/>
  <c r="AA17" i="3" s="1"/>
  <c r="N18" i="3"/>
  <c r="AA18" i="3" s="1"/>
  <c r="N19" i="3"/>
  <c r="AA19" i="3" s="1"/>
  <c r="N20" i="3"/>
  <c r="AA20" i="3" s="1"/>
  <c r="N21" i="3"/>
  <c r="AA21" i="3" s="1"/>
  <c r="N22" i="3"/>
  <c r="AA22" i="3" s="1"/>
  <c r="N23" i="3"/>
  <c r="AA23" i="3" s="1"/>
  <c r="N24" i="3"/>
  <c r="AA24" i="3" s="1"/>
  <c r="N25" i="3"/>
  <c r="AA25" i="3" s="1"/>
  <c r="N26" i="3"/>
  <c r="AA26" i="3" s="1"/>
  <c r="N27" i="3"/>
  <c r="AA27" i="3" s="1"/>
  <c r="N28" i="3"/>
  <c r="AA28" i="3" s="1"/>
  <c r="N29" i="3"/>
  <c r="AA29" i="3" s="1"/>
  <c r="N30" i="3"/>
  <c r="AA30" i="3" s="1"/>
  <c r="N31" i="3"/>
  <c r="AA31" i="3" s="1"/>
  <c r="N32" i="3"/>
  <c r="AA32" i="3" s="1"/>
  <c r="N33" i="3"/>
  <c r="AA33" i="3" s="1"/>
  <c r="N34" i="3"/>
  <c r="AA34" i="3" s="1"/>
  <c r="N35" i="3"/>
  <c r="AA35" i="3" s="1"/>
  <c r="N36" i="3"/>
  <c r="AA36" i="3" s="1"/>
  <c r="N37" i="3"/>
  <c r="AA37" i="3" s="1"/>
  <c r="N38" i="3"/>
  <c r="AA38" i="3" s="1"/>
  <c r="N39" i="3"/>
  <c r="AA39" i="3" s="1"/>
  <c r="N40" i="3"/>
  <c r="AA40" i="3" s="1"/>
  <c r="N41" i="3"/>
  <c r="AA41" i="3" s="1"/>
  <c r="N42" i="3"/>
  <c r="AA42" i="3" s="1"/>
  <c r="N43" i="3"/>
  <c r="N44" i="3"/>
  <c r="AA44" i="3" s="1"/>
  <c r="N6" i="3"/>
  <c r="AA6" i="3" s="1"/>
  <c r="R56" i="38" l="1"/>
  <c r="X35" i="38"/>
  <c r="X58" i="38"/>
  <c r="S56" i="38"/>
  <c r="V49" i="38"/>
  <c r="V45" i="38"/>
  <c r="R35" i="38"/>
  <c r="W41" i="38"/>
  <c r="W45" i="38"/>
  <c r="W37" i="38"/>
  <c r="Y45" i="38"/>
  <c r="Y38" i="38"/>
  <c r="S38" i="38"/>
  <c r="S48" i="38"/>
  <c r="R43" i="38"/>
  <c r="S59" i="38"/>
  <c r="W38" i="38"/>
  <c r="X48" i="38"/>
  <c r="R51" i="38"/>
  <c r="Y40" i="38"/>
  <c r="Y42" i="38"/>
  <c r="S44" i="38"/>
  <c r="Y57" i="38"/>
  <c r="S46" i="38"/>
  <c r="S50" i="38"/>
  <c r="S39" i="38"/>
  <c r="X53" i="38"/>
  <c r="Y52" i="38"/>
  <c r="X37" i="38"/>
  <c r="AA50" i="38"/>
  <c r="W44" i="38"/>
  <c r="W47" i="38"/>
  <c r="W48" i="38"/>
  <c r="X39" i="38"/>
  <c r="W57" i="38"/>
  <c r="Y36" i="38"/>
  <c r="Y43" i="38"/>
  <c r="X40" i="38"/>
  <c r="W52" i="38"/>
  <c r="AA41" i="38"/>
  <c r="X42" i="38"/>
  <c r="AA37" i="38"/>
  <c r="Y44" i="38"/>
  <c r="X50" i="38"/>
  <c r="Y47" i="38"/>
  <c r="Y49" i="38"/>
  <c r="W39" i="38"/>
  <c r="Y51" i="38"/>
  <c r="U57" i="38"/>
  <c r="W36" i="38"/>
  <c r="X43" i="38"/>
  <c r="AA46" i="38"/>
  <c r="X52" i="38"/>
  <c r="W59" i="38"/>
  <c r="W42" i="38"/>
  <c r="Y37" i="38"/>
  <c r="W56" i="38"/>
  <c r="S47" i="38"/>
  <c r="S45" i="38"/>
  <c r="X51" i="38"/>
  <c r="W53" i="38"/>
  <c r="Y35" i="38"/>
  <c r="W43" i="38"/>
  <c r="Y46" i="38"/>
  <c r="Y58" i="38"/>
  <c r="AA59" i="38"/>
  <c r="Y54" i="38"/>
  <c r="S37" i="38"/>
  <c r="W50" i="38"/>
  <c r="AA39" i="38"/>
  <c r="AA53" i="38"/>
  <c r="W54" i="38"/>
  <c r="R38" i="38"/>
  <c r="V50" i="38"/>
  <c r="X56" i="38"/>
  <c r="Y48" i="38"/>
  <c r="Y39" i="38"/>
  <c r="X45" i="38"/>
  <c r="W51" i="38"/>
  <c r="S53" i="38"/>
  <c r="W35" i="38"/>
  <c r="W40" i="38"/>
  <c r="R46" i="38"/>
  <c r="Y41" i="38"/>
  <c r="X59" i="38"/>
  <c r="AA54" i="38"/>
  <c r="Y55" i="38"/>
  <c r="Z56" i="38"/>
  <c r="Z48" i="38"/>
  <c r="Z45" i="38"/>
  <c r="Z35" i="38"/>
  <c r="Z43" i="38"/>
  <c r="Z40" i="38"/>
  <c r="Z52" i="38"/>
  <c r="V38" i="38"/>
  <c r="V44" i="38"/>
  <c r="T44" i="38"/>
  <c r="U50" i="38"/>
  <c r="R50" i="38"/>
  <c r="Y56" i="38"/>
  <c r="V47" i="38"/>
  <c r="Z47" i="38"/>
  <c r="R48" i="38"/>
  <c r="T48" i="38"/>
  <c r="S49" i="38"/>
  <c r="Z39" i="38"/>
  <c r="R39" i="38"/>
  <c r="R45" i="38"/>
  <c r="T45" i="38"/>
  <c r="AA51" i="38"/>
  <c r="S57" i="38"/>
  <c r="V57" i="38"/>
  <c r="U53" i="38"/>
  <c r="R53" i="38"/>
  <c r="S36" i="38"/>
  <c r="T35" i="38"/>
  <c r="V35" i="38"/>
  <c r="T43" i="38"/>
  <c r="V43" i="38"/>
  <c r="T40" i="38"/>
  <c r="U46" i="38"/>
  <c r="W46" i="38"/>
  <c r="T52" i="38"/>
  <c r="V52" i="38"/>
  <c r="S58" i="38"/>
  <c r="S41" i="38"/>
  <c r="U41" i="38"/>
  <c r="U59" i="38"/>
  <c r="R59" i="38"/>
  <c r="V42" i="38"/>
  <c r="S54" i="38"/>
  <c r="U54" i="38"/>
  <c r="U37" i="38"/>
  <c r="R37" i="38"/>
  <c r="S55" i="38"/>
  <c r="AA38" i="38"/>
  <c r="AA44" i="38"/>
  <c r="X44" i="38"/>
  <c r="Z50" i="38"/>
  <c r="AA47" i="38"/>
  <c r="X47" i="38"/>
  <c r="AA49" i="38"/>
  <c r="X49" i="38"/>
  <c r="U39" i="38"/>
  <c r="U51" i="38"/>
  <c r="X57" i="38"/>
  <c r="Z57" i="38"/>
  <c r="T53" i="38"/>
  <c r="AA36" i="38"/>
  <c r="X36" i="38"/>
  <c r="AA35" i="38"/>
  <c r="Z46" i="38"/>
  <c r="X46" i="38"/>
  <c r="AA58" i="38"/>
  <c r="R58" i="38"/>
  <c r="X41" i="38"/>
  <c r="Z41" i="38"/>
  <c r="T59" i="38"/>
  <c r="AA42" i="38"/>
  <c r="X54" i="38"/>
  <c r="Z54" i="38"/>
  <c r="Z37" i="38"/>
  <c r="U55" i="38"/>
  <c r="X55" i="38"/>
  <c r="U38" i="38"/>
  <c r="U44" i="38"/>
  <c r="R44" i="38"/>
  <c r="Y50" i="38"/>
  <c r="V56" i="38"/>
  <c r="T56" i="38"/>
  <c r="U47" i="38"/>
  <c r="R47" i="38"/>
  <c r="V48" i="38"/>
  <c r="U49" i="38"/>
  <c r="W49" i="38"/>
  <c r="T39" i="38"/>
  <c r="V39" i="38"/>
  <c r="AA45" i="38"/>
  <c r="S51" i="38"/>
  <c r="V51" i="38"/>
  <c r="R57" i="38"/>
  <c r="T57" i="38"/>
  <c r="Y53" i="38"/>
  <c r="Z36" i="38"/>
  <c r="R36" i="38"/>
  <c r="S35" i="38"/>
  <c r="U35" i="38"/>
  <c r="S43" i="38"/>
  <c r="V40" i="38"/>
  <c r="S40" i="38"/>
  <c r="T46" i="38"/>
  <c r="V46" i="38"/>
  <c r="S52" i="38"/>
  <c r="U58" i="38"/>
  <c r="W58" i="38"/>
  <c r="R41" i="38"/>
  <c r="T41" i="38"/>
  <c r="U42" i="38"/>
  <c r="R54" i="38"/>
  <c r="T54" i="38"/>
  <c r="T37" i="38"/>
  <c r="AA55" i="38"/>
  <c r="Z38" i="38"/>
  <c r="Z44" i="38"/>
  <c r="AA56" i="38"/>
  <c r="T47" i="38"/>
  <c r="AA48" i="38"/>
  <c r="Z49" i="38"/>
  <c r="R49" i="38"/>
  <c r="U45" i="38"/>
  <c r="Z51" i="38"/>
  <c r="U36" i="38"/>
  <c r="AA43" i="38"/>
  <c r="AA40" i="38"/>
  <c r="U52" i="38"/>
  <c r="R52" i="38"/>
  <c r="Z58" i="38"/>
  <c r="Z42" i="38"/>
  <c r="Z55" i="38"/>
  <c r="R55" i="38"/>
  <c r="T38" i="38"/>
  <c r="T50" i="38"/>
  <c r="U56" i="38"/>
  <c r="U48" i="38"/>
  <c r="T49" i="38"/>
  <c r="T51" i="38"/>
  <c r="AA57" i="38"/>
  <c r="V53" i="38"/>
  <c r="Z53" i="38"/>
  <c r="T36" i="38"/>
  <c r="V36" i="38"/>
  <c r="U43" i="38"/>
  <c r="R40" i="38"/>
  <c r="T58" i="38"/>
  <c r="V58" i="38"/>
  <c r="V41" i="38"/>
  <c r="V59" i="38"/>
  <c r="T42" i="38"/>
  <c r="V54" i="38"/>
  <c r="V37" i="38"/>
  <c r="S33" i="37"/>
  <c r="AE43" i="3"/>
  <c r="AB43" i="3"/>
  <c r="S37" i="37"/>
  <c r="B35" i="38"/>
  <c r="Q35" i="38" s="1"/>
  <c r="B36" i="38"/>
  <c r="Q36" i="38" s="1"/>
  <c r="B40" i="38"/>
  <c r="Q40" i="38" s="1"/>
  <c r="B44" i="38"/>
  <c r="Q44" i="38" s="1"/>
  <c r="B48" i="38"/>
  <c r="Q48" i="38" s="1"/>
  <c r="B52" i="38"/>
  <c r="Q52" i="38" s="1"/>
  <c r="B56" i="38"/>
  <c r="Q56" i="38" s="1"/>
  <c r="H8" i="2"/>
  <c r="T8" i="2" s="1"/>
  <c r="H12" i="2"/>
  <c r="T12" i="2" s="1"/>
  <c r="H16" i="2"/>
  <c r="T16" i="2" s="1"/>
  <c r="H20" i="2"/>
  <c r="T20" i="2" s="1"/>
  <c r="H24" i="2"/>
  <c r="T24" i="2" s="1"/>
  <c r="H28" i="2"/>
  <c r="T28" i="2" s="1"/>
  <c r="H32" i="2"/>
  <c r="B37" i="38"/>
  <c r="Q37" i="38" s="1"/>
  <c r="B41" i="38"/>
  <c r="Q41" i="38" s="1"/>
  <c r="B45" i="38"/>
  <c r="Q45" i="38" s="1"/>
  <c r="B49" i="38"/>
  <c r="Q49" i="38" s="1"/>
  <c r="B53" i="38"/>
  <c r="Q53" i="38" s="1"/>
  <c r="B57" i="38"/>
  <c r="Q57" i="38" s="1"/>
  <c r="B13" i="38"/>
  <c r="Q13" i="38" s="1"/>
  <c r="H9" i="2"/>
  <c r="T9" i="2" s="1"/>
  <c r="H13" i="2"/>
  <c r="T13" i="2" s="1"/>
  <c r="H17" i="2"/>
  <c r="T17" i="2" s="1"/>
  <c r="H21" i="2"/>
  <c r="T21" i="2" s="1"/>
  <c r="H25" i="2"/>
  <c r="T25" i="2" s="1"/>
  <c r="H29" i="2"/>
  <c r="T29" i="2" s="1"/>
  <c r="H33" i="2"/>
  <c r="B38" i="38"/>
  <c r="Q38" i="38" s="1"/>
  <c r="B42" i="38"/>
  <c r="Q42" i="38" s="1"/>
  <c r="B46" i="38"/>
  <c r="Q46" i="38" s="1"/>
  <c r="B50" i="38"/>
  <c r="Q50" i="38" s="1"/>
  <c r="B54" i="38"/>
  <c r="Q54" i="38" s="1"/>
  <c r="B58" i="38"/>
  <c r="Q58" i="38" s="1"/>
  <c r="B6" i="38"/>
  <c r="Q6" i="38" s="1"/>
  <c r="B39" i="38"/>
  <c r="Q39" i="38" s="1"/>
  <c r="B55" i="38"/>
  <c r="Q55" i="38" s="1"/>
  <c r="H10" i="2"/>
  <c r="T10" i="2" s="1"/>
  <c r="H18" i="2"/>
  <c r="T18" i="2" s="1"/>
  <c r="H26" i="2"/>
  <c r="T26" i="2" s="1"/>
  <c r="H5" i="2"/>
  <c r="T5" i="2" s="1"/>
  <c r="B43" i="38"/>
  <c r="Q43" i="38" s="1"/>
  <c r="B59" i="38"/>
  <c r="Q59" i="38" s="1"/>
  <c r="B27" i="38"/>
  <c r="Q27" i="38" s="1"/>
  <c r="H11" i="2"/>
  <c r="T11" i="2" s="1"/>
  <c r="H19" i="2"/>
  <c r="T19" i="2" s="1"/>
  <c r="H27" i="2"/>
  <c r="T27" i="2" s="1"/>
  <c r="H22" i="2"/>
  <c r="T22" i="2" s="1"/>
  <c r="B47" i="38"/>
  <c r="Q47" i="38" s="1"/>
  <c r="H14" i="2"/>
  <c r="T14" i="2" s="1"/>
  <c r="B51" i="38"/>
  <c r="Q51" i="38" s="1"/>
  <c r="H7" i="2"/>
  <c r="T7" i="2" s="1"/>
  <c r="H15" i="2"/>
  <c r="T15" i="2" s="1"/>
  <c r="H23" i="2"/>
  <c r="T23" i="2" s="1"/>
  <c r="H31" i="2"/>
  <c r="H6" i="2"/>
  <c r="T6" i="2" s="1"/>
  <c r="H30" i="2"/>
  <c r="T30" i="2" l="1"/>
  <c r="AR31" i="15"/>
  <c r="AQ31" i="15"/>
  <c r="AN65" i="2" l="1"/>
  <c r="AO31" i="2" l="1"/>
  <c r="I24" i="35" l="1"/>
  <c r="H18" i="35"/>
  <c r="G18" i="35"/>
  <c r="F18" i="35"/>
  <c r="F19" i="35" s="1"/>
  <c r="M8" i="35" s="1"/>
  <c r="E18" i="35"/>
  <c r="E19" i="35" s="1"/>
  <c r="L11" i="35" s="1"/>
  <c r="D18" i="35"/>
  <c r="D19" i="35" s="1"/>
  <c r="K14" i="35" s="1"/>
  <c r="C18" i="35"/>
  <c r="B18" i="35"/>
  <c r="B19" i="35" s="1"/>
  <c r="I16" i="35" s="1"/>
  <c r="Q7" i="35"/>
  <c r="Q6" i="35"/>
  <c r="Q5" i="35"/>
  <c r="Q4" i="35"/>
  <c r="O87" i="34"/>
  <c r="P87" i="34" s="1"/>
  <c r="Q87" i="34" s="1"/>
  <c r="R87" i="34" s="1"/>
  <c r="S87" i="34" s="1"/>
  <c r="T87" i="34" s="1"/>
  <c r="U87" i="34" s="1"/>
  <c r="V87" i="34" s="1"/>
  <c r="W87" i="34" s="1"/>
  <c r="X87" i="34" s="1"/>
  <c r="Y87" i="34" s="1"/>
  <c r="Z87" i="34" s="1"/>
  <c r="O86" i="34"/>
  <c r="P86" i="34" s="1"/>
  <c r="Q86" i="34" s="1"/>
  <c r="R86" i="34" s="1"/>
  <c r="S86" i="34" s="1"/>
  <c r="T86" i="34" s="1"/>
  <c r="U86" i="34" s="1"/>
  <c r="V86" i="34" s="1"/>
  <c r="W86" i="34" s="1"/>
  <c r="X86" i="34" s="1"/>
  <c r="Y86" i="34" s="1"/>
  <c r="Z86" i="34" s="1"/>
  <c r="O84" i="34"/>
  <c r="N84" i="34"/>
  <c r="M84" i="34"/>
  <c r="L84" i="34"/>
  <c r="Z47" i="34"/>
  <c r="Z56" i="34" s="1"/>
  <c r="Y47" i="34"/>
  <c r="Y56" i="34" s="1"/>
  <c r="X47" i="34"/>
  <c r="X56" i="34" s="1"/>
  <c r="W47" i="34"/>
  <c r="W56" i="34" s="1"/>
  <c r="V47" i="34"/>
  <c r="V56" i="34" s="1"/>
  <c r="U47" i="34"/>
  <c r="U56" i="34" s="1"/>
  <c r="T47" i="34"/>
  <c r="T56" i="34" s="1"/>
  <c r="S47" i="34"/>
  <c r="S56" i="34" s="1"/>
  <c r="R47" i="34"/>
  <c r="R56" i="34" s="1"/>
  <c r="Q47" i="34"/>
  <c r="Q56" i="34" s="1"/>
  <c r="P47" i="34"/>
  <c r="P56" i="34" s="1"/>
  <c r="O47" i="34"/>
  <c r="O56" i="34" s="1"/>
  <c r="M47" i="34"/>
  <c r="M48" i="34" s="1"/>
  <c r="M56" i="34" s="1"/>
  <c r="L47" i="34"/>
  <c r="L48" i="34" s="1"/>
  <c r="L56" i="34" s="1"/>
  <c r="N45" i="34"/>
  <c r="N43" i="34"/>
  <c r="N42" i="34"/>
  <c r="N41" i="34"/>
  <c r="N40" i="34"/>
  <c r="N39" i="34"/>
  <c r="N38" i="34"/>
  <c r="N37" i="34"/>
  <c r="N36" i="34"/>
  <c r="N35" i="34"/>
  <c r="N34" i="34"/>
  <c r="N33" i="34"/>
  <c r="N32" i="34"/>
  <c r="N31" i="34"/>
  <c r="N30" i="34"/>
  <c r="N29" i="34"/>
  <c r="N28" i="34"/>
  <c r="N27" i="34"/>
  <c r="N26" i="34"/>
  <c r="N25" i="34"/>
  <c r="N24" i="34"/>
  <c r="N23" i="34"/>
  <c r="N22" i="34"/>
  <c r="N21" i="34"/>
  <c r="N47" i="34" l="1"/>
  <c r="N48" i="34" s="1"/>
  <c r="N56" i="34" s="1"/>
  <c r="P84" i="34"/>
  <c r="Q84" i="34" s="1"/>
  <c r="R84" i="34" s="1"/>
  <c r="S84" i="34" s="1"/>
  <c r="T84" i="34" s="1"/>
  <c r="U84" i="34" s="1"/>
  <c r="V84" i="34" s="1"/>
  <c r="W84" i="34" s="1"/>
  <c r="X84" i="34" s="1"/>
  <c r="Y84" i="34" s="1"/>
  <c r="Z84" i="34" s="1"/>
  <c r="K6" i="35"/>
  <c r="M4" i="35"/>
  <c r="K17" i="35"/>
  <c r="L5" i="35"/>
  <c r="L15" i="35"/>
  <c r="L17" i="35"/>
  <c r="Q17" i="35"/>
  <c r="Q18" i="35"/>
  <c r="F21" i="35"/>
  <c r="M13" i="35"/>
  <c r="M9" i="35"/>
  <c r="M7" i="35"/>
  <c r="M14" i="35"/>
  <c r="M10" i="35"/>
  <c r="M6" i="35"/>
  <c r="M15" i="35"/>
  <c r="M11" i="35"/>
  <c r="M5" i="35"/>
  <c r="O48" i="34"/>
  <c r="P48" i="34" s="1"/>
  <c r="Q48" i="34" s="1"/>
  <c r="R48" i="34" s="1"/>
  <c r="S48" i="34" s="1"/>
  <c r="T48" i="34" s="1"/>
  <c r="U48" i="34" s="1"/>
  <c r="V48" i="34" s="1"/>
  <c r="W48" i="34" s="1"/>
  <c r="X48" i="34" s="1"/>
  <c r="Y48" i="34" s="1"/>
  <c r="Z48" i="34" s="1"/>
  <c r="C19" i="35"/>
  <c r="J17" i="35" s="1"/>
  <c r="B21" i="35"/>
  <c r="I13" i="35"/>
  <c r="I9" i="35"/>
  <c r="I7" i="35"/>
  <c r="I14" i="35"/>
  <c r="I10" i="35"/>
  <c r="I6" i="35"/>
  <c r="I15" i="35"/>
  <c r="I11" i="35"/>
  <c r="I5" i="35"/>
  <c r="I12" i="35"/>
  <c r="M16" i="35"/>
  <c r="K15" i="35"/>
  <c r="K11" i="35"/>
  <c r="K5" i="35"/>
  <c r="K16" i="35"/>
  <c r="K12" i="35"/>
  <c r="K8" i="35"/>
  <c r="K4" i="35"/>
  <c r="D21" i="35"/>
  <c r="K13" i="35"/>
  <c r="K9" i="35"/>
  <c r="K7" i="35"/>
  <c r="G19" i="35"/>
  <c r="I4" i="35"/>
  <c r="I8" i="35"/>
  <c r="K10" i="35"/>
  <c r="M12" i="35"/>
  <c r="I17" i="35"/>
  <c r="M17" i="35"/>
  <c r="L16" i="35"/>
  <c r="L12" i="35"/>
  <c r="L8" i="35"/>
  <c r="L4" i="35"/>
  <c r="E21" i="35"/>
  <c r="L13" i="35"/>
  <c r="L9" i="35"/>
  <c r="L7" i="35"/>
  <c r="L14" i="35"/>
  <c r="L10" i="35"/>
  <c r="L6" i="35"/>
  <c r="K18" i="35"/>
  <c r="L18" i="35"/>
  <c r="H19" i="35"/>
  <c r="I18" i="35"/>
  <c r="M18" i="35"/>
  <c r="K19" i="35" l="1"/>
  <c r="L19" i="35"/>
  <c r="N14" i="35"/>
  <c r="N10" i="35"/>
  <c r="N6" i="35"/>
  <c r="N15" i="35"/>
  <c r="N11" i="35"/>
  <c r="N5" i="35"/>
  <c r="N16" i="35"/>
  <c r="N12" i="35"/>
  <c r="N8" i="35"/>
  <c r="N4" i="35"/>
  <c r="G21" i="35"/>
  <c r="N9" i="35"/>
  <c r="N13" i="35"/>
  <c r="N7" i="35"/>
  <c r="M19" i="35"/>
  <c r="J14" i="35"/>
  <c r="J10" i="35"/>
  <c r="J6" i="35"/>
  <c r="J15" i="35"/>
  <c r="J11" i="35"/>
  <c r="J5" i="35"/>
  <c r="J16" i="35"/>
  <c r="J12" i="35"/>
  <c r="J8" i="35"/>
  <c r="J4" i="35"/>
  <c r="J7" i="35"/>
  <c r="C21" i="35"/>
  <c r="J9" i="35"/>
  <c r="J13" i="35"/>
  <c r="N18" i="35"/>
  <c r="I19" i="35"/>
  <c r="O15" i="35"/>
  <c r="O11" i="35"/>
  <c r="O5" i="35"/>
  <c r="Q19" i="35"/>
  <c r="O16" i="35"/>
  <c r="O12" i="35"/>
  <c r="O8" i="35"/>
  <c r="O4" i="35"/>
  <c r="H21" i="35"/>
  <c r="O13" i="35"/>
  <c r="O9" i="35"/>
  <c r="O7" i="35"/>
  <c r="O17" i="35"/>
  <c r="O14" i="35"/>
  <c r="O18" i="35"/>
  <c r="O10" i="35"/>
  <c r="O6" i="35"/>
  <c r="J18" i="35"/>
  <c r="N17" i="35"/>
  <c r="P5" i="35" l="1"/>
  <c r="S58" i="34" s="1"/>
  <c r="G17" i="34" s="1"/>
  <c r="I21" i="35"/>
  <c r="N19" i="35"/>
  <c r="P7" i="35"/>
  <c r="P4" i="35"/>
  <c r="P57" i="34" s="1"/>
  <c r="P18" i="35"/>
  <c r="P6" i="35"/>
  <c r="P17" i="35"/>
  <c r="O19" i="35"/>
  <c r="J19" i="35"/>
  <c r="X58" i="34" l="1"/>
  <c r="G22" i="34" s="1"/>
  <c r="O57" i="34"/>
  <c r="V58" i="34"/>
  <c r="G20" i="34" s="1"/>
  <c r="Z58" i="34"/>
  <c r="G24" i="34" s="1"/>
  <c r="Q58" i="34"/>
  <c r="G15" i="34" s="1"/>
  <c r="F15" i="34" s="1"/>
  <c r="M58" i="34"/>
  <c r="M69" i="34" s="1"/>
  <c r="O58" i="34"/>
  <c r="Y58" i="34"/>
  <c r="G23" i="34" s="1"/>
  <c r="P58" i="34"/>
  <c r="G14" i="34" s="1"/>
  <c r="N58" i="34"/>
  <c r="N69" i="34" s="1"/>
  <c r="W58" i="34"/>
  <c r="G21" i="34" s="1"/>
  <c r="R58" i="34"/>
  <c r="G16" i="34" s="1"/>
  <c r="T58" i="34"/>
  <c r="G18" i="34" s="1"/>
  <c r="U58" i="34"/>
  <c r="G19" i="34" s="1"/>
  <c r="L58" i="34"/>
  <c r="L69" i="34" s="1"/>
  <c r="L60" i="34"/>
  <c r="L71" i="34" s="1"/>
  <c r="Y59" i="34"/>
  <c r="G34" i="34" s="1"/>
  <c r="N61" i="34"/>
  <c r="N72" i="34" s="1"/>
  <c r="M59" i="34"/>
  <c r="M70" i="34" s="1"/>
  <c r="V59" i="34"/>
  <c r="G31" i="34" s="1"/>
  <c r="Y60" i="34"/>
  <c r="G45" i="34" s="1"/>
  <c r="L61" i="34"/>
  <c r="L72" i="34" s="1"/>
  <c r="V60" i="34"/>
  <c r="G42" i="34" s="1"/>
  <c r="Z59" i="34"/>
  <c r="G35" i="34" s="1"/>
  <c r="Q57" i="34"/>
  <c r="G4" i="34" s="1"/>
  <c r="X61" i="34"/>
  <c r="G55" i="34" s="1"/>
  <c r="P59" i="34"/>
  <c r="G25" i="34" s="1"/>
  <c r="Q61" i="34"/>
  <c r="G48" i="34" s="1"/>
  <c r="F48" i="34" s="1"/>
  <c r="Q60" i="34"/>
  <c r="G37" i="34" s="1"/>
  <c r="F37" i="34" s="1"/>
  <c r="Z60" i="34"/>
  <c r="G46" i="34" s="1"/>
  <c r="W61" i="34"/>
  <c r="G54" i="34" s="1"/>
  <c r="R61" i="34"/>
  <c r="G49" i="34" s="1"/>
  <c r="T61" i="34"/>
  <c r="G51" i="34" s="1"/>
  <c r="N60" i="34"/>
  <c r="N71" i="34" s="1"/>
  <c r="X60" i="34"/>
  <c r="G44" i="34" s="1"/>
  <c r="W60" i="34"/>
  <c r="G43" i="34" s="1"/>
  <c r="R60" i="34"/>
  <c r="G38" i="34" s="1"/>
  <c r="Y61" i="34"/>
  <c r="G56" i="34" s="1"/>
  <c r="S61" i="34"/>
  <c r="G50" i="34" s="1"/>
  <c r="P61" i="34"/>
  <c r="G47" i="34" s="1"/>
  <c r="X59" i="34"/>
  <c r="G33" i="34" s="1"/>
  <c r="O59" i="34"/>
  <c r="P60" i="34"/>
  <c r="G36" i="34" s="1"/>
  <c r="T60" i="34"/>
  <c r="G40" i="34" s="1"/>
  <c r="U60" i="34"/>
  <c r="G41" i="34" s="1"/>
  <c r="U61" i="34"/>
  <c r="G52" i="34" s="1"/>
  <c r="O61" i="34"/>
  <c r="N59" i="34"/>
  <c r="N70" i="34" s="1"/>
  <c r="L59" i="34"/>
  <c r="L70" i="34" s="1"/>
  <c r="U59" i="34"/>
  <c r="G30" i="34" s="1"/>
  <c r="R57" i="34"/>
  <c r="G5" i="34" s="1"/>
  <c r="L57" i="34"/>
  <c r="L68" i="34" s="1"/>
  <c r="M60" i="34"/>
  <c r="M71" i="34" s="1"/>
  <c r="S60" i="34"/>
  <c r="G39" i="34" s="1"/>
  <c r="O60" i="34"/>
  <c r="M61" i="34"/>
  <c r="M72" i="34" s="1"/>
  <c r="V61" i="34"/>
  <c r="G53" i="34" s="1"/>
  <c r="Z61" i="34"/>
  <c r="G57" i="34" s="1"/>
  <c r="Z57" i="34"/>
  <c r="G13" i="34" s="1"/>
  <c r="S57" i="34"/>
  <c r="T57" i="34"/>
  <c r="G7" i="34" s="1"/>
  <c r="Q59" i="34"/>
  <c r="G26" i="34" s="1"/>
  <c r="F26" i="34" s="1"/>
  <c r="R59" i="34"/>
  <c r="G27" i="34" s="1"/>
  <c r="W59" i="34"/>
  <c r="G32" i="34" s="1"/>
  <c r="U57" i="34"/>
  <c r="G8" i="34" s="1"/>
  <c r="M57" i="34"/>
  <c r="M68" i="34" s="1"/>
  <c r="V57" i="34"/>
  <c r="G9" i="34" s="1"/>
  <c r="Y57" i="34"/>
  <c r="G12" i="34" s="1"/>
  <c r="N57" i="34"/>
  <c r="N68" i="34" s="1"/>
  <c r="X57" i="34"/>
  <c r="G11" i="34" s="1"/>
  <c r="W57" i="34"/>
  <c r="G10" i="34" s="1"/>
  <c r="T59" i="34"/>
  <c r="G29" i="34" s="1"/>
  <c r="S59" i="34"/>
  <c r="G28" i="34" s="1"/>
  <c r="P19" i="35"/>
  <c r="G3" i="34"/>
  <c r="F3" i="34" s="1"/>
  <c r="O69" i="34" l="1"/>
  <c r="F4" i="34"/>
  <c r="F5" i="34" s="1"/>
  <c r="F16" i="34"/>
  <c r="F17" i="34" s="1"/>
  <c r="F18" i="34" s="1"/>
  <c r="F19" i="34" s="1"/>
  <c r="F20" i="34" s="1"/>
  <c r="F21" i="34" s="1"/>
  <c r="F22" i="34" s="1"/>
  <c r="F23" i="34" s="1"/>
  <c r="F24" i="34" s="1"/>
  <c r="F38" i="34"/>
  <c r="F39" i="34" s="1"/>
  <c r="F40" i="34" s="1"/>
  <c r="F41" i="34" s="1"/>
  <c r="F42" i="34" s="1"/>
  <c r="F43" i="34" s="1"/>
  <c r="F44" i="34" s="1"/>
  <c r="F45" i="34" s="1"/>
  <c r="F46" i="34" s="1"/>
  <c r="F27" i="34"/>
  <c r="F28" i="34" s="1"/>
  <c r="F29" i="34" s="1"/>
  <c r="F30" i="34" s="1"/>
  <c r="F31" i="34" s="1"/>
  <c r="F32" i="34" s="1"/>
  <c r="F33" i="34" s="1"/>
  <c r="F34" i="34" s="1"/>
  <c r="F35" i="34" s="1"/>
  <c r="F49" i="34"/>
  <c r="F50" i="34" s="1"/>
  <c r="F51" i="34" s="1"/>
  <c r="F52" i="34" s="1"/>
  <c r="F53" i="34" s="1"/>
  <c r="F54" i="34" s="1"/>
  <c r="F55" i="34" s="1"/>
  <c r="F56" i="34" s="1"/>
  <c r="F57" i="34" s="1"/>
  <c r="P69" i="34"/>
  <c r="Q69" i="34" s="1"/>
  <c r="R69" i="34" s="1"/>
  <c r="S69" i="34" s="1"/>
  <c r="T69" i="34" s="1"/>
  <c r="U69" i="34" s="1"/>
  <c r="V69" i="34" s="1"/>
  <c r="W69" i="34" s="1"/>
  <c r="X69" i="34" s="1"/>
  <c r="Y69" i="34" s="1"/>
  <c r="Z69" i="34" s="1"/>
  <c r="O71" i="34"/>
  <c r="P71" i="34" s="1"/>
  <c r="Q71" i="34" s="1"/>
  <c r="R71" i="34" s="1"/>
  <c r="S71" i="34" s="1"/>
  <c r="T71" i="34" s="1"/>
  <c r="U71" i="34" s="1"/>
  <c r="V71" i="34" s="1"/>
  <c r="W71" i="34" s="1"/>
  <c r="X71" i="34" s="1"/>
  <c r="Y71" i="34" s="1"/>
  <c r="Z71" i="34" s="1"/>
  <c r="O72" i="34"/>
  <c r="P72" i="34" s="1"/>
  <c r="Q72" i="34" s="1"/>
  <c r="R72" i="34" s="1"/>
  <c r="S72" i="34" s="1"/>
  <c r="T72" i="34" s="1"/>
  <c r="U72" i="34" s="1"/>
  <c r="V72" i="34" s="1"/>
  <c r="W72" i="34" s="1"/>
  <c r="X72" i="34" s="1"/>
  <c r="Y72" i="34" s="1"/>
  <c r="Z72" i="34" s="1"/>
  <c r="O70" i="34"/>
  <c r="P70" i="34" s="1"/>
  <c r="Q70" i="34" s="1"/>
  <c r="R70" i="34" s="1"/>
  <c r="S70" i="34" s="1"/>
  <c r="T70" i="34" s="1"/>
  <c r="U70" i="34" s="1"/>
  <c r="V70" i="34" s="1"/>
  <c r="W70" i="34" s="1"/>
  <c r="X70" i="34" s="1"/>
  <c r="Y70" i="34" s="1"/>
  <c r="Z70" i="34" s="1"/>
  <c r="O62" i="34"/>
  <c r="U62" i="34"/>
  <c r="U63" i="34" s="1"/>
  <c r="S62" i="34"/>
  <c r="S63" i="34" s="1"/>
  <c r="T62" i="34"/>
  <c r="T63" i="34" s="1"/>
  <c r="L62" i="34"/>
  <c r="L63" i="34" s="1"/>
  <c r="P62" i="34"/>
  <c r="Y62" i="34"/>
  <c r="W62" i="34"/>
  <c r="W63" i="34" s="1"/>
  <c r="G6" i="34"/>
  <c r="R62" i="34"/>
  <c r="R63" i="34" s="1"/>
  <c r="N62" i="34"/>
  <c r="N73" i="34" s="1"/>
  <c r="N74" i="34" s="1"/>
  <c r="Z62" i="34"/>
  <c r="Z63" i="34" s="1"/>
  <c r="V62" i="34"/>
  <c r="Q62" i="34"/>
  <c r="Q63" i="34" s="1"/>
  <c r="X62" i="34"/>
  <c r="M62" i="34"/>
  <c r="M63" i="34" s="1"/>
  <c r="O68" i="34"/>
  <c r="F6" i="34" l="1"/>
  <c r="F7" i="34" s="1"/>
  <c r="F8" i="34" s="1"/>
  <c r="F9" i="34" s="1"/>
  <c r="F10" i="34" s="1"/>
  <c r="F11" i="34" s="1"/>
  <c r="F12" i="34" s="1"/>
  <c r="F13" i="34" s="1"/>
  <c r="L73" i="34"/>
  <c r="O73" i="34" s="1"/>
  <c r="P73" i="34" s="1"/>
  <c r="Q73" i="34" s="1"/>
  <c r="R73" i="34" s="1"/>
  <c r="S73" i="34" s="1"/>
  <c r="T73" i="34" s="1"/>
  <c r="U73" i="34" s="1"/>
  <c r="V73" i="34" s="1"/>
  <c r="W73" i="34" s="1"/>
  <c r="X73" i="34" s="1"/>
  <c r="Y73" i="34" s="1"/>
  <c r="Z73" i="34" s="1"/>
  <c r="N63" i="34"/>
  <c r="M73" i="34"/>
  <c r="M74" i="34" s="1"/>
  <c r="M75" i="34" s="1"/>
  <c r="P68" i="34"/>
  <c r="O74" i="34" l="1"/>
  <c r="L74" i="34"/>
  <c r="P74" i="34"/>
  <c r="Q68" i="34"/>
  <c r="Q74" i="34" l="1"/>
  <c r="R68" i="34"/>
  <c r="S68" i="34" l="1"/>
  <c r="R74" i="34"/>
  <c r="S74" i="34" l="1"/>
  <c r="T68" i="34"/>
  <c r="T74" i="34" l="1"/>
  <c r="U68" i="34"/>
  <c r="U74" i="34" l="1"/>
  <c r="V68" i="34"/>
  <c r="W68" i="34" l="1"/>
  <c r="V74" i="34"/>
  <c r="W74" i="34" l="1"/>
  <c r="X68" i="34"/>
  <c r="X74" i="34" l="1"/>
  <c r="Y68" i="34"/>
  <c r="Y74" i="34" l="1"/>
  <c r="Z68" i="34"/>
  <c r="Z74" i="34" s="1"/>
  <c r="C64" i="2" l="1"/>
  <c r="C5" i="2"/>
  <c r="Q8" i="15" l="1"/>
  <c r="U8" i="15" s="1"/>
  <c r="AK8" i="15" s="1"/>
  <c r="Q15" i="15"/>
  <c r="U15" i="15" s="1"/>
  <c r="AK15" i="15" s="1"/>
  <c r="Q16" i="15"/>
  <c r="U16" i="15" s="1"/>
  <c r="AK16" i="15" s="1"/>
  <c r="Q17" i="15"/>
  <c r="U17" i="15" s="1"/>
  <c r="AK17" i="15" s="1"/>
  <c r="Q20" i="15"/>
  <c r="U20" i="15" s="1"/>
  <c r="AK20" i="15" s="1"/>
  <c r="Q23" i="15"/>
  <c r="U23" i="15" s="1"/>
  <c r="AK23" i="15" s="1"/>
  <c r="Q24" i="15"/>
  <c r="U24" i="15" s="1"/>
  <c r="AK24" i="15" s="1"/>
  <c r="Q27" i="15"/>
  <c r="U27" i="15" s="1"/>
  <c r="AK27" i="15" s="1"/>
  <c r="Q29" i="15"/>
  <c r="U29" i="15" s="1"/>
  <c r="AK29" i="15" s="1"/>
  <c r="U5" i="15"/>
  <c r="AK5" i="15" s="1"/>
  <c r="G52" i="15"/>
  <c r="H74" i="15"/>
  <c r="G74" i="15"/>
  <c r="H73" i="15"/>
  <c r="G73" i="15"/>
  <c r="H72" i="15"/>
  <c r="Q7" i="15" s="1"/>
  <c r="U7" i="15" s="1"/>
  <c r="AK7" i="15" s="1"/>
  <c r="G72" i="15"/>
  <c r="H71" i="15"/>
  <c r="G71" i="15"/>
  <c r="H70" i="15"/>
  <c r="G70" i="15"/>
  <c r="H69" i="15"/>
  <c r="G69" i="15"/>
  <c r="H68" i="15"/>
  <c r="Q6" i="15" s="1"/>
  <c r="U6" i="15" s="1"/>
  <c r="AK6" i="15" s="1"/>
  <c r="G68" i="15"/>
  <c r="H67" i="15"/>
  <c r="Q11" i="15" s="1"/>
  <c r="U11" i="15" s="1"/>
  <c r="AK11" i="15" s="1"/>
  <c r="G67" i="15"/>
  <c r="H66" i="15"/>
  <c r="G66" i="15"/>
  <c r="H65" i="15"/>
  <c r="Q10" i="15" s="1"/>
  <c r="U10" i="15" s="1"/>
  <c r="AK10" i="15" s="1"/>
  <c r="G65" i="15"/>
  <c r="H64" i="15"/>
  <c r="G64" i="15"/>
  <c r="H63" i="15"/>
  <c r="Q19" i="15" s="1"/>
  <c r="U19" i="15" s="1"/>
  <c r="AK19" i="15" s="1"/>
  <c r="G63" i="15"/>
  <c r="H62" i="15"/>
  <c r="Q9" i="15" s="1"/>
  <c r="U9" i="15" s="1"/>
  <c r="AK9" i="15" s="1"/>
  <c r="G62" i="15"/>
  <c r="H61" i="15"/>
  <c r="Q18" i="15" s="1"/>
  <c r="U18" i="15" s="1"/>
  <c r="AK18" i="15" s="1"/>
  <c r="G61" i="15"/>
  <c r="H60" i="15"/>
  <c r="Q22" i="15" s="1"/>
  <c r="U22" i="15" s="1"/>
  <c r="AK22" i="15" s="1"/>
  <c r="G60" i="15"/>
  <c r="H59" i="15"/>
  <c r="Q21" i="15" s="1"/>
  <c r="U21" i="15" s="1"/>
  <c r="AK21" i="15" s="1"/>
  <c r="G59" i="15"/>
  <c r="H58" i="15"/>
  <c r="Q14" i="15" s="1"/>
  <c r="U14" i="15" s="1"/>
  <c r="AK14" i="15" s="1"/>
  <c r="G58" i="15"/>
  <c r="H57" i="15"/>
  <c r="Q13" i="15" s="1"/>
  <c r="U13" i="15" s="1"/>
  <c r="AK13" i="15" s="1"/>
  <c r="G57" i="15"/>
  <c r="H56" i="15"/>
  <c r="Q12" i="15" s="1"/>
  <c r="U12" i="15" s="1"/>
  <c r="AK12" i="15" s="1"/>
  <c r="G56" i="15"/>
  <c r="H55" i="15"/>
  <c r="G55" i="15"/>
  <c r="H54" i="15"/>
  <c r="G54" i="15"/>
  <c r="H53" i="15"/>
  <c r="Q26" i="15" s="1"/>
  <c r="U26" i="15" s="1"/>
  <c r="AK26" i="15" s="1"/>
  <c r="G53" i="15"/>
  <c r="H52" i="15"/>
  <c r="Q25" i="15" s="1"/>
  <c r="U25" i="15" s="1"/>
  <c r="AK25" i="15" s="1"/>
  <c r="W64" i="28"/>
  <c r="X64" i="28"/>
  <c r="O63" i="28"/>
  <c r="P39" i="28" s="1"/>
  <c r="Q28" i="15" l="1"/>
  <c r="U28" i="15" s="1"/>
  <c r="AK28" i="15" s="1"/>
  <c r="B39" i="28"/>
  <c r="R39" i="28" s="1"/>
  <c r="X39" i="28"/>
  <c r="W39" i="28"/>
  <c r="W5" i="15"/>
  <c r="AM5" i="15" s="1"/>
  <c r="P62" i="28"/>
  <c r="P58" i="28"/>
  <c r="P54" i="28"/>
  <c r="P50" i="28"/>
  <c r="P46" i="28"/>
  <c r="P42" i="28"/>
  <c r="P61" i="28"/>
  <c r="P57" i="28"/>
  <c r="P53" i="28"/>
  <c r="P49" i="28"/>
  <c r="P45" i="28"/>
  <c r="P41" i="28"/>
  <c r="P52" i="28"/>
  <c r="P44" i="28"/>
  <c r="P40" i="28"/>
  <c r="P60" i="28"/>
  <c r="P56" i="28"/>
  <c r="P48" i="28"/>
  <c r="P38" i="28"/>
  <c r="P59" i="28"/>
  <c r="P55" i="28"/>
  <c r="P51" i="28"/>
  <c r="P47" i="28"/>
  <c r="P43" i="28"/>
  <c r="K6" i="2"/>
  <c r="L6" i="2"/>
  <c r="M6" i="2"/>
  <c r="N6" i="2"/>
  <c r="K7" i="2"/>
  <c r="L7" i="2"/>
  <c r="M7" i="2"/>
  <c r="N7" i="2"/>
  <c r="K8" i="2"/>
  <c r="L8" i="2"/>
  <c r="M8" i="2"/>
  <c r="N8" i="2"/>
  <c r="K9" i="2"/>
  <c r="L9" i="2"/>
  <c r="M9" i="2"/>
  <c r="N9" i="2"/>
  <c r="K10" i="2"/>
  <c r="L10" i="2"/>
  <c r="M10" i="2"/>
  <c r="N10" i="2"/>
  <c r="K12" i="2"/>
  <c r="L12" i="2"/>
  <c r="M12" i="2"/>
  <c r="N12" i="2"/>
  <c r="K13" i="2"/>
  <c r="L13" i="2"/>
  <c r="M13" i="2"/>
  <c r="N13" i="2"/>
  <c r="K14" i="2"/>
  <c r="L14" i="2"/>
  <c r="M14" i="2"/>
  <c r="N14" i="2"/>
  <c r="K15" i="2"/>
  <c r="L15" i="2"/>
  <c r="M15" i="2"/>
  <c r="N15" i="2"/>
  <c r="K16" i="2"/>
  <c r="L16" i="2"/>
  <c r="N16" i="2"/>
  <c r="K17" i="2"/>
  <c r="M17" i="2"/>
  <c r="N17" i="2"/>
  <c r="K18" i="2"/>
  <c r="L18" i="2"/>
  <c r="K19" i="2"/>
  <c r="L19" i="2"/>
  <c r="N19" i="2"/>
  <c r="K20" i="2"/>
  <c r="L20" i="2"/>
  <c r="M20" i="2"/>
  <c r="N20" i="2"/>
  <c r="K21" i="2"/>
  <c r="L21" i="2"/>
  <c r="M21" i="2"/>
  <c r="N21" i="2"/>
  <c r="K22" i="2"/>
  <c r="L22" i="2"/>
  <c r="M22" i="2"/>
  <c r="N22" i="2"/>
  <c r="K23" i="2"/>
  <c r="L23" i="2"/>
  <c r="N23" i="2"/>
  <c r="K24" i="2"/>
  <c r="L24" i="2"/>
  <c r="M24" i="2"/>
  <c r="N24" i="2"/>
  <c r="K25" i="2"/>
  <c r="L25" i="2"/>
  <c r="M25" i="2"/>
  <c r="N25" i="2"/>
  <c r="K26" i="2"/>
  <c r="L26" i="2"/>
  <c r="M26" i="2"/>
  <c r="N26" i="2"/>
  <c r="K27" i="2"/>
  <c r="L27" i="2"/>
  <c r="M27" i="2"/>
  <c r="N27" i="2"/>
  <c r="K28" i="2"/>
  <c r="L28" i="2"/>
  <c r="M28" i="2"/>
  <c r="N28" i="2"/>
  <c r="K29" i="2"/>
  <c r="L29" i="2"/>
  <c r="M29" i="2"/>
  <c r="N29" i="2"/>
  <c r="L5" i="2"/>
  <c r="M5" i="2"/>
  <c r="N5" i="2"/>
  <c r="N30" i="2"/>
  <c r="Z92" i="16"/>
  <c r="AA92" i="16"/>
  <c r="AB92" i="16"/>
  <c r="AC92" i="16"/>
  <c r="AD92" i="16"/>
  <c r="AE92" i="16"/>
  <c r="AF92" i="16"/>
  <c r="AG92" i="16"/>
  <c r="AH92" i="16"/>
  <c r="AA63" i="16"/>
  <c r="AB63" i="16"/>
  <c r="AC63" i="16"/>
  <c r="AD63" i="16"/>
  <c r="AE63" i="16"/>
  <c r="AF63" i="16"/>
  <c r="AG63" i="16"/>
  <c r="AH63" i="16"/>
  <c r="Z63" i="16"/>
  <c r="B47" i="28" l="1"/>
  <c r="R47" i="28" s="1"/>
  <c r="B38" i="28"/>
  <c r="R38" i="28" s="1"/>
  <c r="B40" i="28"/>
  <c r="R40" i="28" s="1"/>
  <c r="B45" i="28"/>
  <c r="R45" i="28" s="1"/>
  <c r="B61" i="28"/>
  <c r="R61" i="28" s="1"/>
  <c r="B54" i="28"/>
  <c r="R54" i="28" s="1"/>
  <c r="B51" i="28"/>
  <c r="R51" i="28" s="1"/>
  <c r="B48" i="28"/>
  <c r="R48" i="28" s="1"/>
  <c r="B44" i="28"/>
  <c r="R44" i="28" s="1"/>
  <c r="B49" i="28"/>
  <c r="R49" i="28" s="1"/>
  <c r="B42" i="28"/>
  <c r="R42" i="28" s="1"/>
  <c r="B58" i="28"/>
  <c r="R58" i="28" s="1"/>
  <c r="B55" i="28"/>
  <c r="R55" i="28" s="1"/>
  <c r="B56" i="28"/>
  <c r="R56" i="28" s="1"/>
  <c r="B52" i="28"/>
  <c r="R52" i="28" s="1"/>
  <c r="B53" i="28"/>
  <c r="R53" i="28" s="1"/>
  <c r="B46" i="28"/>
  <c r="R46" i="28" s="1"/>
  <c r="B62" i="28"/>
  <c r="R62" i="28" s="1"/>
  <c r="B43" i="28"/>
  <c r="R43" i="28" s="1"/>
  <c r="B59" i="28"/>
  <c r="R59" i="28" s="1"/>
  <c r="B60" i="28"/>
  <c r="R60" i="28" s="1"/>
  <c r="B41" i="28"/>
  <c r="R41" i="28" s="1"/>
  <c r="B57" i="28"/>
  <c r="R57" i="28" s="1"/>
  <c r="B50" i="28"/>
  <c r="R50" i="28" s="1"/>
  <c r="X5" i="15"/>
  <c r="Y5" i="15"/>
  <c r="X55" i="28"/>
  <c r="W55" i="28"/>
  <c r="W56" i="28"/>
  <c r="X56" i="28"/>
  <c r="W52" i="28"/>
  <c r="X52" i="28"/>
  <c r="X53" i="28"/>
  <c r="W53" i="28"/>
  <c r="W46" i="28"/>
  <c r="X46" i="28"/>
  <c r="X62" i="28"/>
  <c r="W62" i="28"/>
  <c r="W43" i="28"/>
  <c r="X43" i="28"/>
  <c r="X59" i="28"/>
  <c r="W59" i="28"/>
  <c r="W60" i="28"/>
  <c r="X60" i="28"/>
  <c r="X41" i="28"/>
  <c r="W41" i="28"/>
  <c r="X57" i="28"/>
  <c r="W57" i="28"/>
  <c r="X50" i="28"/>
  <c r="W50" i="28"/>
  <c r="X47" i="28"/>
  <c r="W47" i="28"/>
  <c r="X38" i="28"/>
  <c r="W38" i="28"/>
  <c r="W40" i="28"/>
  <c r="X40" i="28"/>
  <c r="X45" i="28"/>
  <c r="W45" i="28"/>
  <c r="X61" i="28"/>
  <c r="W61" i="28"/>
  <c r="W54" i="28"/>
  <c r="X54" i="28"/>
  <c r="X51" i="28"/>
  <c r="W51" i="28"/>
  <c r="W48" i="28"/>
  <c r="X48" i="28"/>
  <c r="W44" i="28"/>
  <c r="X44" i="28"/>
  <c r="X49" i="28"/>
  <c r="W49" i="28"/>
  <c r="X42" i="28"/>
  <c r="W42" i="28"/>
  <c r="X58" i="28"/>
  <c r="W58" i="28"/>
  <c r="U63" i="16"/>
  <c r="AA5" i="15" l="1"/>
  <c r="AO5" i="15"/>
  <c r="Z5" i="15"/>
  <c r="AP5" i="15" s="1"/>
  <c r="AN5" i="15"/>
  <c r="V48" i="16"/>
  <c r="V38" i="16"/>
  <c r="V59" i="16"/>
  <c r="V51" i="16"/>
  <c r="V44" i="16"/>
  <c r="V39" i="16"/>
  <c r="V55" i="16"/>
  <c r="V45" i="16"/>
  <c r="V49" i="16"/>
  <c r="V57" i="16"/>
  <c r="V42" i="16"/>
  <c r="V46" i="16"/>
  <c r="V50" i="16"/>
  <c r="V58" i="16"/>
  <c r="V41" i="16"/>
  <c r="V53" i="16"/>
  <c r="V61" i="16"/>
  <c r="V54" i="16"/>
  <c r="V62" i="16"/>
  <c r="V43" i="16"/>
  <c r="V56" i="16"/>
  <c r="V52" i="16"/>
  <c r="V47" i="16"/>
  <c r="V40" i="16"/>
  <c r="V60" i="16"/>
  <c r="AD48" i="16" l="1"/>
  <c r="AE48" i="16"/>
  <c r="Z48" i="16"/>
  <c r="AF48" i="16"/>
  <c r="AA48" i="16"/>
  <c r="AG48" i="16"/>
  <c r="AB48" i="16"/>
  <c r="AC48" i="16"/>
  <c r="AH48" i="16"/>
  <c r="AF77" i="16"/>
  <c r="Z77" i="16"/>
  <c r="AB77" i="16"/>
  <c r="AE77" i="16"/>
  <c r="AA77" i="16"/>
  <c r="AC77" i="16"/>
  <c r="AD77" i="16"/>
  <c r="AH77" i="16"/>
  <c r="AG77" i="16"/>
  <c r="AD58" i="16"/>
  <c r="AE58" i="16"/>
  <c r="Z58" i="16"/>
  <c r="AF58" i="16"/>
  <c r="AA58" i="16"/>
  <c r="AG58" i="16"/>
  <c r="AB58" i="16"/>
  <c r="AC58" i="16"/>
  <c r="AH58" i="16"/>
  <c r="AE87" i="16"/>
  <c r="AA87" i="16"/>
  <c r="Z87" i="16"/>
  <c r="AC87" i="16"/>
  <c r="AG87" i="16"/>
  <c r="AF87" i="16"/>
  <c r="AD87" i="16"/>
  <c r="AH87" i="16"/>
  <c r="AB87" i="16"/>
  <c r="AB38" i="16"/>
  <c r="AH38" i="16"/>
  <c r="AC38" i="16"/>
  <c r="Z38" i="16"/>
  <c r="AD38" i="16"/>
  <c r="AE38" i="16"/>
  <c r="AF38" i="16"/>
  <c r="AG38" i="16"/>
  <c r="AA38" i="16"/>
  <c r="AG67" i="16"/>
  <c r="AD67" i="16"/>
  <c r="AE67" i="16"/>
  <c r="AF67" i="16"/>
  <c r="AH67" i="16"/>
  <c r="AA67" i="16"/>
  <c r="AB67" i="16"/>
  <c r="AC67" i="16"/>
  <c r="Z67" i="16"/>
  <c r="AD62" i="16"/>
  <c r="AE62" i="16"/>
  <c r="Z62" i="16"/>
  <c r="AF62" i="16"/>
  <c r="AA62" i="16"/>
  <c r="AG62" i="16"/>
  <c r="AB62" i="16"/>
  <c r="AC62" i="16"/>
  <c r="AH62" i="16"/>
  <c r="AD91" i="16"/>
  <c r="AH91" i="16"/>
  <c r="AE91" i="16"/>
  <c r="AA91" i="16"/>
  <c r="AF91" i="16"/>
  <c r="AB91" i="16"/>
  <c r="AC91" i="16"/>
  <c r="Z91" i="16"/>
  <c r="AG91" i="16"/>
  <c r="AA55" i="16"/>
  <c r="AG55" i="16"/>
  <c r="AB55" i="16"/>
  <c r="AH55" i="16"/>
  <c r="AC55" i="16"/>
  <c r="AD55" i="16"/>
  <c r="AE55" i="16"/>
  <c r="AF55" i="16"/>
  <c r="Z55" i="16"/>
  <c r="AC84" i="16"/>
  <c r="AB84" i="16"/>
  <c r="AG84" i="16"/>
  <c r="Z84" i="16"/>
  <c r="AD84" i="16"/>
  <c r="AF84" i="16"/>
  <c r="AH84" i="16"/>
  <c r="AA84" i="16"/>
  <c r="AE84" i="16"/>
  <c r="AD54" i="16"/>
  <c r="AE54" i="16"/>
  <c r="Z54" i="16"/>
  <c r="AF54" i="16"/>
  <c r="AA54" i="16"/>
  <c r="AG54" i="16"/>
  <c r="AB54" i="16"/>
  <c r="AC54" i="16"/>
  <c r="AH54" i="16"/>
  <c r="AD83" i="16"/>
  <c r="AH83" i="16"/>
  <c r="AG83" i="16"/>
  <c r="Z83" i="16"/>
  <c r="AF83" i="16"/>
  <c r="AB83" i="16"/>
  <c r="AC83" i="16"/>
  <c r="AE83" i="16"/>
  <c r="AA83" i="16"/>
  <c r="AA39" i="16"/>
  <c r="AG39" i="16"/>
  <c r="AB39" i="16"/>
  <c r="AH39" i="16"/>
  <c r="AC39" i="16"/>
  <c r="AD39" i="16"/>
  <c r="AE39" i="16"/>
  <c r="AF39" i="16"/>
  <c r="Z39" i="16"/>
  <c r="AG68" i="16"/>
  <c r="AD68" i="16"/>
  <c r="AB68" i="16"/>
  <c r="AE68" i="16"/>
  <c r="AF68" i="16"/>
  <c r="AH68" i="16"/>
  <c r="AA68" i="16"/>
  <c r="AC68" i="16"/>
  <c r="Z68" i="16"/>
  <c r="AA61" i="16"/>
  <c r="AG61" i="16"/>
  <c r="AB61" i="16"/>
  <c r="AH61" i="16"/>
  <c r="AC61" i="16"/>
  <c r="AD61" i="16"/>
  <c r="AE61" i="16"/>
  <c r="AF61" i="16"/>
  <c r="Z61" i="16"/>
  <c r="AF90" i="16"/>
  <c r="AH90" i="16"/>
  <c r="AA90" i="16"/>
  <c r="AE90" i="16"/>
  <c r="AB90" i="16"/>
  <c r="AC90" i="16"/>
  <c r="AG90" i="16"/>
  <c r="Z90" i="16"/>
  <c r="AD90" i="16"/>
  <c r="AD44" i="16"/>
  <c r="AE44" i="16"/>
  <c r="Z44" i="16"/>
  <c r="AF44" i="16"/>
  <c r="AA44" i="16"/>
  <c r="AG44" i="16"/>
  <c r="AB44" i="16"/>
  <c r="AC44" i="16"/>
  <c r="AH44" i="16"/>
  <c r="AC73" i="16"/>
  <c r="AG73" i="16"/>
  <c r="Z73" i="16"/>
  <c r="AD73" i="16"/>
  <c r="AH73" i="16"/>
  <c r="AF73" i="16"/>
  <c r="AB73" i="16"/>
  <c r="AE73" i="16"/>
  <c r="AA73" i="16"/>
  <c r="AD52" i="16"/>
  <c r="AE52" i="16"/>
  <c r="Z52" i="16"/>
  <c r="AF52" i="16"/>
  <c r="AA52" i="16"/>
  <c r="AG52" i="16"/>
  <c r="AB52" i="16"/>
  <c r="AC52" i="16"/>
  <c r="AH52" i="16"/>
  <c r="AG81" i="16"/>
  <c r="AF81" i="16"/>
  <c r="AB81" i="16"/>
  <c r="AD81" i="16"/>
  <c r="AH81" i="16"/>
  <c r="AE81" i="16"/>
  <c r="AA81" i="16"/>
  <c r="Z81" i="16"/>
  <c r="AC81" i="16"/>
  <c r="AA51" i="16"/>
  <c r="AG51" i="16"/>
  <c r="AB51" i="16"/>
  <c r="AH51" i="16"/>
  <c r="AC51" i="16"/>
  <c r="AD51" i="16"/>
  <c r="AE51" i="16"/>
  <c r="AF51" i="16"/>
  <c r="Z51" i="16"/>
  <c r="AG80" i="16"/>
  <c r="AD80" i="16"/>
  <c r="AF80" i="16"/>
  <c r="AH80" i="16"/>
  <c r="AE80" i="16"/>
  <c r="AA80" i="16"/>
  <c r="Z80" i="16"/>
  <c r="AC80" i="16"/>
  <c r="AB80" i="16"/>
  <c r="AA43" i="16"/>
  <c r="AG43" i="16"/>
  <c r="AB43" i="16"/>
  <c r="AH43" i="16"/>
  <c r="AC43" i="16"/>
  <c r="AD43" i="16"/>
  <c r="AE43" i="16"/>
  <c r="AF43" i="16"/>
  <c r="Z43" i="16"/>
  <c r="AC72" i="16"/>
  <c r="AG72" i="16"/>
  <c r="AD72" i="16"/>
  <c r="AB72" i="16"/>
  <c r="Z72" i="16"/>
  <c r="AF72" i="16"/>
  <c r="AH72" i="16"/>
  <c r="AE72" i="16"/>
  <c r="AA72" i="16"/>
  <c r="AA45" i="16"/>
  <c r="AG45" i="16"/>
  <c r="AB45" i="16"/>
  <c r="AH45" i="16"/>
  <c r="AC45" i="16"/>
  <c r="AD45" i="16"/>
  <c r="AE45" i="16"/>
  <c r="AF45" i="16"/>
  <c r="Z45" i="16"/>
  <c r="AA74" i="16"/>
  <c r="AC74" i="16"/>
  <c r="Z74" i="16"/>
  <c r="AG74" i="16"/>
  <c r="AD74" i="16"/>
  <c r="AB74" i="16"/>
  <c r="AF74" i="16"/>
  <c r="AH74" i="16"/>
  <c r="AE74" i="16"/>
  <c r="AD60" i="16"/>
  <c r="AE60" i="16"/>
  <c r="Z60" i="16"/>
  <c r="AF60" i="16"/>
  <c r="AA60" i="16"/>
  <c r="AG60" i="16"/>
  <c r="AB60" i="16"/>
  <c r="AC60" i="16"/>
  <c r="AH60" i="16"/>
  <c r="AF89" i="16"/>
  <c r="AB89" i="16"/>
  <c r="AE89" i="16"/>
  <c r="AA89" i="16"/>
  <c r="Z89" i="16"/>
  <c r="AC89" i="16"/>
  <c r="AG89" i="16"/>
  <c r="AD89" i="16"/>
  <c r="AH89" i="16"/>
  <c r="AD50" i="16"/>
  <c r="AE50" i="16"/>
  <c r="Z50" i="16"/>
  <c r="AF50" i="16"/>
  <c r="AA50" i="16"/>
  <c r="AG50" i="16"/>
  <c r="AB50" i="16"/>
  <c r="AC50" i="16"/>
  <c r="AH50" i="16"/>
  <c r="AD79" i="16"/>
  <c r="AH79" i="16"/>
  <c r="AF79" i="16"/>
  <c r="AB79" i="16"/>
  <c r="AE79" i="16"/>
  <c r="AA79" i="16"/>
  <c r="Z79" i="16"/>
  <c r="AC79" i="16"/>
  <c r="AG79" i="16"/>
  <c r="AD40" i="16"/>
  <c r="AE40" i="16"/>
  <c r="Z40" i="16"/>
  <c r="AF40" i="16"/>
  <c r="AA40" i="16"/>
  <c r="AG40" i="16"/>
  <c r="AB40" i="16"/>
  <c r="AC40" i="16"/>
  <c r="AH40" i="16"/>
  <c r="AG69" i="16"/>
  <c r="AD69" i="16"/>
  <c r="AH69" i="16"/>
  <c r="AF69" i="16"/>
  <c r="AB69" i="16"/>
  <c r="AE69" i="16"/>
  <c r="AA69" i="16"/>
  <c r="AC69" i="16"/>
  <c r="Z69" i="16"/>
  <c r="AD46" i="16"/>
  <c r="AE46" i="16"/>
  <c r="Z46" i="16"/>
  <c r="AF46" i="16"/>
  <c r="AA46" i="16"/>
  <c r="AG46" i="16"/>
  <c r="AB46" i="16"/>
  <c r="AC46" i="16"/>
  <c r="AH46" i="16"/>
  <c r="AE75" i="16"/>
  <c r="AA75" i="16"/>
  <c r="AC75" i="16"/>
  <c r="AG75" i="16"/>
  <c r="AB75" i="16"/>
  <c r="AD75" i="16"/>
  <c r="AH75" i="16"/>
  <c r="AF75" i="16"/>
  <c r="Z75" i="16"/>
  <c r="AA47" i="16"/>
  <c r="AG47" i="16"/>
  <c r="AB47" i="16"/>
  <c r="AH47" i="16"/>
  <c r="AC47" i="16"/>
  <c r="AD47" i="16"/>
  <c r="AE47" i="16"/>
  <c r="AF47" i="16"/>
  <c r="Z47" i="16"/>
  <c r="AE76" i="16"/>
  <c r="AA76" i="16"/>
  <c r="AC76" i="16"/>
  <c r="AB76" i="16"/>
  <c r="Z76" i="16"/>
  <c r="AF76" i="16"/>
  <c r="AH76" i="16"/>
  <c r="AG76" i="16"/>
  <c r="AD76" i="16"/>
  <c r="AD42" i="16"/>
  <c r="AE42" i="16"/>
  <c r="Z42" i="16"/>
  <c r="AF42" i="16"/>
  <c r="AA42" i="16"/>
  <c r="AG42" i="16"/>
  <c r="AB42" i="16"/>
  <c r="AC42" i="16"/>
  <c r="AH42" i="16"/>
  <c r="AG71" i="16"/>
  <c r="Z71" i="16"/>
  <c r="AD71" i="16"/>
  <c r="AH71" i="16"/>
  <c r="AF71" i="16"/>
  <c r="AB71" i="16"/>
  <c r="AE71" i="16"/>
  <c r="AA71" i="16"/>
  <c r="AC71" i="16"/>
  <c r="AA53" i="16"/>
  <c r="AG53" i="16"/>
  <c r="AB53" i="16"/>
  <c r="AH53" i="16"/>
  <c r="AC53" i="16"/>
  <c r="AD53" i="16"/>
  <c r="AE53" i="16"/>
  <c r="AF53" i="16"/>
  <c r="Z53" i="16"/>
  <c r="Z82" i="16"/>
  <c r="AF82" i="16"/>
  <c r="AH82" i="16"/>
  <c r="AG82" i="16"/>
  <c r="AD82" i="16"/>
  <c r="AE82" i="16"/>
  <c r="AB82" i="16"/>
  <c r="AC82" i="16"/>
  <c r="AA82" i="16"/>
  <c r="AA57" i="16"/>
  <c r="AG57" i="16"/>
  <c r="AB57" i="16"/>
  <c r="AH57" i="16"/>
  <c r="AC57" i="16"/>
  <c r="AD57" i="16"/>
  <c r="AE57" i="16"/>
  <c r="AF57" i="16"/>
  <c r="Z57" i="16"/>
  <c r="AA86" i="16"/>
  <c r="AC86" i="16"/>
  <c r="AB86" i="16"/>
  <c r="Z86" i="16"/>
  <c r="AG86" i="16"/>
  <c r="AD86" i="16"/>
  <c r="AE86" i="16"/>
  <c r="AF86" i="16"/>
  <c r="AH86" i="16"/>
  <c r="AD56" i="16"/>
  <c r="AE56" i="16"/>
  <c r="Z56" i="16"/>
  <c r="AF56" i="16"/>
  <c r="AA56" i="16"/>
  <c r="AG56" i="16"/>
  <c r="AB56" i="16"/>
  <c r="AC56" i="16"/>
  <c r="AH56" i="16"/>
  <c r="AC85" i="16"/>
  <c r="AG85" i="16"/>
  <c r="AD85" i="16"/>
  <c r="AH85" i="16"/>
  <c r="AE85" i="16"/>
  <c r="AA85" i="16"/>
  <c r="AF85" i="16"/>
  <c r="Z85" i="16"/>
  <c r="AB85" i="16"/>
  <c r="AA41" i="16"/>
  <c r="AG41" i="16"/>
  <c r="AB41" i="16"/>
  <c r="AH41" i="16"/>
  <c r="AC41" i="16"/>
  <c r="AD41" i="16"/>
  <c r="AE41" i="16"/>
  <c r="AF41" i="16"/>
  <c r="Z41" i="16"/>
  <c r="Z70" i="16"/>
  <c r="AG70" i="16"/>
  <c r="AD70" i="16"/>
  <c r="AB70" i="16"/>
  <c r="AF70" i="16"/>
  <c r="AH70" i="16"/>
  <c r="AE70" i="16"/>
  <c r="AA70" i="16"/>
  <c r="AC70" i="16"/>
  <c r="AA49" i="16"/>
  <c r="AG49" i="16"/>
  <c r="AB49" i="16"/>
  <c r="AH49" i="16"/>
  <c r="AC49" i="16"/>
  <c r="AD49" i="16"/>
  <c r="AE49" i="16"/>
  <c r="AF49" i="16"/>
  <c r="Z49" i="16"/>
  <c r="AF78" i="16"/>
  <c r="AH78" i="16"/>
  <c r="AE78" i="16"/>
  <c r="AA78" i="16"/>
  <c r="AC78" i="16"/>
  <c r="AG78" i="16"/>
  <c r="AD78" i="16"/>
  <c r="Z78" i="16"/>
  <c r="AB78" i="16"/>
  <c r="AA59" i="16"/>
  <c r="AG59" i="16"/>
  <c r="AB59" i="16"/>
  <c r="AH59" i="16"/>
  <c r="AC59" i="16"/>
  <c r="AD59" i="16"/>
  <c r="AE59" i="16"/>
  <c r="AF59" i="16"/>
  <c r="Z59" i="16"/>
  <c r="AE88" i="16"/>
  <c r="AA88" i="16"/>
  <c r="AC88" i="16"/>
  <c r="Z88" i="16"/>
  <c r="AF88" i="16"/>
  <c r="AG88" i="16"/>
  <c r="AD88" i="16"/>
  <c r="AB88" i="16"/>
  <c r="AH88" i="16"/>
  <c r="J38" i="15"/>
  <c r="O6" i="15"/>
  <c r="R6" i="15" s="1"/>
  <c r="O7" i="15"/>
  <c r="R7" i="15" s="1"/>
  <c r="O8" i="15"/>
  <c r="R8" i="15" s="1"/>
  <c r="O9" i="15"/>
  <c r="R9" i="15" s="1"/>
  <c r="O10" i="15"/>
  <c r="R10" i="15" s="1"/>
  <c r="O11" i="15"/>
  <c r="R11" i="15" s="1"/>
  <c r="O12" i="15"/>
  <c r="R12" i="15" s="1"/>
  <c r="O13" i="15"/>
  <c r="R13" i="15" s="1"/>
  <c r="O14" i="15"/>
  <c r="R14" i="15" s="1"/>
  <c r="O15" i="15"/>
  <c r="R15" i="15" s="1"/>
  <c r="O16" i="15"/>
  <c r="R16" i="15" s="1"/>
  <c r="O17" i="15"/>
  <c r="R17" i="15" s="1"/>
  <c r="O18" i="15"/>
  <c r="R18" i="15" s="1"/>
  <c r="O19" i="15"/>
  <c r="R19" i="15" s="1"/>
  <c r="O20" i="15"/>
  <c r="R20" i="15" s="1"/>
  <c r="O21" i="15"/>
  <c r="R21" i="15" s="1"/>
  <c r="O22" i="15"/>
  <c r="R22" i="15" s="1"/>
  <c r="O23" i="15"/>
  <c r="R23" i="15" s="1"/>
  <c r="O24" i="15"/>
  <c r="R24" i="15" s="1"/>
  <c r="O25" i="15"/>
  <c r="R25" i="15" s="1"/>
  <c r="O26" i="15"/>
  <c r="R26" i="15" s="1"/>
  <c r="O27" i="15"/>
  <c r="R27" i="15" s="1"/>
  <c r="O28" i="15"/>
  <c r="R28" i="15" s="1"/>
  <c r="O29" i="15"/>
  <c r="R29" i="15" s="1"/>
  <c r="O5" i="15"/>
  <c r="R5" i="15" s="1"/>
  <c r="R30" i="15" l="1"/>
  <c r="E38" i="15"/>
  <c r="D38" i="15"/>
  <c r="X10" i="16" l="1"/>
  <c r="Y10" i="16"/>
  <c r="Z10" i="16"/>
  <c r="AA10" i="16"/>
  <c r="AB10" i="16"/>
  <c r="AC10" i="16"/>
  <c r="AD10" i="16"/>
  <c r="AE10" i="16"/>
  <c r="AF10" i="16"/>
  <c r="AG10" i="16"/>
  <c r="AH10" i="16"/>
  <c r="X11" i="16"/>
  <c r="Y11" i="16"/>
  <c r="Z11" i="16"/>
  <c r="AA11" i="16"/>
  <c r="AB11" i="16"/>
  <c r="AC11" i="16"/>
  <c r="AD11" i="16"/>
  <c r="AE11" i="16"/>
  <c r="AF11" i="16"/>
  <c r="AG11" i="16"/>
  <c r="AH11" i="16"/>
  <c r="X12" i="16"/>
  <c r="Y12" i="16"/>
  <c r="Z12" i="16"/>
  <c r="AA12" i="16"/>
  <c r="AB12" i="16"/>
  <c r="AC12" i="16"/>
  <c r="AD12" i="16"/>
  <c r="AE12" i="16"/>
  <c r="AF12" i="16"/>
  <c r="AG12" i="16"/>
  <c r="AH12" i="16"/>
  <c r="X13" i="16"/>
  <c r="Y13" i="16"/>
  <c r="Z13" i="16"/>
  <c r="AA13" i="16"/>
  <c r="AB13" i="16"/>
  <c r="AC13" i="16"/>
  <c r="AD13" i="16"/>
  <c r="AE13" i="16"/>
  <c r="AF13" i="16"/>
  <c r="AG13" i="16"/>
  <c r="AH13" i="16"/>
  <c r="X14" i="16"/>
  <c r="Y14" i="16"/>
  <c r="Z14" i="16"/>
  <c r="AA14" i="16"/>
  <c r="AB14" i="16"/>
  <c r="AC14" i="16"/>
  <c r="AD14" i="16"/>
  <c r="AE14" i="16"/>
  <c r="AF14" i="16"/>
  <c r="AG14" i="16"/>
  <c r="AH14" i="16"/>
  <c r="X15" i="16"/>
  <c r="Y15" i="16"/>
  <c r="Z15" i="16"/>
  <c r="AA15" i="16"/>
  <c r="AB15" i="16"/>
  <c r="AC15" i="16"/>
  <c r="AD15" i="16"/>
  <c r="AE15" i="16"/>
  <c r="AF15" i="16"/>
  <c r="AG15" i="16"/>
  <c r="AH15" i="16"/>
  <c r="X16" i="16"/>
  <c r="Y16" i="16"/>
  <c r="Z16" i="16"/>
  <c r="AA16" i="16"/>
  <c r="AB16" i="16"/>
  <c r="AC16" i="16"/>
  <c r="AD16" i="16"/>
  <c r="AE16" i="16"/>
  <c r="AF16" i="16"/>
  <c r="AG16" i="16"/>
  <c r="AH16" i="16"/>
  <c r="X17" i="16"/>
  <c r="Y17" i="16"/>
  <c r="Z17" i="16"/>
  <c r="AA17" i="16"/>
  <c r="AB17" i="16"/>
  <c r="AC17" i="16"/>
  <c r="AD17" i="16"/>
  <c r="AE17" i="16"/>
  <c r="AF17" i="16"/>
  <c r="AG17" i="16"/>
  <c r="AH17" i="16"/>
  <c r="X18" i="16"/>
  <c r="Y18" i="16"/>
  <c r="Z18" i="16"/>
  <c r="AA18" i="16"/>
  <c r="AB18" i="16"/>
  <c r="AC18" i="16"/>
  <c r="AD18" i="16"/>
  <c r="AE18" i="16"/>
  <c r="AF18" i="16"/>
  <c r="AG18" i="16"/>
  <c r="AH18" i="16"/>
  <c r="X19" i="16"/>
  <c r="Y19" i="16"/>
  <c r="Z19" i="16"/>
  <c r="AA19" i="16"/>
  <c r="AB19" i="16"/>
  <c r="AC19" i="16"/>
  <c r="AD19" i="16"/>
  <c r="AE19" i="16"/>
  <c r="AF19" i="16"/>
  <c r="AG19" i="16"/>
  <c r="AH19" i="16"/>
  <c r="X20" i="16"/>
  <c r="Y20" i="16"/>
  <c r="Z20" i="16"/>
  <c r="AA20" i="16"/>
  <c r="AB20" i="16"/>
  <c r="AC20" i="16"/>
  <c r="AD20" i="16"/>
  <c r="AE20" i="16"/>
  <c r="AF20" i="16"/>
  <c r="AG20" i="16"/>
  <c r="AH20" i="16"/>
  <c r="X21" i="16"/>
  <c r="Y21" i="16"/>
  <c r="Z21" i="16"/>
  <c r="AA21" i="16"/>
  <c r="AB21" i="16"/>
  <c r="AC21" i="16"/>
  <c r="AD21" i="16"/>
  <c r="AE21" i="16"/>
  <c r="AF21" i="16"/>
  <c r="AG21" i="16"/>
  <c r="AH21" i="16"/>
  <c r="X22" i="16"/>
  <c r="Y22" i="16"/>
  <c r="Z22" i="16"/>
  <c r="AA22" i="16"/>
  <c r="AB22" i="16"/>
  <c r="AC22" i="16"/>
  <c r="AD22" i="16"/>
  <c r="AE22" i="16"/>
  <c r="AF22" i="16"/>
  <c r="AG22" i="16"/>
  <c r="AH22" i="16"/>
  <c r="X23" i="16"/>
  <c r="Y23" i="16"/>
  <c r="Z23" i="16"/>
  <c r="AA23" i="16"/>
  <c r="AB23" i="16"/>
  <c r="AC23" i="16"/>
  <c r="AD23" i="16"/>
  <c r="AE23" i="16"/>
  <c r="AF23" i="16"/>
  <c r="AG23" i="16"/>
  <c r="AH23" i="16"/>
  <c r="X24" i="16"/>
  <c r="Y24" i="16"/>
  <c r="Z24" i="16"/>
  <c r="AA24" i="16"/>
  <c r="AB24" i="16"/>
  <c r="AC24" i="16"/>
  <c r="AD24" i="16"/>
  <c r="AE24" i="16"/>
  <c r="AF24" i="16"/>
  <c r="AG24" i="16"/>
  <c r="AH24" i="16"/>
  <c r="X25" i="16"/>
  <c r="Y25" i="16"/>
  <c r="Z25" i="16"/>
  <c r="AA25" i="16"/>
  <c r="AB25" i="16"/>
  <c r="AC25" i="16"/>
  <c r="AD25" i="16"/>
  <c r="AE25" i="16"/>
  <c r="AF25" i="16"/>
  <c r="AG25" i="16"/>
  <c r="AH25" i="16"/>
  <c r="X26" i="16"/>
  <c r="Y26" i="16"/>
  <c r="Z26" i="16"/>
  <c r="AA26" i="16"/>
  <c r="AB26" i="16"/>
  <c r="AC26" i="16"/>
  <c r="AD26" i="16"/>
  <c r="AE26" i="16"/>
  <c r="AF26" i="16"/>
  <c r="AG26" i="16"/>
  <c r="AH26" i="16"/>
  <c r="X27" i="16"/>
  <c r="Y27" i="16"/>
  <c r="Z27" i="16"/>
  <c r="AA27" i="16"/>
  <c r="AB27" i="16"/>
  <c r="AC27" i="16"/>
  <c r="AD27" i="16"/>
  <c r="AE27" i="16"/>
  <c r="AF27" i="16"/>
  <c r="AG27" i="16"/>
  <c r="AH27" i="16"/>
  <c r="X28" i="16"/>
  <c r="Y28" i="16"/>
  <c r="Z28" i="16"/>
  <c r="AA28" i="16"/>
  <c r="AB28" i="16"/>
  <c r="AC28" i="16"/>
  <c r="AD28" i="16"/>
  <c r="AE28" i="16"/>
  <c r="AF28" i="16"/>
  <c r="AG28" i="16"/>
  <c r="AH28" i="16"/>
  <c r="X29" i="16"/>
  <c r="Y29" i="16"/>
  <c r="Z29" i="16"/>
  <c r="AA29" i="16"/>
  <c r="AB29" i="16"/>
  <c r="AC29" i="16"/>
  <c r="AD29" i="16"/>
  <c r="AE29" i="16"/>
  <c r="AF29" i="16"/>
  <c r="AG29" i="16"/>
  <c r="AH29" i="16"/>
  <c r="X30" i="16"/>
  <c r="Y30" i="16"/>
  <c r="Z30" i="16"/>
  <c r="AA30" i="16"/>
  <c r="AB30" i="16"/>
  <c r="AC30" i="16"/>
  <c r="AD30" i="16"/>
  <c r="AE30" i="16"/>
  <c r="AF30" i="16"/>
  <c r="AG30" i="16"/>
  <c r="AH30" i="16"/>
  <c r="X31" i="16"/>
  <c r="Y31" i="16"/>
  <c r="Z31" i="16"/>
  <c r="AA31" i="16"/>
  <c r="AB31" i="16"/>
  <c r="AC31" i="16"/>
  <c r="AD31" i="16"/>
  <c r="AE31" i="16"/>
  <c r="AF31" i="16"/>
  <c r="AG31" i="16"/>
  <c r="AH31" i="16"/>
  <c r="X32" i="16"/>
  <c r="Y32" i="16"/>
  <c r="Z32" i="16"/>
  <c r="AA32" i="16"/>
  <c r="AB32" i="16"/>
  <c r="AC32" i="16"/>
  <c r="AD32" i="16"/>
  <c r="AE32" i="16"/>
  <c r="AF32" i="16"/>
  <c r="AG32" i="16"/>
  <c r="AH32" i="16"/>
  <c r="X33" i="16"/>
  <c r="Y33" i="16"/>
  <c r="Z33" i="16"/>
  <c r="AA33" i="16"/>
  <c r="AB33" i="16"/>
  <c r="AC33" i="16"/>
  <c r="AD33" i="16"/>
  <c r="AE33" i="16"/>
  <c r="AF33" i="16"/>
  <c r="AG33" i="16"/>
  <c r="AH33" i="16"/>
  <c r="Y9" i="16"/>
  <c r="Z9" i="16"/>
  <c r="AA9" i="16"/>
  <c r="AB9" i="16"/>
  <c r="AC9" i="16"/>
  <c r="AD9" i="16"/>
  <c r="AE9" i="16"/>
  <c r="AF9" i="16"/>
  <c r="AG9" i="16"/>
  <c r="AH9" i="16"/>
  <c r="X9" i="16"/>
  <c r="P6" i="33" l="1"/>
  <c r="P7" i="33"/>
  <c r="P8" i="33"/>
  <c r="P9" i="33"/>
  <c r="P10" i="33"/>
  <c r="P11" i="33"/>
  <c r="P12" i="33"/>
  <c r="P13" i="33"/>
  <c r="P5" i="33"/>
  <c r="Z64" i="28"/>
  <c r="AA64" i="28"/>
  <c r="AB64" i="28"/>
  <c r="Y64" i="28"/>
  <c r="AS31" i="15"/>
  <c r="AT31" i="15"/>
  <c r="AU31" i="15"/>
  <c r="AA39" i="28" l="1"/>
  <c r="AA56" i="28"/>
  <c r="AA53" i="28"/>
  <c r="AA62" i="28"/>
  <c r="AA60" i="28"/>
  <c r="AA57" i="28"/>
  <c r="AA55" i="28"/>
  <c r="AA52" i="28"/>
  <c r="AA46" i="28"/>
  <c r="AA43" i="28"/>
  <c r="AA59" i="28"/>
  <c r="AA41" i="28"/>
  <c r="AA50" i="28"/>
  <c r="AA38" i="28"/>
  <c r="AA45" i="28"/>
  <c r="AA54" i="28"/>
  <c r="AA48" i="28"/>
  <c r="AA49" i="28"/>
  <c r="AA58" i="28"/>
  <c r="AA42" i="28"/>
  <c r="AA40" i="28"/>
  <c r="AA47" i="28"/>
  <c r="AA61" i="28"/>
  <c r="AA51" i="28"/>
  <c r="AA44" i="28"/>
  <c r="AB39" i="28"/>
  <c r="AB56" i="28"/>
  <c r="AB53" i="28"/>
  <c r="AB60" i="28"/>
  <c r="AB57" i="28"/>
  <c r="AB55" i="28"/>
  <c r="AB46" i="28"/>
  <c r="AB52" i="28"/>
  <c r="AB41" i="28"/>
  <c r="AB62" i="28"/>
  <c r="AB50" i="28"/>
  <c r="AB38" i="28"/>
  <c r="AB45" i="28"/>
  <c r="AB48" i="28"/>
  <c r="AB49" i="28"/>
  <c r="AB54" i="28"/>
  <c r="AB58" i="28"/>
  <c r="AB43" i="28"/>
  <c r="AB59" i="28"/>
  <c r="AB47" i="28"/>
  <c r="AB51" i="28"/>
  <c r="AB42" i="28"/>
  <c r="AB40" i="28"/>
  <c r="AB61" i="28"/>
  <c r="AB44" i="28"/>
  <c r="Z39" i="28"/>
  <c r="Z55" i="28"/>
  <c r="Z43" i="28"/>
  <c r="Z59" i="28"/>
  <c r="Z52" i="28"/>
  <c r="Z46" i="28"/>
  <c r="Z56" i="28"/>
  <c r="Z50" i="28"/>
  <c r="Z47" i="28"/>
  <c r="Z44" i="28"/>
  <c r="Z45" i="28"/>
  <c r="Z61" i="28"/>
  <c r="Z54" i="28"/>
  <c r="Z48" i="28"/>
  <c r="Z49" i="28"/>
  <c r="Z53" i="28"/>
  <c r="Z57" i="28"/>
  <c r="Z51" i="28"/>
  <c r="Z60" i="28"/>
  <c r="Z38" i="28"/>
  <c r="Z40" i="28"/>
  <c r="Z42" i="28"/>
  <c r="Z62" i="28"/>
  <c r="Z41" i="28"/>
  <c r="Z58" i="28"/>
  <c r="Y39" i="28"/>
  <c r="Y46" i="28"/>
  <c r="Y41" i="28"/>
  <c r="Y56" i="28"/>
  <c r="Y62" i="28"/>
  <c r="Y55" i="28"/>
  <c r="Y53" i="28"/>
  <c r="Y60" i="28"/>
  <c r="Y40" i="28"/>
  <c r="Y61" i="28"/>
  <c r="Y51" i="28"/>
  <c r="Y58" i="28"/>
  <c r="Y59" i="28"/>
  <c r="Y57" i="28"/>
  <c r="Y45" i="28"/>
  <c r="Y52" i="28"/>
  <c r="Y47" i="28"/>
  <c r="Y44" i="28"/>
  <c r="Y42" i="28"/>
  <c r="Y50" i="28"/>
  <c r="Y49" i="28"/>
  <c r="Y43" i="28"/>
  <c r="Y38" i="28"/>
  <c r="Y54" i="28"/>
  <c r="Y48" i="28"/>
  <c r="AP31" i="2" l="1"/>
  <c r="AP30" i="2" s="1"/>
  <c r="B28" i="28"/>
  <c r="C4" i="28"/>
  <c r="D4" i="28"/>
  <c r="D39" i="28" s="1"/>
  <c r="T39" i="28" s="1"/>
  <c r="E4" i="28"/>
  <c r="E39" i="28" s="1"/>
  <c r="U39" i="28" s="1"/>
  <c r="F4" i="28"/>
  <c r="F39" i="28" s="1"/>
  <c r="V39" i="28" s="1"/>
  <c r="G4" i="28"/>
  <c r="H4" i="28"/>
  <c r="I4" i="28"/>
  <c r="C5" i="28"/>
  <c r="C40" i="28" s="1"/>
  <c r="S40" i="28" s="1"/>
  <c r="D5" i="28"/>
  <c r="D40" i="28" s="1"/>
  <c r="T40" i="28" s="1"/>
  <c r="E5" i="28"/>
  <c r="E40" i="28" s="1"/>
  <c r="U40" i="28" s="1"/>
  <c r="F5" i="28"/>
  <c r="F40" i="28" s="1"/>
  <c r="V40" i="28" s="1"/>
  <c r="G5" i="28"/>
  <c r="H5" i="28"/>
  <c r="I5" i="28"/>
  <c r="C8" i="28"/>
  <c r="D8" i="28"/>
  <c r="D43" i="28" s="1"/>
  <c r="T43" i="28" s="1"/>
  <c r="E8" i="28"/>
  <c r="E43" i="28" s="1"/>
  <c r="U43" i="28" s="1"/>
  <c r="F8" i="28"/>
  <c r="F43" i="28" s="1"/>
  <c r="V43" i="28" s="1"/>
  <c r="G8" i="28"/>
  <c r="H8" i="28"/>
  <c r="I8" i="28"/>
  <c r="C10" i="28"/>
  <c r="C45" i="28" s="1"/>
  <c r="S45" i="28" s="1"/>
  <c r="D10" i="28"/>
  <c r="D45" i="28" s="1"/>
  <c r="T45" i="28" s="1"/>
  <c r="E10" i="28"/>
  <c r="E45" i="28" s="1"/>
  <c r="U45" i="28" s="1"/>
  <c r="F10" i="28"/>
  <c r="F45" i="28" s="1"/>
  <c r="V45" i="28" s="1"/>
  <c r="G10" i="28"/>
  <c r="H10" i="28"/>
  <c r="I10" i="28"/>
  <c r="C11" i="28"/>
  <c r="D11" i="28"/>
  <c r="D46" i="28" s="1"/>
  <c r="T46" i="28" s="1"/>
  <c r="E11" i="28"/>
  <c r="E46" i="28" s="1"/>
  <c r="U46" i="28" s="1"/>
  <c r="F11" i="28"/>
  <c r="F46" i="28" s="1"/>
  <c r="V46" i="28" s="1"/>
  <c r="G11" i="28"/>
  <c r="H11" i="28"/>
  <c r="I11" i="28"/>
  <c r="C12" i="28"/>
  <c r="D12" i="28"/>
  <c r="D47" i="28" s="1"/>
  <c r="T47" i="28" s="1"/>
  <c r="E12" i="28"/>
  <c r="E47" i="28" s="1"/>
  <c r="U47" i="28" s="1"/>
  <c r="F12" i="28"/>
  <c r="F47" i="28" s="1"/>
  <c r="V47" i="28" s="1"/>
  <c r="G12" i="28"/>
  <c r="H12" i="28"/>
  <c r="I12" i="28"/>
  <c r="C15" i="28"/>
  <c r="D15" i="28"/>
  <c r="D50" i="28" s="1"/>
  <c r="T50" i="28" s="1"/>
  <c r="E15" i="28"/>
  <c r="E50" i="28" s="1"/>
  <c r="U50" i="28" s="1"/>
  <c r="F15" i="28"/>
  <c r="F50" i="28" s="1"/>
  <c r="V50" i="28" s="1"/>
  <c r="G15" i="28"/>
  <c r="H15" i="28"/>
  <c r="I15" i="28"/>
  <c r="C19" i="28"/>
  <c r="D19" i="28"/>
  <c r="D54" i="28" s="1"/>
  <c r="T54" i="28" s="1"/>
  <c r="E19" i="28"/>
  <c r="E54" i="28" s="1"/>
  <c r="U54" i="28" s="1"/>
  <c r="F19" i="28"/>
  <c r="F54" i="28" s="1"/>
  <c r="V54" i="28" s="1"/>
  <c r="G19" i="28"/>
  <c r="H19" i="28"/>
  <c r="I19" i="28"/>
  <c r="C24" i="28"/>
  <c r="D24" i="28"/>
  <c r="D59" i="28" s="1"/>
  <c r="T59" i="28" s="1"/>
  <c r="E24" i="28"/>
  <c r="E59" i="28" s="1"/>
  <c r="U59" i="28" s="1"/>
  <c r="F24" i="28"/>
  <c r="F59" i="28" s="1"/>
  <c r="V59" i="28" s="1"/>
  <c r="G24" i="28"/>
  <c r="H24" i="28"/>
  <c r="I24" i="28"/>
  <c r="C26" i="28"/>
  <c r="C61" i="28" s="1"/>
  <c r="S61" i="28" s="1"/>
  <c r="D26" i="28"/>
  <c r="D61" i="28" s="1"/>
  <c r="T61" i="28" s="1"/>
  <c r="E26" i="28"/>
  <c r="E61" i="28" s="1"/>
  <c r="U61" i="28" s="1"/>
  <c r="F26" i="28"/>
  <c r="F61" i="28" s="1"/>
  <c r="V61" i="28" s="1"/>
  <c r="G26" i="28"/>
  <c r="H26" i="28"/>
  <c r="I26" i="28"/>
  <c r="C27" i="28"/>
  <c r="D27" i="28"/>
  <c r="D62" i="28" s="1"/>
  <c r="T62" i="28" s="1"/>
  <c r="E27" i="28"/>
  <c r="E62" i="28" s="1"/>
  <c r="U62" i="28" s="1"/>
  <c r="F27" i="28"/>
  <c r="F62" i="28" s="1"/>
  <c r="V62" i="28" s="1"/>
  <c r="G27" i="28"/>
  <c r="H27" i="28"/>
  <c r="I27" i="28"/>
  <c r="L63" i="28"/>
  <c r="K63" i="28"/>
  <c r="J63" i="28"/>
  <c r="I63" i="28"/>
  <c r="M152" i="27"/>
  <c r="N152" i="27" s="1"/>
  <c r="M151" i="27"/>
  <c r="N151" i="27" s="1"/>
  <c r="M150" i="27"/>
  <c r="N150" i="27" s="1"/>
  <c r="M149" i="27"/>
  <c r="N149" i="27" s="1"/>
  <c r="M148" i="27"/>
  <c r="N148" i="27" s="1"/>
  <c r="M147" i="27"/>
  <c r="N147" i="27" s="1"/>
  <c r="M146" i="27"/>
  <c r="N146" i="27" s="1"/>
  <c r="M145" i="27"/>
  <c r="N145" i="27" s="1"/>
  <c r="M144" i="27"/>
  <c r="N144" i="27" s="1"/>
  <c r="M143" i="27"/>
  <c r="N143" i="27" s="1"/>
  <c r="M142" i="27"/>
  <c r="N142" i="27" s="1"/>
  <c r="M141" i="27"/>
  <c r="N141" i="27" s="1"/>
  <c r="M140" i="27"/>
  <c r="N140" i="27" s="1"/>
  <c r="M139" i="27"/>
  <c r="N139" i="27" s="1"/>
  <c r="M138" i="27"/>
  <c r="N138" i="27" s="1"/>
  <c r="M137" i="27"/>
  <c r="N137" i="27" s="1"/>
  <c r="M136" i="27"/>
  <c r="N136" i="27" s="1"/>
  <c r="M135" i="27"/>
  <c r="N135" i="27" s="1"/>
  <c r="E9" i="28" s="1"/>
  <c r="E44" i="28" s="1"/>
  <c r="U44" i="28" s="1"/>
  <c r="M134" i="27"/>
  <c r="N134" i="27" s="1"/>
  <c r="M133" i="27"/>
  <c r="N133" i="27" s="1"/>
  <c r="M132" i="27"/>
  <c r="N132" i="27" s="1"/>
  <c r="M131" i="27"/>
  <c r="N131" i="27" s="1"/>
  <c r="M130" i="27"/>
  <c r="N130" i="27" s="1"/>
  <c r="M129" i="27"/>
  <c r="N129" i="27" s="1"/>
  <c r="M128" i="27"/>
  <c r="N128" i="27" s="1"/>
  <c r="M127" i="27"/>
  <c r="N127" i="27" s="1"/>
  <c r="M126" i="27"/>
  <c r="N126" i="27" s="1"/>
  <c r="M125" i="27"/>
  <c r="N125" i="27" s="1"/>
  <c r="M124" i="27"/>
  <c r="N124" i="27" s="1"/>
  <c r="M123" i="27"/>
  <c r="N123" i="27" s="1"/>
  <c r="M122" i="27"/>
  <c r="N122" i="27" s="1"/>
  <c r="M121" i="27"/>
  <c r="N121" i="27" s="1"/>
  <c r="M120" i="27"/>
  <c r="N120" i="27" s="1"/>
  <c r="M119" i="27"/>
  <c r="N119" i="27" s="1"/>
  <c r="M118" i="27"/>
  <c r="N118" i="27" s="1"/>
  <c r="M117" i="27"/>
  <c r="N117" i="27" s="1"/>
  <c r="M116" i="27"/>
  <c r="N116" i="27" s="1"/>
  <c r="M115" i="27"/>
  <c r="N115" i="27" s="1"/>
  <c r="M114" i="27"/>
  <c r="N114" i="27" s="1"/>
  <c r="M113" i="27"/>
  <c r="N113" i="27" s="1"/>
  <c r="M112" i="27"/>
  <c r="N112" i="27" s="1"/>
  <c r="M111" i="27"/>
  <c r="N111" i="27" s="1"/>
  <c r="M110" i="27"/>
  <c r="N110" i="27" s="1"/>
  <c r="M109" i="27"/>
  <c r="N109" i="27" s="1"/>
  <c r="M108" i="27"/>
  <c r="N108" i="27" s="1"/>
  <c r="M107" i="27"/>
  <c r="N107" i="27" s="1"/>
  <c r="M106" i="27"/>
  <c r="N106" i="27" s="1"/>
  <c r="M105" i="27"/>
  <c r="N105" i="27" s="1"/>
  <c r="M104" i="27"/>
  <c r="N104" i="27" s="1"/>
  <c r="M103" i="27"/>
  <c r="N103" i="27" s="1"/>
  <c r="M102" i="27"/>
  <c r="N102" i="27" s="1"/>
  <c r="M101" i="27"/>
  <c r="N101" i="27" s="1"/>
  <c r="M100" i="27"/>
  <c r="N100" i="27" s="1"/>
  <c r="M99" i="27"/>
  <c r="N99" i="27" s="1"/>
  <c r="M98" i="27"/>
  <c r="N98" i="27" s="1"/>
  <c r="M97" i="27"/>
  <c r="N97" i="27" s="1"/>
  <c r="M96" i="27"/>
  <c r="N96" i="27" s="1"/>
  <c r="M95" i="27"/>
  <c r="N95" i="27" s="1"/>
  <c r="M94" i="27"/>
  <c r="N94" i="27" s="1"/>
  <c r="M93" i="27"/>
  <c r="N93" i="27" s="1"/>
  <c r="M92" i="27"/>
  <c r="N92" i="27" s="1"/>
  <c r="M91" i="27"/>
  <c r="N91" i="27" s="1"/>
  <c r="M90" i="27"/>
  <c r="N90" i="27" s="1"/>
  <c r="M89" i="27"/>
  <c r="N89" i="27" s="1"/>
  <c r="M88" i="27"/>
  <c r="N88" i="27" s="1"/>
  <c r="M87" i="27"/>
  <c r="N87" i="27" s="1"/>
  <c r="M86" i="27"/>
  <c r="N86" i="27" s="1"/>
  <c r="M85" i="27"/>
  <c r="N85" i="27" s="1"/>
  <c r="M84" i="27"/>
  <c r="N84" i="27" s="1"/>
  <c r="M83" i="27"/>
  <c r="N83" i="27" s="1"/>
  <c r="M82" i="27"/>
  <c r="N82" i="27" s="1"/>
  <c r="M81" i="27"/>
  <c r="N81" i="27" s="1"/>
  <c r="M80" i="27"/>
  <c r="N80" i="27" s="1"/>
  <c r="M79" i="27"/>
  <c r="N79" i="27" s="1"/>
  <c r="M78" i="27"/>
  <c r="N78" i="27" s="1"/>
  <c r="M77" i="27"/>
  <c r="N77" i="27" s="1"/>
  <c r="M76" i="27"/>
  <c r="N76" i="27" s="1"/>
  <c r="M75" i="27"/>
  <c r="N75" i="27" s="1"/>
  <c r="M74" i="27"/>
  <c r="N74" i="27" s="1"/>
  <c r="M73" i="27"/>
  <c r="N73" i="27" s="1"/>
  <c r="M72" i="27"/>
  <c r="N72" i="27" s="1"/>
  <c r="M71" i="27"/>
  <c r="N71" i="27" s="1"/>
  <c r="M70" i="27"/>
  <c r="N70" i="27" s="1"/>
  <c r="M69" i="27"/>
  <c r="N69" i="27" s="1"/>
  <c r="M68" i="27"/>
  <c r="N68" i="27" s="1"/>
  <c r="M67" i="27"/>
  <c r="N67" i="27" s="1"/>
  <c r="M66" i="27"/>
  <c r="N66" i="27" s="1"/>
  <c r="M65" i="27"/>
  <c r="N65" i="27" s="1"/>
  <c r="M64" i="27"/>
  <c r="N64" i="27" s="1"/>
  <c r="M63" i="27"/>
  <c r="N63" i="27" s="1"/>
  <c r="M62" i="27"/>
  <c r="N62" i="27" s="1"/>
  <c r="M61" i="27"/>
  <c r="N61" i="27" s="1"/>
  <c r="M60" i="27"/>
  <c r="N60" i="27" s="1"/>
  <c r="M59" i="27"/>
  <c r="N59" i="27" s="1"/>
  <c r="M58" i="27"/>
  <c r="N58" i="27" s="1"/>
  <c r="M57" i="27"/>
  <c r="N57" i="27" s="1"/>
  <c r="M56" i="27"/>
  <c r="N56" i="27" s="1"/>
  <c r="M55" i="27"/>
  <c r="N55" i="27" s="1"/>
  <c r="M54" i="27"/>
  <c r="N54" i="27" s="1"/>
  <c r="M53" i="27"/>
  <c r="N53" i="27" s="1"/>
  <c r="M52" i="27"/>
  <c r="N52" i="27" s="1"/>
  <c r="M51" i="27"/>
  <c r="N51" i="27" s="1"/>
  <c r="M50" i="27"/>
  <c r="N50" i="27" s="1"/>
  <c r="M49" i="27"/>
  <c r="N49" i="27" s="1"/>
  <c r="M48" i="27"/>
  <c r="N48" i="27" s="1"/>
  <c r="M47" i="27"/>
  <c r="N47" i="27" s="1"/>
  <c r="M46" i="27"/>
  <c r="N46" i="27" s="1"/>
  <c r="M45" i="27"/>
  <c r="N45" i="27" s="1"/>
  <c r="M44" i="27"/>
  <c r="N44" i="27" s="1"/>
  <c r="M43" i="27"/>
  <c r="N43" i="27" s="1"/>
  <c r="M42" i="27"/>
  <c r="N42" i="27" s="1"/>
  <c r="M41" i="27"/>
  <c r="N41" i="27" s="1"/>
  <c r="M40" i="27"/>
  <c r="N40" i="27" s="1"/>
  <c r="M39" i="27"/>
  <c r="N39" i="27" s="1"/>
  <c r="M38" i="27"/>
  <c r="N38" i="27" s="1"/>
  <c r="M37" i="27"/>
  <c r="N37" i="27" s="1"/>
  <c r="M36" i="27"/>
  <c r="N36" i="27" s="1"/>
  <c r="M35" i="27"/>
  <c r="N35" i="27" s="1"/>
  <c r="M34" i="27"/>
  <c r="N34" i="27" s="1"/>
  <c r="M33" i="27"/>
  <c r="N33" i="27" s="1"/>
  <c r="M32" i="27"/>
  <c r="N32" i="27" s="1"/>
  <c r="M31" i="27"/>
  <c r="N31" i="27" s="1"/>
  <c r="M30" i="27"/>
  <c r="N30" i="27" s="1"/>
  <c r="M29" i="27"/>
  <c r="N29" i="27" s="1"/>
  <c r="M28" i="27"/>
  <c r="N28" i="27" s="1"/>
  <c r="M27" i="27"/>
  <c r="N27" i="27" s="1"/>
  <c r="M26" i="27"/>
  <c r="N26" i="27" s="1"/>
  <c r="M25" i="27"/>
  <c r="N25" i="27" s="1"/>
  <c r="M24" i="27"/>
  <c r="N24" i="27" s="1"/>
  <c r="M23" i="27"/>
  <c r="N23" i="27" s="1"/>
  <c r="M22" i="27"/>
  <c r="N22" i="27" s="1"/>
  <c r="M21" i="27"/>
  <c r="N21" i="27" s="1"/>
  <c r="M20" i="27"/>
  <c r="N20" i="27" s="1"/>
  <c r="M19" i="27"/>
  <c r="N19" i="27" s="1"/>
  <c r="M18" i="27"/>
  <c r="N18" i="27" s="1"/>
  <c r="M17" i="27"/>
  <c r="N17" i="27" s="1"/>
  <c r="M16" i="27"/>
  <c r="N16" i="27" s="1"/>
  <c r="M15" i="27"/>
  <c r="N15" i="27" s="1"/>
  <c r="M14" i="27"/>
  <c r="N14" i="27" s="1"/>
  <c r="M13" i="27"/>
  <c r="N13" i="27" s="1"/>
  <c r="M12" i="27"/>
  <c r="N12" i="27" s="1"/>
  <c r="M11" i="27"/>
  <c r="N11" i="27" s="1"/>
  <c r="M10" i="27"/>
  <c r="N10" i="27" s="1"/>
  <c r="M9" i="27"/>
  <c r="N9" i="27" s="1"/>
  <c r="M8" i="27"/>
  <c r="N8" i="27" s="1"/>
  <c r="M7" i="27"/>
  <c r="N7" i="27" s="1"/>
  <c r="M6" i="27"/>
  <c r="N6" i="27" s="1"/>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K30" i="2"/>
  <c r="K5" i="2"/>
  <c r="I25" i="28" l="1"/>
  <c r="AQ31" i="2"/>
  <c r="AQ30" i="2" s="1"/>
  <c r="B63" i="28"/>
  <c r="H16" i="28"/>
  <c r="F6" i="28"/>
  <c r="F41" i="28" s="1"/>
  <c r="V41" i="28" s="1"/>
  <c r="G7" i="28"/>
  <c r="C3" i="28"/>
  <c r="C38" i="28" s="1"/>
  <c r="S38" i="28" s="1"/>
  <c r="AR31" i="2"/>
  <c r="AR30" i="2" s="1"/>
  <c r="J12" i="28"/>
  <c r="E13" i="28"/>
  <c r="E48" i="28" s="1"/>
  <c r="U48" i="28" s="1"/>
  <c r="E17" i="28"/>
  <c r="E52" i="28" s="1"/>
  <c r="U52" i="28" s="1"/>
  <c r="I21" i="28"/>
  <c r="I3" i="28"/>
  <c r="J8" i="28"/>
  <c r="D20" i="28"/>
  <c r="D55" i="28" s="1"/>
  <c r="T55" i="28" s="1"/>
  <c r="G23" i="28"/>
  <c r="J24" i="28"/>
  <c r="J4" i="28"/>
  <c r="E20" i="28"/>
  <c r="E55" i="28" s="1"/>
  <c r="U55" i="28" s="1"/>
  <c r="I20" i="28"/>
  <c r="F20" i="28"/>
  <c r="F55" i="28" s="1"/>
  <c r="V55" i="28" s="1"/>
  <c r="C20" i="28"/>
  <c r="G20" i="28"/>
  <c r="F21" i="28"/>
  <c r="F56" i="28" s="1"/>
  <c r="V56" i="28" s="1"/>
  <c r="C21" i="28"/>
  <c r="G21" i="28"/>
  <c r="D21" i="28"/>
  <c r="D56" i="28" s="1"/>
  <c r="T56" i="28" s="1"/>
  <c r="H21" i="28"/>
  <c r="F3" i="28"/>
  <c r="F38" i="28" s="1"/>
  <c r="V38" i="28" s="1"/>
  <c r="G3" i="28"/>
  <c r="D3" i="28"/>
  <c r="H3" i="28"/>
  <c r="F25" i="28"/>
  <c r="F60" i="28" s="1"/>
  <c r="V60" i="28" s="1"/>
  <c r="C25" i="28"/>
  <c r="G25" i="28"/>
  <c r="D25" i="28"/>
  <c r="D60" i="28" s="1"/>
  <c r="T60" i="28" s="1"/>
  <c r="H25" i="28"/>
  <c r="E3" i="28"/>
  <c r="E25" i="28"/>
  <c r="E60" i="28" s="1"/>
  <c r="U60" i="28" s="1"/>
  <c r="E21" i="28"/>
  <c r="E56" i="28" s="1"/>
  <c r="U56" i="28" s="1"/>
  <c r="C7" i="28"/>
  <c r="J5" i="28"/>
  <c r="J26" i="28"/>
  <c r="J10" i="28"/>
  <c r="F13" i="28"/>
  <c r="F48" i="28" s="1"/>
  <c r="V48" i="28" s="1"/>
  <c r="C13" i="28"/>
  <c r="G13" i="28"/>
  <c r="D13" i="28"/>
  <c r="D48" i="28" s="1"/>
  <c r="T48" i="28" s="1"/>
  <c r="H13" i="28"/>
  <c r="F17" i="28"/>
  <c r="F52" i="28" s="1"/>
  <c r="V52" i="28" s="1"/>
  <c r="C17" i="28"/>
  <c r="G17" i="28"/>
  <c r="D17" i="28"/>
  <c r="D52" i="28" s="1"/>
  <c r="T52" i="28" s="1"/>
  <c r="H17" i="28"/>
  <c r="J27" i="28"/>
  <c r="C62" i="28"/>
  <c r="S62" i="28" s="1"/>
  <c r="I17" i="28"/>
  <c r="I13" i="28"/>
  <c r="D23" i="28"/>
  <c r="D58" i="28" s="1"/>
  <c r="T58" i="28" s="1"/>
  <c r="H23" i="28"/>
  <c r="E23" i="28"/>
  <c r="E58" i="28" s="1"/>
  <c r="U58" i="28" s="1"/>
  <c r="I23" i="28"/>
  <c r="F23" i="28"/>
  <c r="F58" i="28" s="1"/>
  <c r="V58" i="28" s="1"/>
  <c r="C23" i="28"/>
  <c r="H20" i="28"/>
  <c r="J19" i="28"/>
  <c r="C54" i="28"/>
  <c r="S54" i="28" s="1"/>
  <c r="J15" i="28"/>
  <c r="C50" i="28"/>
  <c r="S50" i="28" s="1"/>
  <c r="C18" i="28"/>
  <c r="G18" i="28"/>
  <c r="D18" i="28"/>
  <c r="D53" i="28" s="1"/>
  <c r="T53" i="28" s="1"/>
  <c r="H18" i="28"/>
  <c r="E18" i="28"/>
  <c r="E53" i="28" s="1"/>
  <c r="U53" i="28" s="1"/>
  <c r="I18" i="28"/>
  <c r="F9" i="28"/>
  <c r="F44" i="28" s="1"/>
  <c r="V44" i="28" s="1"/>
  <c r="C9" i="28"/>
  <c r="G9" i="28"/>
  <c r="D9" i="28"/>
  <c r="D44" i="28" s="1"/>
  <c r="T44" i="28" s="1"/>
  <c r="H9" i="28"/>
  <c r="C6" i="28"/>
  <c r="G6" i="28"/>
  <c r="D6" i="28"/>
  <c r="D41" i="28" s="1"/>
  <c r="T41" i="28" s="1"/>
  <c r="H6" i="28"/>
  <c r="E6" i="28"/>
  <c r="I6" i="28"/>
  <c r="D7" i="28"/>
  <c r="D42" i="28" s="1"/>
  <c r="T42" i="28" s="1"/>
  <c r="H7" i="28"/>
  <c r="E7" i="28"/>
  <c r="E42" i="28" s="1"/>
  <c r="U42" i="28" s="1"/>
  <c r="I7" i="28"/>
  <c r="F7" i="28"/>
  <c r="E16" i="28"/>
  <c r="E51" i="28" s="1"/>
  <c r="U51" i="28" s="1"/>
  <c r="I16" i="28"/>
  <c r="F16" i="28"/>
  <c r="F51" i="28" s="1"/>
  <c r="V51" i="28" s="1"/>
  <c r="C16" i="28"/>
  <c r="G16" i="28"/>
  <c r="C22" i="28"/>
  <c r="G22" i="28"/>
  <c r="D22" i="28"/>
  <c r="D57" i="28" s="1"/>
  <c r="T57" i="28" s="1"/>
  <c r="H22" i="28"/>
  <c r="E22" i="28"/>
  <c r="E57" i="28" s="1"/>
  <c r="U57" i="28" s="1"/>
  <c r="I22" i="28"/>
  <c r="C14" i="28"/>
  <c r="G14" i="28"/>
  <c r="D14" i="28"/>
  <c r="D49" i="28" s="1"/>
  <c r="T49" i="28" s="1"/>
  <c r="H14" i="28"/>
  <c r="E14" i="28"/>
  <c r="E49" i="28" s="1"/>
  <c r="U49" i="28" s="1"/>
  <c r="I14" i="28"/>
  <c r="F22" i="28"/>
  <c r="F57" i="28" s="1"/>
  <c r="V57" i="28" s="1"/>
  <c r="F18" i="28"/>
  <c r="F53" i="28" s="1"/>
  <c r="V53" i="28" s="1"/>
  <c r="D16" i="28"/>
  <c r="D51" i="28" s="1"/>
  <c r="T51" i="28" s="1"/>
  <c r="F14" i="28"/>
  <c r="J11" i="28"/>
  <c r="C46" i="28"/>
  <c r="S46" i="28" s="1"/>
  <c r="I9" i="28"/>
  <c r="C59" i="28"/>
  <c r="S59" i="28" s="1"/>
  <c r="C47" i="28"/>
  <c r="S47" i="28" s="1"/>
  <c r="C43" i="28"/>
  <c r="S43" i="28" s="1"/>
  <c r="C39" i="28"/>
  <c r="S39" i="28" s="1"/>
  <c r="F49" i="28" l="1"/>
  <c r="V49" i="28" s="1"/>
  <c r="F42" i="28"/>
  <c r="V42" i="28" s="1"/>
  <c r="E41" i="28"/>
  <c r="U41" i="28" s="1"/>
  <c r="AO65" i="2"/>
  <c r="AS31" i="2"/>
  <c r="AS30" i="2" s="1"/>
  <c r="I28" i="28"/>
  <c r="C41" i="28"/>
  <c r="S41" i="28" s="1"/>
  <c r="J6" i="28"/>
  <c r="J13" i="28"/>
  <c r="C48" i="28"/>
  <c r="S48" i="28" s="1"/>
  <c r="H28" i="28"/>
  <c r="J17" i="28"/>
  <c r="C52" i="28"/>
  <c r="S52" i="28" s="1"/>
  <c r="J21" i="28"/>
  <c r="C56" i="28"/>
  <c r="S56" i="28" s="1"/>
  <c r="C49" i="28"/>
  <c r="S49" i="28" s="1"/>
  <c r="J14" i="28"/>
  <c r="J16" i="28"/>
  <c r="C51" i="28"/>
  <c r="S51" i="28" s="1"/>
  <c r="D38" i="28"/>
  <c r="T38" i="28" s="1"/>
  <c r="D28" i="28"/>
  <c r="C57" i="28"/>
  <c r="S57" i="28" s="1"/>
  <c r="J22" i="28"/>
  <c r="J9" i="28"/>
  <c r="C44" i="28"/>
  <c r="S44" i="28" s="1"/>
  <c r="F28" i="28"/>
  <c r="C28" i="28"/>
  <c r="C53" i="28"/>
  <c r="S53" i="28" s="1"/>
  <c r="J18" i="28"/>
  <c r="J23" i="28"/>
  <c r="C58" i="28"/>
  <c r="S58" i="28" s="1"/>
  <c r="J7" i="28"/>
  <c r="C42" i="28"/>
  <c r="S42" i="28" s="1"/>
  <c r="E38" i="28"/>
  <c r="U38" i="28" s="1"/>
  <c r="E28" i="28"/>
  <c r="J25" i="28"/>
  <c r="C60" i="28"/>
  <c r="S60" i="28" s="1"/>
  <c r="G28" i="28"/>
  <c r="J20" i="28"/>
  <c r="C55" i="28"/>
  <c r="S55" i="28" s="1"/>
  <c r="J3" i="28"/>
  <c r="R10" i="19"/>
  <c r="Q10" i="19"/>
  <c r="R9" i="19"/>
  <c r="Q9" i="19"/>
  <c r="R8" i="19"/>
  <c r="Q8" i="19"/>
  <c r="R7" i="19"/>
  <c r="Q7" i="19"/>
  <c r="R6" i="19"/>
  <c r="Q6" i="19"/>
  <c r="R5" i="19"/>
  <c r="Q5" i="19"/>
  <c r="R4" i="19"/>
  <c r="Q4" i="19"/>
  <c r="R3" i="19"/>
  <c r="Q3" i="19"/>
  <c r="AP65" i="2" l="1"/>
  <c r="AP64" i="2" s="1"/>
  <c r="AT31" i="2"/>
  <c r="AT30" i="2" s="1"/>
  <c r="H63" i="28"/>
  <c r="E63" i="28"/>
  <c r="F63" i="28"/>
  <c r="J28" i="28"/>
  <c r="G63" i="28"/>
  <c r="D63" i="28"/>
  <c r="C63" i="28"/>
  <c r="AQ65" i="2" l="1"/>
  <c r="AQ64" i="2" s="1"/>
  <c r="V22" i="15"/>
  <c r="AL22" i="15" s="1"/>
  <c r="V10" i="15"/>
  <c r="AL10" i="15" s="1"/>
  <c r="V29" i="15"/>
  <c r="AL29" i="15" s="1"/>
  <c r="V25" i="15"/>
  <c r="AL25" i="15" s="1"/>
  <c r="V21" i="15"/>
  <c r="AL21" i="15" s="1"/>
  <c r="V17" i="15"/>
  <c r="AL17" i="15" s="1"/>
  <c r="V13" i="15"/>
  <c r="AL13" i="15" s="1"/>
  <c r="V9" i="15"/>
  <c r="AL9" i="15" s="1"/>
  <c r="V26" i="15"/>
  <c r="AL26" i="15" s="1"/>
  <c r="V18" i="15"/>
  <c r="AL18" i="15" s="1"/>
  <c r="V28" i="15"/>
  <c r="AL28" i="15" s="1"/>
  <c r="V24" i="15"/>
  <c r="AL24" i="15" s="1"/>
  <c r="V20" i="15"/>
  <c r="AL20" i="15" s="1"/>
  <c r="V16" i="15"/>
  <c r="AL16" i="15" s="1"/>
  <c r="V12" i="15"/>
  <c r="AL12" i="15" s="1"/>
  <c r="V8" i="15"/>
  <c r="AL8" i="15" s="1"/>
  <c r="V6" i="15"/>
  <c r="AL6" i="15" s="1"/>
  <c r="V14" i="15"/>
  <c r="AL14" i="15" s="1"/>
  <c r="V27" i="15"/>
  <c r="AL27" i="15" s="1"/>
  <c r="V23" i="15"/>
  <c r="AL23" i="15" s="1"/>
  <c r="V19" i="15"/>
  <c r="AL19" i="15" s="1"/>
  <c r="V15" i="15"/>
  <c r="AL15" i="15" s="1"/>
  <c r="V11" i="15"/>
  <c r="AL11" i="15" s="1"/>
  <c r="V7" i="15"/>
  <c r="AL7" i="15" s="1"/>
  <c r="AU31" i="2"/>
  <c r="AU30" i="2" s="1"/>
  <c r="S5" i="15" l="1"/>
  <c r="AQ5" i="15" s="1"/>
  <c r="AR65" i="2"/>
  <c r="AR64" i="2" s="1"/>
  <c r="W27" i="15"/>
  <c r="AM27" i="15" s="1"/>
  <c r="W18" i="15"/>
  <c r="AM18" i="15" s="1"/>
  <c r="W26" i="15"/>
  <c r="AM26" i="15" s="1"/>
  <c r="W11" i="15"/>
  <c r="AM11" i="15" s="1"/>
  <c r="W8" i="15"/>
  <c r="AM8" i="15" s="1"/>
  <c r="W24" i="15"/>
  <c r="AM24" i="15" s="1"/>
  <c r="W16" i="15"/>
  <c r="AM16" i="15" s="1"/>
  <c r="W6" i="15"/>
  <c r="AM6" i="15" s="1"/>
  <c r="W28" i="15"/>
  <c r="AM28" i="15" s="1"/>
  <c r="W21" i="15"/>
  <c r="AM21" i="15" s="1"/>
  <c r="W19" i="15"/>
  <c r="AM19" i="15" s="1"/>
  <c r="W14" i="15"/>
  <c r="AM14" i="15" s="1"/>
  <c r="W15" i="15"/>
  <c r="AM15" i="15" s="1"/>
  <c r="W20" i="15"/>
  <c r="AM20" i="15" s="1"/>
  <c r="W23" i="15"/>
  <c r="AM23" i="15" s="1"/>
  <c r="W13" i="15"/>
  <c r="AM13" i="15" s="1"/>
  <c r="W29" i="15"/>
  <c r="AM29" i="15" s="1"/>
  <c r="W7" i="15"/>
  <c r="AM7" i="15" s="1"/>
  <c r="W10" i="15"/>
  <c r="AM10" i="15" s="1"/>
  <c r="W9" i="15"/>
  <c r="AM9" i="15" s="1"/>
  <c r="W22" i="15"/>
  <c r="AM22" i="15" s="1"/>
  <c r="W12" i="15"/>
  <c r="AM12" i="15" s="1"/>
  <c r="W25" i="15"/>
  <c r="AM25" i="15" s="1"/>
  <c r="W17" i="15"/>
  <c r="AM17" i="15" s="1"/>
  <c r="AV31" i="2"/>
  <c r="AV30" i="2" s="1"/>
  <c r="P30" i="15"/>
  <c r="F37" i="15"/>
  <c r="F30" i="15"/>
  <c r="F24" i="15"/>
  <c r="F18" i="15"/>
  <c r="F12" i="15"/>
  <c r="Y27" i="15" l="1"/>
  <c r="Y8" i="15"/>
  <c r="AO8" i="15" s="1"/>
  <c r="X27" i="15"/>
  <c r="Y18" i="15"/>
  <c r="AO18" i="15" s="1"/>
  <c r="X18" i="15"/>
  <c r="AS65" i="2"/>
  <c r="AS64" i="2" s="1"/>
  <c r="Y11" i="15"/>
  <c r="AO11" i="15" s="1"/>
  <c r="Y26" i="15"/>
  <c r="AO26" i="15" s="1"/>
  <c r="X26" i="15"/>
  <c r="X8" i="15"/>
  <c r="AN8" i="15" s="1"/>
  <c r="X28" i="15"/>
  <c r="AN28" i="15" s="1"/>
  <c r="X11" i="15"/>
  <c r="AN11" i="15" s="1"/>
  <c r="Y28" i="15"/>
  <c r="AO28" i="15" s="1"/>
  <c r="X24" i="15"/>
  <c r="X9" i="15"/>
  <c r="AN9" i="15" s="1"/>
  <c r="Y9" i="15"/>
  <c r="AO9" i="15" s="1"/>
  <c r="Y24" i="15"/>
  <c r="AO24" i="15" s="1"/>
  <c r="Y16" i="15"/>
  <c r="AO16" i="15" s="1"/>
  <c r="X16" i="15"/>
  <c r="AN16" i="15" s="1"/>
  <c r="X22" i="15"/>
  <c r="AN22" i="15" s="1"/>
  <c r="Y13" i="15"/>
  <c r="AO13" i="15" s="1"/>
  <c r="X7" i="15"/>
  <c r="AN7" i="15" s="1"/>
  <c r="Y20" i="15"/>
  <c r="AO20" i="15" s="1"/>
  <c r="X21" i="15"/>
  <c r="AN21" i="15" s="1"/>
  <c r="Y14" i="15"/>
  <c r="AO14" i="15" s="1"/>
  <c r="Y21" i="15"/>
  <c r="AO21" i="15" s="1"/>
  <c r="X20" i="15"/>
  <c r="AN20" i="15" s="1"/>
  <c r="X17" i="15"/>
  <c r="Y7" i="15"/>
  <c r="AO7" i="15" s="1"/>
  <c r="X14" i="15"/>
  <c r="AN14" i="15" s="1"/>
  <c r="X29" i="15"/>
  <c r="AN29" i="15" s="1"/>
  <c r="X13" i="15"/>
  <c r="AN13" i="15" s="1"/>
  <c r="Y6" i="15"/>
  <c r="AO6" i="15" s="1"/>
  <c r="X6" i="15"/>
  <c r="AN6" i="15" s="1"/>
  <c r="X10" i="15"/>
  <c r="AN10" i="15" s="1"/>
  <c r="Y15" i="15"/>
  <c r="AO15" i="15" s="1"/>
  <c r="X19" i="15"/>
  <c r="AN19" i="15" s="1"/>
  <c r="X15" i="15"/>
  <c r="Y19" i="15"/>
  <c r="AO19" i="15" s="1"/>
  <c r="X23" i="15"/>
  <c r="AN23" i="15" s="1"/>
  <c r="Y10" i="15"/>
  <c r="AO10" i="15" s="1"/>
  <c r="Y23" i="15"/>
  <c r="AO23" i="15" s="1"/>
  <c r="Y22" i="15"/>
  <c r="AO22" i="15" s="1"/>
  <c r="Y29" i="15"/>
  <c r="AO29" i="15" s="1"/>
  <c r="S25" i="15"/>
  <c r="S24" i="15"/>
  <c r="S26" i="15"/>
  <c r="S13" i="15"/>
  <c r="S16" i="15"/>
  <c r="S18" i="15"/>
  <c r="S9" i="15"/>
  <c r="S8" i="15"/>
  <c r="S7" i="15"/>
  <c r="S19" i="15"/>
  <c r="AU19" i="15" s="1"/>
  <c r="S22" i="15"/>
  <c r="S17" i="15"/>
  <c r="X25" i="15"/>
  <c r="AN25" i="15" s="1"/>
  <c r="Y17" i="15"/>
  <c r="AO17" i="15" s="1"/>
  <c r="Y25" i="15"/>
  <c r="AO25" i="15" s="1"/>
  <c r="S11" i="15"/>
  <c r="S27" i="15"/>
  <c r="S6" i="15"/>
  <c r="S28" i="15"/>
  <c r="X12" i="15"/>
  <c r="AN12" i="15" s="1"/>
  <c r="Y12" i="15"/>
  <c r="AO12" i="15" s="1"/>
  <c r="S20" i="15"/>
  <c r="S14" i="15"/>
  <c r="AU5" i="15"/>
  <c r="AR5" i="15"/>
  <c r="AS5" i="15"/>
  <c r="AT5" i="15"/>
  <c r="S29" i="15"/>
  <c r="S12" i="15"/>
  <c r="S10" i="15"/>
  <c r="S21" i="15"/>
  <c r="S23" i="15"/>
  <c r="S15" i="15"/>
  <c r="F38" i="15"/>
  <c r="H37" i="15"/>
  <c r="H30" i="15"/>
  <c r="H24" i="15"/>
  <c r="H12" i="15"/>
  <c r="H18" i="15"/>
  <c r="Z29" i="15" l="1"/>
  <c r="AP29" i="15" s="1"/>
  <c r="Z15" i="15"/>
  <c r="AP15" i="15" s="1"/>
  <c r="AN15" i="15"/>
  <c r="Z24" i="15"/>
  <c r="AP24" i="15" s="1"/>
  <c r="AN24" i="15"/>
  <c r="Z27" i="15"/>
  <c r="AP27" i="15" s="1"/>
  <c r="AN27" i="15"/>
  <c r="Z26" i="15"/>
  <c r="AP26" i="15" s="1"/>
  <c r="AN26" i="15"/>
  <c r="Z18" i="15"/>
  <c r="AP18" i="15" s="1"/>
  <c r="AN18" i="15"/>
  <c r="Z17" i="15"/>
  <c r="AP17" i="15" s="1"/>
  <c r="AN17" i="15"/>
  <c r="AA8" i="15"/>
  <c r="AQ8" i="15" s="1"/>
  <c r="AA27" i="15"/>
  <c r="AQ27" i="15" s="1"/>
  <c r="AO27" i="15"/>
  <c r="AA18" i="15"/>
  <c r="AQ18" i="15" s="1"/>
  <c r="AR21" i="15"/>
  <c r="AT11" i="15"/>
  <c r="AU8" i="15"/>
  <c r="AU13" i="15"/>
  <c r="AS22" i="15"/>
  <c r="AU26" i="15"/>
  <c r="AS6" i="15"/>
  <c r="AR19" i="15"/>
  <c r="AU27" i="15"/>
  <c r="AS27" i="15"/>
  <c r="AR7" i="15"/>
  <c r="AS16" i="15"/>
  <c r="AU25" i="15"/>
  <c r="AA29" i="15"/>
  <c r="AQ29" i="15" s="1"/>
  <c r="AA6" i="15"/>
  <c r="AQ6" i="15" s="1"/>
  <c r="AA21" i="15"/>
  <c r="AQ21" i="15" s="1"/>
  <c r="AA16" i="15"/>
  <c r="AQ16" i="15" s="1"/>
  <c r="AA25" i="15"/>
  <c r="AQ25" i="15" s="1"/>
  <c r="AA22" i="15"/>
  <c r="AQ22" i="15" s="1"/>
  <c r="AA19" i="15"/>
  <c r="AQ19" i="15" s="1"/>
  <c r="AA15" i="15"/>
  <c r="AQ15" i="15" s="1"/>
  <c r="AA7" i="15"/>
  <c r="AQ7" i="15" s="1"/>
  <c r="AA14" i="15"/>
  <c r="AQ14" i="15" s="1"/>
  <c r="AA13" i="15"/>
  <c r="AQ13" i="15" s="1"/>
  <c r="AA24" i="15"/>
  <c r="AQ24" i="15" s="1"/>
  <c r="AA28" i="15"/>
  <c r="AQ28" i="15" s="1"/>
  <c r="AA17" i="15"/>
  <c r="AQ17" i="15" s="1"/>
  <c r="AA23" i="15"/>
  <c r="AQ23" i="15" s="1"/>
  <c r="AA9" i="15"/>
  <c r="AQ9" i="15" s="1"/>
  <c r="AA26" i="15"/>
  <c r="AQ26" i="15" s="1"/>
  <c r="AA12" i="15"/>
  <c r="AQ12" i="15" s="1"/>
  <c r="AA10" i="15"/>
  <c r="AQ10" i="15" s="1"/>
  <c r="AA20" i="15"/>
  <c r="AQ20" i="15" s="1"/>
  <c r="AA11" i="15"/>
  <c r="AQ11" i="15" s="1"/>
  <c r="Z10" i="15"/>
  <c r="AP10" i="15" s="1"/>
  <c r="AT65" i="2"/>
  <c r="AT64" i="2" s="1"/>
  <c r="Z8" i="15"/>
  <c r="AP8" i="15" s="1"/>
  <c r="Z6" i="15"/>
  <c r="AP6" i="15" s="1"/>
  <c r="Z28" i="15"/>
  <c r="AP28" i="15" s="1"/>
  <c r="Z16" i="15"/>
  <c r="AP16" i="15" s="1"/>
  <c r="Z9" i="15"/>
  <c r="AP9" i="15" s="1"/>
  <c r="Z22" i="15"/>
  <c r="AP22" i="15" s="1"/>
  <c r="Z11" i="15"/>
  <c r="AP11" i="15" s="1"/>
  <c r="Z19" i="15"/>
  <c r="AP19" i="15" s="1"/>
  <c r="AU7" i="15"/>
  <c r="AT24" i="15"/>
  <c r="AT8" i="15"/>
  <c r="AT18" i="15"/>
  <c r="AU24" i="15"/>
  <c r="AS8" i="15"/>
  <c r="Z21" i="15"/>
  <c r="AP21" i="15" s="1"/>
  <c r="Z20" i="15"/>
  <c r="AP20" i="15" s="1"/>
  <c r="AR16" i="15"/>
  <c r="Z14" i="15"/>
  <c r="AP14" i="15" s="1"/>
  <c r="Z7" i="15"/>
  <c r="AP7" i="15" s="1"/>
  <c r="Z13" i="15"/>
  <c r="AP13" i="15" s="1"/>
  <c r="AS18" i="15"/>
  <c r="AU18" i="15"/>
  <c r="AS28" i="15"/>
  <c r="AR18" i="15"/>
  <c r="AT9" i="15"/>
  <c r="AS13" i="15"/>
  <c r="AS25" i="15"/>
  <c r="AS9" i="15"/>
  <c r="AR22" i="15"/>
  <c r="AR25" i="15"/>
  <c r="Z23" i="15"/>
  <c r="AP23" i="15" s="1"/>
  <c r="AU9" i="15"/>
  <c r="AT25" i="15"/>
  <c r="Z25" i="15"/>
  <c r="AP25" i="15" s="1"/>
  <c r="AR17" i="15"/>
  <c r="AR6" i="15"/>
  <c r="AS26" i="15"/>
  <c r="AU6" i="15"/>
  <c r="AT19" i="15"/>
  <c r="AR26" i="15"/>
  <c r="AS19" i="15"/>
  <c r="AT6" i="15"/>
  <c r="AT26" i="15"/>
  <c r="AU28" i="15"/>
  <c r="AT28" i="15"/>
  <c r="AT7" i="15"/>
  <c r="AS24" i="15"/>
  <c r="AS7" i="15"/>
  <c r="AT16" i="15"/>
  <c r="AU16" i="15"/>
  <c r="AR27" i="15"/>
  <c r="AR24" i="15"/>
  <c r="AT27" i="15"/>
  <c r="AU17" i="15"/>
  <c r="AR8" i="15"/>
  <c r="AR9" i="15"/>
  <c r="AT22" i="15"/>
  <c r="AU22" i="15"/>
  <c r="AU11" i="15"/>
  <c r="AS17" i="15"/>
  <c r="AR13" i="15"/>
  <c r="AR28" i="15"/>
  <c r="AR11" i="15"/>
  <c r="AT17" i="15"/>
  <c r="AS11" i="15"/>
  <c r="AT13" i="15"/>
  <c r="Z12" i="15"/>
  <c r="AP12" i="15" s="1"/>
  <c r="AT10" i="15"/>
  <c r="AU10" i="15"/>
  <c r="AR10" i="15"/>
  <c r="AS10" i="15"/>
  <c r="AU15" i="15"/>
  <c r="AR15" i="15"/>
  <c r="AS15" i="15"/>
  <c r="AT15" i="15"/>
  <c r="AU20" i="15"/>
  <c r="AR20" i="15"/>
  <c r="AS20" i="15"/>
  <c r="AT20" i="15"/>
  <c r="AU23" i="15"/>
  <c r="AR23" i="15"/>
  <c r="AS23" i="15"/>
  <c r="AT23" i="15"/>
  <c r="AU12" i="15"/>
  <c r="AR12" i="15"/>
  <c r="AS12" i="15"/>
  <c r="AT12" i="15"/>
  <c r="AU21" i="15"/>
  <c r="AS21" i="15"/>
  <c r="AT21" i="15"/>
  <c r="AU29" i="15"/>
  <c r="AR29" i="15"/>
  <c r="AS29" i="15"/>
  <c r="AT29" i="15"/>
  <c r="AU14" i="15"/>
  <c r="AR14" i="15"/>
  <c r="AS14" i="15"/>
  <c r="AT14" i="15"/>
  <c r="H38" i="15"/>
  <c r="S6" i="2"/>
  <c r="S7" i="2"/>
  <c r="S8" i="2"/>
  <c r="S9" i="2"/>
  <c r="S10" i="2"/>
  <c r="S11" i="2"/>
  <c r="S12" i="2"/>
  <c r="S13" i="2"/>
  <c r="S14" i="2"/>
  <c r="S15" i="2"/>
  <c r="S16" i="2"/>
  <c r="S17" i="2"/>
  <c r="S18" i="2"/>
  <c r="S19" i="2"/>
  <c r="S20" i="2"/>
  <c r="S21" i="2"/>
  <c r="S22" i="2"/>
  <c r="S23" i="2"/>
  <c r="S24" i="2"/>
  <c r="S25" i="2"/>
  <c r="S26" i="2"/>
  <c r="S27" i="2"/>
  <c r="S28" i="2"/>
  <c r="S29" i="2"/>
  <c r="S5" i="2"/>
  <c r="AI23" i="2" l="1"/>
  <c r="N23" i="26"/>
  <c r="AI29" i="2"/>
  <c r="N29" i="26"/>
  <c r="AI21" i="2"/>
  <c r="N21" i="26"/>
  <c r="AI13" i="2"/>
  <c r="N13" i="26"/>
  <c r="AI27" i="2"/>
  <c r="N27" i="26"/>
  <c r="AI15" i="2"/>
  <c r="N15" i="26"/>
  <c r="AI25" i="2"/>
  <c r="N25" i="26"/>
  <c r="AI17" i="2"/>
  <c r="N17" i="26"/>
  <c r="AI9" i="2"/>
  <c r="N9" i="26"/>
  <c r="AI28" i="2"/>
  <c r="N28" i="26"/>
  <c r="AI24" i="2"/>
  <c r="N24" i="26"/>
  <c r="AI20" i="2"/>
  <c r="N20" i="26"/>
  <c r="AI16" i="2"/>
  <c r="N16" i="26"/>
  <c r="AI12" i="2"/>
  <c r="N12" i="26"/>
  <c r="AI8" i="2"/>
  <c r="N8" i="26"/>
  <c r="AI7" i="2"/>
  <c r="N7" i="26"/>
  <c r="AI19" i="2"/>
  <c r="N19" i="26"/>
  <c r="AI11" i="2"/>
  <c r="N11" i="26"/>
  <c r="AI5" i="2"/>
  <c r="N5" i="26"/>
  <c r="AI26" i="2"/>
  <c r="N26" i="26"/>
  <c r="AI22" i="2"/>
  <c r="N22" i="26"/>
  <c r="AI18" i="2"/>
  <c r="N18" i="26"/>
  <c r="AI14" i="2"/>
  <c r="N14" i="26"/>
  <c r="AI10" i="2"/>
  <c r="N10" i="26"/>
  <c r="AI6" i="2"/>
  <c r="N6" i="26"/>
  <c r="AV65" i="2"/>
  <c r="AV64" i="2" s="1"/>
  <c r="AU65" i="2"/>
  <c r="AU64" i="2" s="1"/>
  <c r="AK28" i="2"/>
  <c r="AH28" i="2" s="1"/>
  <c r="AK12" i="2"/>
  <c r="AH12" i="2" s="1"/>
  <c r="AK23" i="2"/>
  <c r="AH23" i="2" s="1"/>
  <c r="AK19" i="2"/>
  <c r="AH19" i="2" s="1"/>
  <c r="AK15" i="2"/>
  <c r="AH15" i="2" s="1"/>
  <c r="AK11" i="2"/>
  <c r="AH11" i="2" s="1"/>
  <c r="AK7" i="2"/>
  <c r="AH7" i="2" s="1"/>
  <c r="AK20" i="2"/>
  <c r="AH20" i="2" s="1"/>
  <c r="AK8" i="2"/>
  <c r="AH8" i="2" s="1"/>
  <c r="AK27" i="2"/>
  <c r="AH27" i="2" s="1"/>
  <c r="AK5" i="2"/>
  <c r="AH5" i="2" s="1"/>
  <c r="AK26" i="2"/>
  <c r="AH26" i="2" s="1"/>
  <c r="AK22" i="2"/>
  <c r="AH22" i="2" s="1"/>
  <c r="AK18" i="2"/>
  <c r="AH18" i="2" s="1"/>
  <c r="AK14" i="2"/>
  <c r="AH14" i="2" s="1"/>
  <c r="AK10" i="2"/>
  <c r="AH10" i="2" s="1"/>
  <c r="AK6" i="2"/>
  <c r="AH6" i="2" s="1"/>
  <c r="AK24" i="2"/>
  <c r="AH24" i="2" s="1"/>
  <c r="AK16" i="2"/>
  <c r="AH16" i="2" s="1"/>
  <c r="AK29" i="2"/>
  <c r="AH29" i="2" s="1"/>
  <c r="AK25" i="2"/>
  <c r="AH25" i="2" s="1"/>
  <c r="AK21" i="2"/>
  <c r="AH21" i="2" s="1"/>
  <c r="AK17" i="2"/>
  <c r="AH17" i="2" s="1"/>
  <c r="AK13" i="2"/>
  <c r="AH13" i="2" s="1"/>
  <c r="AK9" i="2"/>
  <c r="AH9" i="2" s="1"/>
  <c r="F32" i="2"/>
  <c r="F66" i="2"/>
  <c r="J44" i="11"/>
  <c r="I44" i="11"/>
  <c r="H44" i="11"/>
  <c r="G44" i="11"/>
  <c r="F44" i="11"/>
  <c r="E44" i="11"/>
  <c r="J43" i="11"/>
  <c r="I43" i="11"/>
  <c r="H43" i="11"/>
  <c r="G43" i="11"/>
  <c r="F43" i="11"/>
  <c r="E43" i="11"/>
  <c r="J41" i="11"/>
  <c r="I41" i="11"/>
  <c r="H41" i="11"/>
  <c r="G41" i="11"/>
  <c r="F41" i="11"/>
  <c r="E41" i="11"/>
  <c r="J40" i="11"/>
  <c r="I40" i="11"/>
  <c r="H40" i="11"/>
  <c r="G40" i="11"/>
  <c r="N18" i="2" s="1"/>
  <c r="F40" i="11"/>
  <c r="E40" i="11"/>
  <c r="J39" i="11"/>
  <c r="I39" i="11"/>
  <c r="H39" i="11"/>
  <c r="G39" i="11"/>
  <c r="F39" i="11"/>
  <c r="E39" i="11"/>
  <c r="J38" i="11"/>
  <c r="I38" i="11"/>
  <c r="H38" i="11"/>
  <c r="G38" i="11"/>
  <c r="F38" i="11"/>
  <c r="E38" i="11"/>
  <c r="J33" i="11"/>
  <c r="I33" i="11"/>
  <c r="H33" i="11"/>
  <c r="G33" i="11"/>
  <c r="F33" i="11"/>
  <c r="E33" i="11"/>
  <c r="J45" i="11"/>
  <c r="I45" i="11"/>
  <c r="H45" i="11"/>
  <c r="G45" i="11"/>
  <c r="F45" i="11"/>
  <c r="E45" i="11"/>
  <c r="J32" i="11"/>
  <c r="I32" i="11"/>
  <c r="H32" i="11"/>
  <c r="G32" i="11"/>
  <c r="F32" i="11"/>
  <c r="E32" i="11"/>
  <c r="J31" i="11"/>
  <c r="I31" i="11"/>
  <c r="H31" i="11"/>
  <c r="G31" i="11"/>
  <c r="F31" i="11"/>
  <c r="E31" i="11"/>
  <c r="J42" i="11"/>
  <c r="I42" i="11"/>
  <c r="H42" i="11"/>
  <c r="G42" i="11"/>
  <c r="F42" i="11"/>
  <c r="E42" i="11"/>
  <c r="J30" i="11"/>
  <c r="I30" i="11"/>
  <c r="H30" i="11"/>
  <c r="G30" i="11"/>
  <c r="M18" i="2" s="1"/>
  <c r="F30" i="11"/>
  <c r="E30" i="11"/>
  <c r="J29" i="11"/>
  <c r="I29" i="11"/>
  <c r="H29" i="11"/>
  <c r="G29" i="11"/>
  <c r="F29" i="11"/>
  <c r="E29" i="11"/>
  <c r="J28" i="11"/>
  <c r="I28" i="11"/>
  <c r="H28" i="11"/>
  <c r="G28" i="11"/>
  <c r="M16" i="2" s="1"/>
  <c r="F28" i="11"/>
  <c r="E28" i="11"/>
  <c r="J27" i="11"/>
  <c r="I27" i="11"/>
  <c r="H27" i="11"/>
  <c r="G27" i="11"/>
  <c r="F27" i="11"/>
  <c r="E27" i="11"/>
  <c r="J37" i="11"/>
  <c r="I37" i="11"/>
  <c r="H37" i="11"/>
  <c r="G37" i="11"/>
  <c r="F37" i="11"/>
  <c r="E37" i="11"/>
  <c r="J36" i="11"/>
  <c r="I36" i="11"/>
  <c r="H36" i="11"/>
  <c r="G36" i="11"/>
  <c r="F36" i="11"/>
  <c r="E36" i="11"/>
  <c r="J26" i="11"/>
  <c r="I26" i="11"/>
  <c r="H26" i="11"/>
  <c r="G26" i="11"/>
  <c r="F26" i="11"/>
  <c r="E26" i="11"/>
  <c r="J14" i="11"/>
  <c r="I14" i="11"/>
  <c r="H14" i="11"/>
  <c r="G14" i="11"/>
  <c r="F14" i="11"/>
  <c r="E14" i="11"/>
  <c r="J13" i="11"/>
  <c r="I13" i="11"/>
  <c r="H13" i="11"/>
  <c r="G13" i="11"/>
  <c r="L17" i="2" s="1"/>
  <c r="F13" i="11"/>
  <c r="E13" i="11"/>
  <c r="J12" i="11"/>
  <c r="I12" i="11"/>
  <c r="H12" i="11"/>
  <c r="G12" i="11"/>
  <c r="F12" i="11"/>
  <c r="E12" i="11"/>
  <c r="J11" i="11"/>
  <c r="I11" i="11"/>
  <c r="H11" i="11"/>
  <c r="G11" i="11"/>
  <c r="F11" i="11"/>
  <c r="E11" i="11"/>
  <c r="J10" i="11"/>
  <c r="I10" i="11"/>
  <c r="H10" i="11"/>
  <c r="G10" i="11"/>
  <c r="F10" i="11"/>
  <c r="E10" i="11"/>
  <c r="J9" i="11"/>
  <c r="I9" i="11"/>
  <c r="H9" i="11"/>
  <c r="G9" i="11"/>
  <c r="F9" i="11"/>
  <c r="E9" i="11"/>
  <c r="J8" i="11"/>
  <c r="I8" i="11"/>
  <c r="H8" i="11"/>
  <c r="G8" i="11"/>
  <c r="F8" i="11"/>
  <c r="E8" i="11"/>
  <c r="J7" i="11"/>
  <c r="I7" i="11"/>
  <c r="H7" i="11"/>
  <c r="G7" i="11"/>
  <c r="F7" i="11"/>
  <c r="E7" i="11"/>
  <c r="J52" i="11"/>
  <c r="I52" i="11"/>
  <c r="H52" i="11"/>
  <c r="G52" i="11"/>
  <c r="F52" i="11"/>
  <c r="E52" i="11"/>
  <c r="J51" i="11"/>
  <c r="I51" i="11"/>
  <c r="H51" i="11"/>
  <c r="G51" i="11"/>
  <c r="F51" i="11"/>
  <c r="E51" i="11"/>
  <c r="J25" i="11"/>
  <c r="I25" i="11"/>
  <c r="H25" i="11"/>
  <c r="G25" i="11"/>
  <c r="F25" i="11"/>
  <c r="E25" i="11"/>
  <c r="J24" i="11"/>
  <c r="I24" i="11"/>
  <c r="H24" i="11"/>
  <c r="G24" i="11"/>
  <c r="F24" i="11"/>
  <c r="E24" i="11"/>
  <c r="J23" i="11"/>
  <c r="I23" i="11"/>
  <c r="H23" i="11"/>
  <c r="G23" i="11"/>
  <c r="M23" i="2" s="1"/>
  <c r="F23" i="11"/>
  <c r="E23" i="11"/>
  <c r="J22" i="11"/>
  <c r="I22" i="11"/>
  <c r="H22" i="11"/>
  <c r="G22" i="11"/>
  <c r="F22" i="11"/>
  <c r="E22" i="11"/>
  <c r="J20" i="11"/>
  <c r="I20" i="11"/>
  <c r="H20" i="11"/>
  <c r="G20" i="11"/>
  <c r="F20" i="11"/>
  <c r="E20" i="11"/>
  <c r="J50" i="11"/>
  <c r="I50" i="11"/>
  <c r="H50" i="11"/>
  <c r="G50" i="11"/>
  <c r="F50" i="11"/>
  <c r="E50" i="11"/>
  <c r="J6" i="11"/>
  <c r="I6" i="11"/>
  <c r="H6" i="11"/>
  <c r="G6" i="11"/>
  <c r="F6" i="11"/>
  <c r="E6" i="11"/>
  <c r="J5" i="11"/>
  <c r="I5" i="11"/>
  <c r="H5" i="11"/>
  <c r="G5" i="11"/>
  <c r="F5" i="11"/>
  <c r="E5" i="11"/>
  <c r="J49" i="11"/>
  <c r="I49" i="11"/>
  <c r="H49" i="11"/>
  <c r="G49" i="11"/>
  <c r="F49" i="11"/>
  <c r="E49" i="11"/>
  <c r="J48" i="11"/>
  <c r="I48" i="11"/>
  <c r="H48" i="11"/>
  <c r="G48" i="11"/>
  <c r="F48" i="11"/>
  <c r="E48" i="11"/>
  <c r="J47" i="11"/>
  <c r="I47" i="11"/>
  <c r="H47" i="11"/>
  <c r="G47" i="11"/>
  <c r="F47" i="11"/>
  <c r="E47" i="11"/>
  <c r="J46" i="11"/>
  <c r="I46" i="11"/>
  <c r="H46" i="11"/>
  <c r="G46" i="11"/>
  <c r="F46" i="11"/>
  <c r="E46" i="11"/>
  <c r="J35" i="11"/>
  <c r="I35" i="11"/>
  <c r="H35" i="11"/>
  <c r="G35" i="11"/>
  <c r="F35" i="11"/>
  <c r="E35" i="11"/>
  <c r="J34" i="11"/>
  <c r="I34" i="11"/>
  <c r="H34" i="11"/>
  <c r="G34" i="11"/>
  <c r="F34" i="11"/>
  <c r="E34" i="11"/>
  <c r="J21" i="11"/>
  <c r="I21" i="11"/>
  <c r="H21" i="11"/>
  <c r="G21" i="11"/>
  <c r="F21" i="11"/>
  <c r="E21" i="11"/>
  <c r="J19" i="11"/>
  <c r="I19" i="11"/>
  <c r="H19" i="11"/>
  <c r="G19" i="11"/>
  <c r="F19" i="11"/>
  <c r="E19" i="11"/>
  <c r="J18" i="11"/>
  <c r="I18" i="11"/>
  <c r="H18" i="11"/>
  <c r="G18" i="11"/>
  <c r="F18" i="11"/>
  <c r="E18" i="11"/>
  <c r="J17" i="11"/>
  <c r="I17" i="11"/>
  <c r="H17" i="11"/>
  <c r="G17" i="11"/>
  <c r="F17" i="11"/>
  <c r="E17" i="11"/>
  <c r="J16" i="11"/>
  <c r="I16" i="11"/>
  <c r="H16" i="11"/>
  <c r="G16" i="11"/>
  <c r="F16" i="11"/>
  <c r="E16" i="11"/>
  <c r="J15" i="11"/>
  <c r="I15" i="11"/>
  <c r="H15" i="11"/>
  <c r="G15" i="11"/>
  <c r="F15" i="11"/>
  <c r="E15" i="11"/>
  <c r="J4" i="11"/>
  <c r="I4" i="11"/>
  <c r="H4" i="11"/>
  <c r="G4" i="11"/>
  <c r="K11" i="2" s="1"/>
  <c r="F4" i="11"/>
  <c r="E4" i="11"/>
  <c r="J3" i="11"/>
  <c r="I3" i="11"/>
  <c r="H3" i="11"/>
  <c r="G3" i="11"/>
  <c r="F3" i="11"/>
  <c r="E3" i="11"/>
  <c r="I64" i="8"/>
  <c r="H64" i="8"/>
  <c r="G64" i="8"/>
  <c r="F64" i="8"/>
  <c r="E64" i="8"/>
  <c r="I63" i="8"/>
  <c r="H63" i="8"/>
  <c r="G63" i="8"/>
  <c r="F63" i="8"/>
  <c r="E63" i="8"/>
  <c r="I62" i="8"/>
  <c r="H62" i="8"/>
  <c r="G62" i="8"/>
  <c r="F62" i="8"/>
  <c r="E62" i="8"/>
  <c r="I61" i="8"/>
  <c r="H61" i="8"/>
  <c r="G61" i="8"/>
  <c r="F61" i="8"/>
  <c r="E61" i="8"/>
  <c r="I60" i="8"/>
  <c r="H60" i="8"/>
  <c r="G60" i="8"/>
  <c r="F60" i="8"/>
  <c r="E60" i="8"/>
  <c r="I59" i="8"/>
  <c r="H59" i="8"/>
  <c r="G59" i="8"/>
  <c r="F59" i="8"/>
  <c r="E59" i="8"/>
  <c r="I58" i="8"/>
  <c r="H58" i="8"/>
  <c r="G58" i="8"/>
  <c r="F58" i="8"/>
  <c r="E58" i="8"/>
  <c r="I57" i="8"/>
  <c r="H57" i="8"/>
  <c r="G57" i="8"/>
  <c r="F57" i="8"/>
  <c r="E57" i="8"/>
  <c r="I56" i="8"/>
  <c r="H56" i="8"/>
  <c r="G56" i="8"/>
  <c r="F56" i="8"/>
  <c r="E56" i="8"/>
  <c r="I55" i="8"/>
  <c r="H55" i="8"/>
  <c r="G55" i="8"/>
  <c r="F55" i="8"/>
  <c r="E55" i="8"/>
  <c r="I54" i="8"/>
  <c r="H54" i="8"/>
  <c r="G54" i="8"/>
  <c r="F54" i="8"/>
  <c r="E54" i="8"/>
  <c r="I53" i="8"/>
  <c r="H53" i="8"/>
  <c r="G53" i="8"/>
  <c r="F53" i="8"/>
  <c r="E53" i="8"/>
  <c r="I52" i="8"/>
  <c r="H52" i="8"/>
  <c r="G52" i="8"/>
  <c r="F52" i="8"/>
  <c r="E52" i="8"/>
  <c r="I51" i="8"/>
  <c r="H51" i="8"/>
  <c r="G51" i="8"/>
  <c r="F51" i="8"/>
  <c r="E51" i="8"/>
  <c r="I50" i="8"/>
  <c r="H50" i="8"/>
  <c r="G50" i="8"/>
  <c r="F50" i="8"/>
  <c r="E50" i="8"/>
  <c r="I49" i="8"/>
  <c r="H49" i="8"/>
  <c r="G49" i="8"/>
  <c r="F49" i="8"/>
  <c r="E49" i="8"/>
  <c r="I48" i="8"/>
  <c r="H48" i="8"/>
  <c r="G48" i="8"/>
  <c r="F48" i="8"/>
  <c r="E48" i="8"/>
  <c r="I47" i="8"/>
  <c r="H47" i="8"/>
  <c r="G47" i="8"/>
  <c r="F47" i="8"/>
  <c r="E47" i="8"/>
  <c r="I46" i="8"/>
  <c r="H46" i="8"/>
  <c r="G46" i="8"/>
  <c r="F46" i="8"/>
  <c r="E46" i="8"/>
  <c r="I45" i="8"/>
  <c r="H45" i="8"/>
  <c r="G45" i="8"/>
  <c r="F45" i="8"/>
  <c r="E45" i="8"/>
  <c r="I44" i="8"/>
  <c r="H44" i="8"/>
  <c r="G44" i="8"/>
  <c r="F44" i="8"/>
  <c r="E44" i="8"/>
  <c r="I43" i="8"/>
  <c r="H43" i="8"/>
  <c r="G43" i="8"/>
  <c r="F43" i="8"/>
  <c r="E43" i="8"/>
  <c r="I42" i="8"/>
  <c r="H42" i="8"/>
  <c r="G42" i="8"/>
  <c r="F42" i="8"/>
  <c r="E42" i="8"/>
  <c r="I41" i="8"/>
  <c r="H41" i="8"/>
  <c r="G41" i="8"/>
  <c r="F41" i="8"/>
  <c r="E41" i="8"/>
  <c r="I40" i="8"/>
  <c r="H40" i="8"/>
  <c r="G40" i="8"/>
  <c r="F40" i="8"/>
  <c r="E40" i="8"/>
  <c r="I39" i="8"/>
  <c r="H39" i="8"/>
  <c r="G39" i="8"/>
  <c r="F39" i="8"/>
  <c r="E39" i="8"/>
  <c r="I38" i="8"/>
  <c r="H38" i="8"/>
  <c r="G38" i="8"/>
  <c r="F38" i="8"/>
  <c r="E38" i="8"/>
  <c r="I37" i="8"/>
  <c r="H37" i="8"/>
  <c r="G37" i="8"/>
  <c r="F37" i="8"/>
  <c r="E37" i="8"/>
  <c r="I36" i="8"/>
  <c r="H36" i="8"/>
  <c r="G36" i="8"/>
  <c r="F36" i="8"/>
  <c r="E36" i="8"/>
  <c r="I35" i="8"/>
  <c r="H35" i="8"/>
  <c r="G35" i="8"/>
  <c r="F35" i="8"/>
  <c r="E35" i="8"/>
  <c r="I34" i="8"/>
  <c r="H34" i="8"/>
  <c r="G34" i="8"/>
  <c r="F34" i="8"/>
  <c r="E34" i="8"/>
  <c r="I33" i="8"/>
  <c r="H33" i="8"/>
  <c r="G33" i="8"/>
  <c r="F33" i="8"/>
  <c r="E33" i="8"/>
  <c r="I32" i="8"/>
  <c r="H32" i="8"/>
  <c r="G32" i="8"/>
  <c r="F32" i="8"/>
  <c r="E32" i="8"/>
  <c r="I31" i="8"/>
  <c r="H31" i="8"/>
  <c r="G31" i="8"/>
  <c r="F31" i="8"/>
  <c r="E31" i="8"/>
  <c r="I30" i="8"/>
  <c r="H30" i="8"/>
  <c r="G30" i="8"/>
  <c r="F30" i="8"/>
  <c r="E30" i="8"/>
  <c r="I29" i="8"/>
  <c r="H29" i="8"/>
  <c r="G29" i="8"/>
  <c r="F29" i="8"/>
  <c r="E29" i="8"/>
  <c r="I28" i="8"/>
  <c r="H28" i="8"/>
  <c r="G28" i="8"/>
  <c r="F28" i="8"/>
  <c r="E28" i="8"/>
  <c r="I27" i="8"/>
  <c r="H27" i="8"/>
  <c r="G27" i="8"/>
  <c r="F27" i="8"/>
  <c r="E27" i="8"/>
  <c r="I26" i="8"/>
  <c r="H26" i="8"/>
  <c r="G26" i="8"/>
  <c r="F26" i="8"/>
  <c r="E26" i="8"/>
  <c r="I25" i="8"/>
  <c r="H25" i="8"/>
  <c r="G25" i="8"/>
  <c r="F25" i="8"/>
  <c r="E25" i="8"/>
  <c r="I24" i="8"/>
  <c r="H24" i="8"/>
  <c r="G24" i="8"/>
  <c r="F24" i="8"/>
  <c r="E24" i="8"/>
  <c r="I23" i="8"/>
  <c r="H23" i="8"/>
  <c r="G23" i="8"/>
  <c r="F23" i="8"/>
  <c r="E23" i="8"/>
  <c r="I22" i="8"/>
  <c r="H22" i="8"/>
  <c r="G22" i="8"/>
  <c r="F22" i="8"/>
  <c r="E22" i="8"/>
  <c r="I21" i="8"/>
  <c r="H21" i="8"/>
  <c r="G21" i="8"/>
  <c r="F21" i="8"/>
  <c r="E21" i="8"/>
  <c r="I20" i="8"/>
  <c r="H20" i="8"/>
  <c r="G20" i="8"/>
  <c r="F20" i="8"/>
  <c r="E20" i="8"/>
  <c r="I19" i="8"/>
  <c r="H19" i="8"/>
  <c r="G19" i="8"/>
  <c r="F19" i="8"/>
  <c r="E19" i="8"/>
  <c r="I18" i="8"/>
  <c r="H18" i="8"/>
  <c r="G18" i="8"/>
  <c r="F18" i="8"/>
  <c r="E18" i="8"/>
  <c r="I17" i="8"/>
  <c r="H17" i="8"/>
  <c r="G17" i="8"/>
  <c r="F17" i="8"/>
  <c r="E17" i="8"/>
  <c r="I16" i="8"/>
  <c r="H16" i="8"/>
  <c r="G16" i="8"/>
  <c r="F16" i="8"/>
  <c r="E16" i="8"/>
  <c r="I15" i="8"/>
  <c r="H15" i="8"/>
  <c r="G15" i="8"/>
  <c r="F15" i="8"/>
  <c r="E15" i="8"/>
  <c r="I14" i="8"/>
  <c r="H14" i="8"/>
  <c r="G14" i="8"/>
  <c r="F14" i="8"/>
  <c r="E14" i="8"/>
  <c r="I13" i="8"/>
  <c r="H13" i="8"/>
  <c r="G13" i="8"/>
  <c r="F13" i="8"/>
  <c r="E13" i="8"/>
  <c r="I12" i="8"/>
  <c r="H12" i="8"/>
  <c r="G12" i="8"/>
  <c r="F12" i="8"/>
  <c r="E12" i="8"/>
  <c r="I11" i="8"/>
  <c r="H11" i="8"/>
  <c r="G11" i="8"/>
  <c r="F11" i="8"/>
  <c r="E11" i="8"/>
  <c r="I10" i="8"/>
  <c r="H10" i="8"/>
  <c r="G10" i="8"/>
  <c r="F10" i="8"/>
  <c r="E10" i="8"/>
  <c r="I9" i="8"/>
  <c r="H9" i="8"/>
  <c r="G9" i="8"/>
  <c r="F9" i="8"/>
  <c r="E9" i="8"/>
  <c r="I8" i="8"/>
  <c r="H8" i="8"/>
  <c r="G8" i="8"/>
  <c r="F8" i="8"/>
  <c r="E8" i="8"/>
  <c r="I7" i="8"/>
  <c r="H7" i="8"/>
  <c r="G7" i="8"/>
  <c r="F7" i="8"/>
  <c r="E7" i="8"/>
  <c r="I6" i="8"/>
  <c r="H6" i="8"/>
  <c r="G6" i="8"/>
  <c r="F6" i="8"/>
  <c r="E6" i="8"/>
  <c r="I5" i="8"/>
  <c r="H5" i="8"/>
  <c r="G5" i="8"/>
  <c r="F5" i="8"/>
  <c r="E5" i="8"/>
  <c r="I4" i="8"/>
  <c r="H4" i="8"/>
  <c r="G4" i="8"/>
  <c r="F4" i="8"/>
  <c r="E4" i="8"/>
  <c r="I3" i="8"/>
  <c r="H3" i="8"/>
  <c r="G3" i="8"/>
  <c r="F3" i="8"/>
  <c r="E3" i="8"/>
  <c r="M19" i="2" l="1"/>
  <c r="AL25" i="2"/>
  <c r="AL13" i="2"/>
  <c r="AL29" i="2"/>
  <c r="AL10" i="2"/>
  <c r="AL26" i="2"/>
  <c r="AL20" i="2"/>
  <c r="AL19" i="2"/>
  <c r="AL16" i="2"/>
  <c r="AL17" i="2"/>
  <c r="AL14" i="2"/>
  <c r="AL5" i="2"/>
  <c r="AL7" i="2"/>
  <c r="AL23" i="2"/>
  <c r="AL21" i="2"/>
  <c r="AL24" i="2"/>
  <c r="AL18" i="2"/>
  <c r="AL27" i="2"/>
  <c r="AL11" i="2"/>
  <c r="AL12" i="2"/>
  <c r="AL9" i="2"/>
  <c r="AL6" i="2"/>
  <c r="AL22" i="2"/>
  <c r="AL8" i="2"/>
  <c r="AL15" i="2"/>
  <c r="AL28" i="2"/>
  <c r="R10" i="26"/>
  <c r="P10" i="26"/>
  <c r="O10" i="26"/>
  <c r="S10" i="26"/>
  <c r="Q10" i="26"/>
  <c r="T10" i="26"/>
  <c r="U10" i="26"/>
  <c r="Q18" i="26"/>
  <c r="R18" i="26"/>
  <c r="P18" i="26"/>
  <c r="O18" i="26"/>
  <c r="U18" i="26"/>
  <c r="T18" i="26"/>
  <c r="S18" i="26"/>
  <c r="R26" i="26"/>
  <c r="P26" i="26"/>
  <c r="S26" i="26"/>
  <c r="Q26" i="26"/>
  <c r="T26" i="26"/>
  <c r="O26" i="26"/>
  <c r="U26" i="26"/>
  <c r="T11" i="26"/>
  <c r="P11" i="26"/>
  <c r="Q11" i="26"/>
  <c r="U11" i="26"/>
  <c r="S11" i="26"/>
  <c r="O11" i="26"/>
  <c r="R11" i="26"/>
  <c r="Q7" i="26"/>
  <c r="P7" i="26"/>
  <c r="R7" i="26"/>
  <c r="U7" i="26"/>
  <c r="S7" i="26"/>
  <c r="O7" i="26"/>
  <c r="T7" i="26"/>
  <c r="T12" i="26"/>
  <c r="R12" i="26"/>
  <c r="S12" i="26"/>
  <c r="P12" i="26"/>
  <c r="O12" i="26"/>
  <c r="U12" i="26"/>
  <c r="Q12" i="26"/>
  <c r="T20" i="26"/>
  <c r="R20" i="26"/>
  <c r="U20" i="26"/>
  <c r="Q20" i="26"/>
  <c r="P20" i="26"/>
  <c r="O20" i="26"/>
  <c r="S20" i="26"/>
  <c r="T28" i="26"/>
  <c r="R28" i="26"/>
  <c r="O28" i="26"/>
  <c r="S28" i="26"/>
  <c r="P28" i="26"/>
  <c r="U28" i="26"/>
  <c r="Q28" i="26"/>
  <c r="S17" i="26"/>
  <c r="P17" i="26"/>
  <c r="U17" i="26"/>
  <c r="R17" i="26"/>
  <c r="O17" i="26"/>
  <c r="Q17" i="26"/>
  <c r="T17" i="26"/>
  <c r="Q15" i="26"/>
  <c r="O15" i="26"/>
  <c r="U15" i="26"/>
  <c r="S15" i="26"/>
  <c r="T15" i="26"/>
  <c r="P15" i="26"/>
  <c r="R15" i="26"/>
  <c r="U13" i="26"/>
  <c r="Q13" i="26"/>
  <c r="O13" i="26"/>
  <c r="S13" i="26"/>
  <c r="T13" i="26"/>
  <c r="R13" i="26"/>
  <c r="P13" i="26"/>
  <c r="U29" i="26"/>
  <c r="O29" i="26"/>
  <c r="Q29" i="26"/>
  <c r="S29" i="26"/>
  <c r="T29" i="26"/>
  <c r="R29" i="26"/>
  <c r="P29" i="26"/>
  <c r="T6" i="26"/>
  <c r="S6" i="26"/>
  <c r="U6" i="26"/>
  <c r="R6" i="26"/>
  <c r="P6" i="26"/>
  <c r="O6" i="26"/>
  <c r="Q6" i="26"/>
  <c r="S14" i="26"/>
  <c r="U14" i="26"/>
  <c r="T14" i="26"/>
  <c r="Q14" i="26"/>
  <c r="R14" i="26"/>
  <c r="P14" i="26"/>
  <c r="O14" i="26"/>
  <c r="T22" i="26"/>
  <c r="S22" i="26"/>
  <c r="U22" i="26"/>
  <c r="R22" i="26"/>
  <c r="P22" i="26"/>
  <c r="O22" i="26"/>
  <c r="Q22" i="26"/>
  <c r="U5" i="26"/>
  <c r="T5" i="26"/>
  <c r="Q5" i="26"/>
  <c r="R5" i="26"/>
  <c r="O5" i="26"/>
  <c r="P5" i="26"/>
  <c r="S5" i="26"/>
  <c r="O19" i="26"/>
  <c r="R19" i="26"/>
  <c r="Q19" i="26"/>
  <c r="T19" i="26"/>
  <c r="U19" i="26"/>
  <c r="S19" i="26"/>
  <c r="P19" i="26"/>
  <c r="P8" i="26"/>
  <c r="O8" i="26"/>
  <c r="U8" i="26"/>
  <c r="S8" i="26"/>
  <c r="T8" i="26"/>
  <c r="R8" i="26"/>
  <c r="Q8" i="26"/>
  <c r="P16" i="26"/>
  <c r="O16" i="26"/>
  <c r="Q16" i="26"/>
  <c r="T16" i="26"/>
  <c r="R16" i="26"/>
  <c r="U16" i="26"/>
  <c r="S16" i="26"/>
  <c r="P24" i="26"/>
  <c r="O24" i="26"/>
  <c r="U24" i="26"/>
  <c r="S24" i="26"/>
  <c r="T24" i="26"/>
  <c r="R24" i="26"/>
  <c r="Q24" i="26"/>
  <c r="S9" i="26"/>
  <c r="R9" i="26"/>
  <c r="O9" i="26"/>
  <c r="T9" i="26"/>
  <c r="U9" i="26"/>
  <c r="P9" i="26"/>
  <c r="Q9" i="26"/>
  <c r="S25" i="26"/>
  <c r="R25" i="26"/>
  <c r="T25" i="26"/>
  <c r="U25" i="26"/>
  <c r="P25" i="26"/>
  <c r="Q25" i="26"/>
  <c r="O25" i="26"/>
  <c r="T27" i="26"/>
  <c r="P27" i="26"/>
  <c r="Q27" i="26"/>
  <c r="O27" i="26"/>
  <c r="U27" i="26"/>
  <c r="S27" i="26"/>
  <c r="R27" i="26"/>
  <c r="U21" i="26"/>
  <c r="T21" i="26"/>
  <c r="Q21" i="26"/>
  <c r="R21" i="26"/>
  <c r="P21" i="26"/>
  <c r="O21" i="26"/>
  <c r="S21" i="26"/>
  <c r="Q23" i="26"/>
  <c r="P23" i="26"/>
  <c r="R23" i="26"/>
  <c r="U23" i="26"/>
  <c r="S23" i="26"/>
  <c r="O23" i="26"/>
  <c r="T23" i="26"/>
  <c r="L11" i="2"/>
  <c r="M11" i="2"/>
  <c r="L71" i="8"/>
  <c r="L72" i="8"/>
  <c r="L73" i="8"/>
  <c r="L74" i="8"/>
  <c r="L75" i="8"/>
  <c r="L76" i="8"/>
  <c r="L77" i="8"/>
  <c r="M70" i="8"/>
  <c r="M71" i="8"/>
  <c r="M72" i="8"/>
  <c r="M73" i="8"/>
  <c r="M74" i="8"/>
  <c r="M75" i="8"/>
  <c r="M76" i="8"/>
  <c r="M77" i="8"/>
  <c r="J71" i="8"/>
  <c r="J72" i="8"/>
  <c r="J73" i="8"/>
  <c r="J74" i="8"/>
  <c r="J75" i="8"/>
  <c r="J76" i="8"/>
  <c r="J77" i="8"/>
  <c r="K70" i="8"/>
  <c r="K74" i="8"/>
  <c r="L70" i="8"/>
  <c r="K73" i="8"/>
  <c r="K77" i="8"/>
  <c r="K71" i="8"/>
  <c r="K75" i="8"/>
  <c r="K72" i="8"/>
  <c r="K76" i="8"/>
  <c r="N11" i="2"/>
  <c r="L30" i="2"/>
  <c r="M30" i="2"/>
  <c r="J70" i="8"/>
  <c r="L61" i="11"/>
  <c r="L59" i="11"/>
  <c r="L64" i="11"/>
  <c r="L62" i="11"/>
  <c r="L60" i="11"/>
  <c r="L63" i="11"/>
  <c r="AI30" i="2"/>
  <c r="AJ21" i="2" s="1"/>
  <c r="I64" i="11"/>
  <c r="I59" i="11"/>
  <c r="J60" i="11"/>
  <c r="K61" i="11"/>
  <c r="I63" i="11"/>
  <c r="J64" i="11"/>
  <c r="J59" i="11"/>
  <c r="K60" i="11"/>
  <c r="I62" i="11"/>
  <c r="J63" i="11"/>
  <c r="K64" i="11"/>
  <c r="K59" i="11"/>
  <c r="I61" i="11"/>
  <c r="J62" i="11"/>
  <c r="K63" i="11"/>
  <c r="I60" i="11"/>
  <c r="J61" i="11"/>
  <c r="K62" i="11"/>
  <c r="B65" i="2"/>
  <c r="H65" i="2" s="1"/>
  <c r="B40" i="2"/>
  <c r="B41" i="2"/>
  <c r="B42" i="2"/>
  <c r="B43" i="2"/>
  <c r="B44" i="2"/>
  <c r="B45" i="2"/>
  <c r="B46" i="2"/>
  <c r="B47" i="2"/>
  <c r="B48" i="2"/>
  <c r="B49" i="2"/>
  <c r="B50" i="2"/>
  <c r="B51" i="2"/>
  <c r="B52" i="2"/>
  <c r="B53" i="2"/>
  <c r="B54" i="2"/>
  <c r="B55" i="2"/>
  <c r="B56" i="2"/>
  <c r="B57" i="2"/>
  <c r="B58" i="2"/>
  <c r="B59" i="2"/>
  <c r="B60" i="2"/>
  <c r="B61" i="2"/>
  <c r="B62" i="2"/>
  <c r="B63" i="2"/>
  <c r="B64" i="2"/>
  <c r="B39" i="2"/>
  <c r="E5" i="2"/>
  <c r="D44" i="1"/>
  <c r="C44" i="1"/>
  <c r="N52" i="2" l="1"/>
  <c r="N40" i="2"/>
  <c r="N51" i="2"/>
  <c r="N64" i="2"/>
  <c r="H64" i="2"/>
  <c r="N48" i="2"/>
  <c r="N44" i="2"/>
  <c r="N63" i="2"/>
  <c r="N62" i="2"/>
  <c r="N58" i="2"/>
  <c r="N54" i="2"/>
  <c r="N50" i="2"/>
  <c r="N46" i="2"/>
  <c r="N42" i="2"/>
  <c r="N61" i="2"/>
  <c r="N57" i="2"/>
  <c r="N53" i="2"/>
  <c r="N49" i="2"/>
  <c r="N45" i="2"/>
  <c r="N41" i="2"/>
  <c r="N56" i="2"/>
  <c r="N60" i="2"/>
  <c r="N59" i="2"/>
  <c r="N55" i="2"/>
  <c r="N47" i="2"/>
  <c r="N43" i="2"/>
  <c r="N39" i="2"/>
  <c r="L39" i="2"/>
  <c r="G68" i="11"/>
  <c r="G69" i="11" s="1"/>
  <c r="H79" i="8"/>
  <c r="H80" i="8" s="1"/>
  <c r="AJ8" i="2"/>
  <c r="AP21" i="2"/>
  <c r="AU21" i="2"/>
  <c r="AQ21" i="2"/>
  <c r="AV21" i="2"/>
  <c r="AR21" i="2"/>
  <c r="AS21" i="2"/>
  <c r="AT21" i="2"/>
  <c r="AJ20" i="2"/>
  <c r="AJ27" i="2"/>
  <c r="AJ16" i="2"/>
  <c r="AJ23" i="2"/>
  <c r="AJ5" i="2"/>
  <c r="AJ25" i="2"/>
  <c r="AJ29" i="2"/>
  <c r="AJ24" i="2"/>
  <c r="AJ26" i="2"/>
  <c r="AJ6" i="2"/>
  <c r="AJ17" i="2"/>
  <c r="AJ15" i="2"/>
  <c r="AJ22" i="2"/>
  <c r="AJ9" i="2"/>
  <c r="AJ13" i="2"/>
  <c r="AJ19" i="2"/>
  <c r="AJ18" i="2"/>
  <c r="AJ28" i="2"/>
  <c r="AJ10" i="2"/>
  <c r="AJ7" i="2"/>
  <c r="AJ14" i="2"/>
  <c r="AJ12" i="2"/>
  <c r="AJ11" i="2"/>
  <c r="S60" i="2"/>
  <c r="M60" i="2"/>
  <c r="L60" i="2"/>
  <c r="K60" i="2"/>
  <c r="S52" i="2"/>
  <c r="M52" i="2"/>
  <c r="K52" i="2"/>
  <c r="L52" i="2"/>
  <c r="S59" i="2"/>
  <c r="L59" i="2"/>
  <c r="M59" i="2"/>
  <c r="K59" i="2"/>
  <c r="S51" i="2"/>
  <c r="L51" i="2"/>
  <c r="M51" i="2"/>
  <c r="K51" i="2"/>
  <c r="S47" i="2"/>
  <c r="L47" i="2"/>
  <c r="M47" i="2"/>
  <c r="K47" i="2"/>
  <c r="S43" i="2"/>
  <c r="L43" i="2"/>
  <c r="M43" i="2"/>
  <c r="K43" i="2"/>
  <c r="S50" i="2"/>
  <c r="K50" i="2"/>
  <c r="L50" i="2"/>
  <c r="M50" i="2"/>
  <c r="S42" i="2"/>
  <c r="K42" i="2"/>
  <c r="L42" i="2"/>
  <c r="M42" i="2"/>
  <c r="M64" i="2"/>
  <c r="K64" i="2"/>
  <c r="L64" i="2"/>
  <c r="S56" i="2"/>
  <c r="M56" i="2"/>
  <c r="K56" i="2"/>
  <c r="L56" i="2"/>
  <c r="S48" i="2"/>
  <c r="M48" i="2"/>
  <c r="K48" i="2"/>
  <c r="L48" i="2"/>
  <c r="S44" i="2"/>
  <c r="M44" i="2"/>
  <c r="K44" i="2"/>
  <c r="L44" i="2"/>
  <c r="S40" i="2"/>
  <c r="M40" i="2"/>
  <c r="K40" i="2"/>
  <c r="L40" i="2"/>
  <c r="S63" i="2"/>
  <c r="L63" i="2"/>
  <c r="M63" i="2"/>
  <c r="K63" i="2"/>
  <c r="S55" i="2"/>
  <c r="L55" i="2"/>
  <c r="M55" i="2"/>
  <c r="K55" i="2"/>
  <c r="S62" i="2"/>
  <c r="K62" i="2"/>
  <c r="L62" i="2"/>
  <c r="M62" i="2"/>
  <c r="S58" i="2"/>
  <c r="K58" i="2"/>
  <c r="L58" i="2"/>
  <c r="M58" i="2"/>
  <c r="S54" i="2"/>
  <c r="K54" i="2"/>
  <c r="L54" i="2"/>
  <c r="M54" i="2"/>
  <c r="S46" i="2"/>
  <c r="K46" i="2"/>
  <c r="L46" i="2"/>
  <c r="M46" i="2"/>
  <c r="S39" i="2"/>
  <c r="M39" i="2"/>
  <c r="K39" i="2"/>
  <c r="S61" i="2"/>
  <c r="K61" i="2"/>
  <c r="L61" i="2"/>
  <c r="M61" i="2"/>
  <c r="S57" i="2"/>
  <c r="K57" i="2"/>
  <c r="M57" i="2"/>
  <c r="L57" i="2"/>
  <c r="S53" i="2"/>
  <c r="K53" i="2"/>
  <c r="M53" i="2"/>
  <c r="L53" i="2"/>
  <c r="S49" i="2"/>
  <c r="K49" i="2"/>
  <c r="L49" i="2"/>
  <c r="M49" i="2"/>
  <c r="S45" i="2"/>
  <c r="K45" i="2"/>
  <c r="L45" i="2"/>
  <c r="M45" i="2"/>
  <c r="S41" i="2"/>
  <c r="K41" i="2"/>
  <c r="L41" i="2"/>
  <c r="M41" i="2"/>
  <c r="E44" i="1"/>
  <c r="F44" i="1"/>
  <c r="C34" i="1"/>
  <c r="E34" i="1" s="1"/>
  <c r="D34" i="1"/>
  <c r="F34" i="1" s="1"/>
  <c r="C35" i="1"/>
  <c r="E35" i="1" s="1"/>
  <c r="D35" i="1"/>
  <c r="F35" i="1" s="1"/>
  <c r="C36" i="1"/>
  <c r="E36" i="1" s="1"/>
  <c r="D36" i="1"/>
  <c r="F36" i="1" s="1"/>
  <c r="C37" i="1"/>
  <c r="E37" i="1" s="1"/>
  <c r="D37" i="1"/>
  <c r="F37" i="1" s="1"/>
  <c r="C38" i="1"/>
  <c r="E38" i="1" s="1"/>
  <c r="D38" i="1"/>
  <c r="F38" i="1" s="1"/>
  <c r="C39" i="1"/>
  <c r="E39" i="1" s="1"/>
  <c r="D39" i="1"/>
  <c r="F39" i="1" s="1"/>
  <c r="C40" i="1"/>
  <c r="E40" i="1" s="1"/>
  <c r="D40" i="1"/>
  <c r="F40" i="1" s="1"/>
  <c r="C41" i="1"/>
  <c r="E41" i="1" s="1"/>
  <c r="D41" i="1"/>
  <c r="F41" i="1" s="1"/>
  <c r="C42" i="1"/>
  <c r="E42" i="1" s="1"/>
  <c r="D42" i="1"/>
  <c r="F42" i="1" s="1"/>
  <c r="C43" i="1"/>
  <c r="E43" i="1" s="1"/>
  <c r="D43" i="1"/>
  <c r="F43" i="1" s="1"/>
  <c r="C45" i="1"/>
  <c r="E45" i="1" s="1"/>
  <c r="D45" i="1"/>
  <c r="F45" i="1" s="1"/>
  <c r="C46" i="1"/>
  <c r="E46" i="1" s="1"/>
  <c r="D46" i="1"/>
  <c r="F46" i="1" s="1"/>
  <c r="C47" i="1"/>
  <c r="E47" i="1" s="1"/>
  <c r="D47" i="1"/>
  <c r="F47" i="1" s="1"/>
  <c r="C48" i="1"/>
  <c r="E48" i="1" s="1"/>
  <c r="D48" i="1"/>
  <c r="F48" i="1" s="1"/>
  <c r="C49" i="1"/>
  <c r="E49" i="1" s="1"/>
  <c r="D49" i="1"/>
  <c r="F49" i="1" s="1"/>
  <c r="C50" i="1"/>
  <c r="E50" i="1" s="1"/>
  <c r="D50" i="1"/>
  <c r="F50" i="1" s="1"/>
  <c r="C51" i="1"/>
  <c r="E51" i="1" s="1"/>
  <c r="D51" i="1"/>
  <c r="F51" i="1" s="1"/>
  <c r="C52" i="1"/>
  <c r="E52" i="1" s="1"/>
  <c r="D52" i="1"/>
  <c r="F52" i="1" s="1"/>
  <c r="C54" i="1"/>
  <c r="D54" i="1"/>
  <c r="D33" i="1"/>
  <c r="F33" i="1" s="1"/>
  <c r="C33" i="1"/>
  <c r="E33" i="1" s="1"/>
  <c r="B34" i="1"/>
  <c r="B35" i="1"/>
  <c r="B36" i="1"/>
  <c r="B37" i="1"/>
  <c r="B38" i="1"/>
  <c r="B39" i="1"/>
  <c r="B40" i="1"/>
  <c r="B41" i="1"/>
  <c r="B42" i="1"/>
  <c r="B43" i="1"/>
  <c r="B44" i="1"/>
  <c r="B45" i="1"/>
  <c r="B46" i="1"/>
  <c r="B47" i="1"/>
  <c r="B48" i="1"/>
  <c r="B49" i="1"/>
  <c r="B50" i="1"/>
  <c r="B51" i="1"/>
  <c r="B52" i="1"/>
  <c r="B53" i="1"/>
  <c r="B54" i="1"/>
  <c r="B33" i="1"/>
  <c r="R6" i="1"/>
  <c r="P27" i="1"/>
  <c r="P28" i="1"/>
  <c r="I7" i="1"/>
  <c r="I8" i="1"/>
  <c r="I9" i="1"/>
  <c r="I10" i="1"/>
  <c r="I11" i="1"/>
  <c r="I12" i="1"/>
  <c r="I13" i="1"/>
  <c r="I14" i="1"/>
  <c r="I15" i="1"/>
  <c r="I16" i="1"/>
  <c r="I17" i="1"/>
  <c r="I18" i="1"/>
  <c r="I19" i="1"/>
  <c r="I20" i="1"/>
  <c r="I21" i="1"/>
  <c r="I22" i="1"/>
  <c r="I23" i="1"/>
  <c r="I24" i="1"/>
  <c r="I25" i="1"/>
  <c r="I26" i="1"/>
  <c r="I27" i="1"/>
  <c r="I28" i="1"/>
  <c r="I6" i="1"/>
  <c r="E7" i="1"/>
  <c r="E8" i="1"/>
  <c r="E9" i="1"/>
  <c r="E10" i="1"/>
  <c r="E11" i="1"/>
  <c r="E12" i="1"/>
  <c r="E13" i="1"/>
  <c r="E14" i="1"/>
  <c r="E15" i="1"/>
  <c r="E16" i="1"/>
  <c r="E17" i="1"/>
  <c r="E18" i="1"/>
  <c r="E19" i="1"/>
  <c r="E20" i="1"/>
  <c r="E21" i="1"/>
  <c r="E22" i="1"/>
  <c r="E23" i="1"/>
  <c r="E24" i="1"/>
  <c r="H27" i="1"/>
  <c r="E27" i="1"/>
  <c r="G26" i="1"/>
  <c r="G28" i="1" s="1"/>
  <c r="F26" i="1"/>
  <c r="F28" i="1" s="1"/>
  <c r="D26" i="1"/>
  <c r="D28" i="1" s="1"/>
  <c r="C26" i="1"/>
  <c r="C28" i="1" s="1"/>
  <c r="H24" i="1"/>
  <c r="H23" i="1"/>
  <c r="H22" i="1"/>
  <c r="H21" i="1"/>
  <c r="H20" i="1"/>
  <c r="H19" i="1"/>
  <c r="H18" i="1"/>
  <c r="H17" i="1"/>
  <c r="H16" i="1"/>
  <c r="H15" i="1"/>
  <c r="H14" i="1"/>
  <c r="H13" i="1"/>
  <c r="H12" i="1"/>
  <c r="H11" i="1"/>
  <c r="H10" i="1"/>
  <c r="H9" i="1"/>
  <c r="H8" i="1"/>
  <c r="H7" i="1"/>
  <c r="H6" i="1"/>
  <c r="E6" i="1"/>
  <c r="AP8" i="2" l="1"/>
  <c r="AU8" i="2"/>
  <c r="AR8" i="2"/>
  <c r="AV8" i="2"/>
  <c r="AT8" i="2"/>
  <c r="AQ8" i="2"/>
  <c r="AS8" i="2"/>
  <c r="AS12" i="2"/>
  <c r="AP12" i="2"/>
  <c r="AU12" i="2"/>
  <c r="AQ12" i="2"/>
  <c r="AV12" i="2"/>
  <c r="AR12" i="2"/>
  <c r="AT12" i="2"/>
  <c r="AP19" i="2"/>
  <c r="AU19" i="2"/>
  <c r="AQ19" i="2"/>
  <c r="AV19" i="2"/>
  <c r="AR19" i="2"/>
  <c r="AS19" i="2"/>
  <c r="AT19" i="2"/>
  <c r="AQ24" i="2"/>
  <c r="AV24" i="2"/>
  <c r="AR24" i="2"/>
  <c r="AS24" i="2"/>
  <c r="AU24" i="2"/>
  <c r="AP24" i="2"/>
  <c r="AT24" i="2"/>
  <c r="AP28" i="2"/>
  <c r="AU28" i="2"/>
  <c r="AQ28" i="2"/>
  <c r="AV28" i="2"/>
  <c r="AR28" i="2"/>
  <c r="AS28" i="2"/>
  <c r="AT28" i="2"/>
  <c r="AQ13" i="2"/>
  <c r="AV13" i="2"/>
  <c r="AR13" i="2"/>
  <c r="AS13" i="2"/>
  <c r="AP13" i="2"/>
  <c r="AU13" i="2"/>
  <c r="AT13" i="2"/>
  <c r="AR29" i="2"/>
  <c r="AS29" i="2"/>
  <c r="AU29" i="2"/>
  <c r="AP29" i="2"/>
  <c r="AV29" i="2"/>
  <c r="AQ29" i="2"/>
  <c r="AT29" i="2"/>
  <c r="AR16" i="2"/>
  <c r="AS16" i="2"/>
  <c r="AP16" i="2"/>
  <c r="AU16" i="2"/>
  <c r="AQ16" i="2"/>
  <c r="AV16" i="2"/>
  <c r="AT16" i="2"/>
  <c r="AP10" i="2"/>
  <c r="AT10" i="2"/>
  <c r="AQ10" i="2"/>
  <c r="AU10" i="2"/>
  <c r="AR10" i="2"/>
  <c r="AV10" i="2"/>
  <c r="AS10" i="2"/>
  <c r="AP15" i="2"/>
  <c r="AU15" i="2"/>
  <c r="AQ15" i="2"/>
  <c r="AV15" i="2"/>
  <c r="AR15" i="2"/>
  <c r="AS15" i="2"/>
  <c r="AT15" i="2"/>
  <c r="AS23" i="2"/>
  <c r="AP23" i="2"/>
  <c r="AU23" i="2"/>
  <c r="AQ23" i="2"/>
  <c r="AV23" i="2"/>
  <c r="AR23" i="2"/>
  <c r="AT23" i="2"/>
  <c r="AK42" i="2"/>
  <c r="AH42" i="2" s="1"/>
  <c r="AI42" i="2"/>
  <c r="AK50" i="2"/>
  <c r="AH50" i="2" s="1"/>
  <c r="AI50" i="2"/>
  <c r="AI43" i="2"/>
  <c r="AK43" i="2"/>
  <c r="AH43" i="2" s="1"/>
  <c r="AI47" i="2"/>
  <c r="AK47" i="2"/>
  <c r="AH47" i="2" s="1"/>
  <c r="AI51" i="2"/>
  <c r="AK51" i="2"/>
  <c r="AH51" i="2" s="1"/>
  <c r="AI59" i="2"/>
  <c r="AK59" i="2"/>
  <c r="AH59" i="2" s="1"/>
  <c r="AK52" i="2"/>
  <c r="AH52" i="2" s="1"/>
  <c r="AI52" i="2"/>
  <c r="AK60" i="2"/>
  <c r="AH60" i="2" s="1"/>
  <c r="AI60" i="2"/>
  <c r="AS14" i="2"/>
  <c r="AP14" i="2"/>
  <c r="AT14" i="2"/>
  <c r="AQ14" i="2"/>
  <c r="AU14" i="2"/>
  <c r="AV14" i="2"/>
  <c r="AR14" i="2"/>
  <c r="AR9" i="2"/>
  <c r="AS9" i="2"/>
  <c r="AP9" i="2"/>
  <c r="AU9" i="2"/>
  <c r="AV9" i="2"/>
  <c r="AQ9" i="2"/>
  <c r="AT9" i="2"/>
  <c r="AP17" i="2"/>
  <c r="AU17" i="2"/>
  <c r="AQ17" i="2"/>
  <c r="AV17" i="2"/>
  <c r="AR17" i="2"/>
  <c r="AS17" i="2"/>
  <c r="AT17" i="2"/>
  <c r="AS25" i="2"/>
  <c r="AP25" i="2"/>
  <c r="AU25" i="2"/>
  <c r="AV25" i="2"/>
  <c r="AQ25" i="2"/>
  <c r="AR25" i="2"/>
  <c r="AT25" i="2"/>
  <c r="AR27" i="2"/>
  <c r="AS27" i="2"/>
  <c r="AP27" i="2"/>
  <c r="AQ27" i="2"/>
  <c r="AU27" i="2"/>
  <c r="AV27" i="2"/>
  <c r="AT27" i="2"/>
  <c r="AK41" i="2"/>
  <c r="AH41" i="2" s="1"/>
  <c r="AI41" i="2"/>
  <c r="AK45" i="2"/>
  <c r="AH45" i="2" s="1"/>
  <c r="AI45" i="2"/>
  <c r="AK49" i="2"/>
  <c r="AH49" i="2" s="1"/>
  <c r="AI49" i="2"/>
  <c r="AK53" i="2"/>
  <c r="AH53" i="2" s="1"/>
  <c r="AI53" i="2"/>
  <c r="AK57" i="2"/>
  <c r="AH57" i="2" s="1"/>
  <c r="AI57" i="2"/>
  <c r="AK61" i="2"/>
  <c r="AH61" i="2" s="1"/>
  <c r="AI61" i="2"/>
  <c r="AI39" i="2"/>
  <c r="AK39" i="2"/>
  <c r="AH39" i="2" s="1"/>
  <c r="AK46" i="2"/>
  <c r="AH46" i="2" s="1"/>
  <c r="AI46" i="2"/>
  <c r="AK54" i="2"/>
  <c r="AH54" i="2" s="1"/>
  <c r="AI54" i="2"/>
  <c r="AK58" i="2"/>
  <c r="AH58" i="2" s="1"/>
  <c r="AI58" i="2"/>
  <c r="AK62" i="2"/>
  <c r="AH62" i="2" s="1"/>
  <c r="AI62" i="2"/>
  <c r="AI55" i="2"/>
  <c r="AK55" i="2"/>
  <c r="AH55" i="2" s="1"/>
  <c r="AI63" i="2"/>
  <c r="AK63" i="2"/>
  <c r="AH63" i="2" s="1"/>
  <c r="AK40" i="2"/>
  <c r="AH40" i="2" s="1"/>
  <c r="AI40" i="2"/>
  <c r="AK44" i="2"/>
  <c r="AH44" i="2" s="1"/>
  <c r="AI44" i="2"/>
  <c r="AK48" i="2"/>
  <c r="AH48" i="2" s="1"/>
  <c r="AI48" i="2"/>
  <c r="AK56" i="2"/>
  <c r="AH56" i="2" s="1"/>
  <c r="AI56" i="2"/>
  <c r="AQ11" i="2"/>
  <c r="AV11" i="2"/>
  <c r="AR11" i="2"/>
  <c r="AS11" i="2"/>
  <c r="AP11" i="2"/>
  <c r="AU11" i="2"/>
  <c r="AT11" i="2"/>
  <c r="AR7" i="2"/>
  <c r="AS7" i="2"/>
  <c r="AP7" i="2"/>
  <c r="AU7" i="2"/>
  <c r="AQ7" i="2"/>
  <c r="AV7" i="2"/>
  <c r="AT7" i="2"/>
  <c r="AS18" i="2"/>
  <c r="AP18" i="2"/>
  <c r="AT18" i="2"/>
  <c r="AQ18" i="2"/>
  <c r="AU18" i="2"/>
  <c r="AR18" i="2"/>
  <c r="AV18" i="2"/>
  <c r="AR22" i="2"/>
  <c r="AV22" i="2"/>
  <c r="AS22" i="2"/>
  <c r="AP22" i="2"/>
  <c r="AQ22" i="2"/>
  <c r="AT22" i="2"/>
  <c r="AU22" i="2"/>
  <c r="AQ6" i="2"/>
  <c r="AU6" i="2"/>
  <c r="AR6" i="2"/>
  <c r="AV6" i="2"/>
  <c r="AS6" i="2"/>
  <c r="AP6" i="2"/>
  <c r="AT6" i="2"/>
  <c r="AQ26" i="2"/>
  <c r="AU26" i="2"/>
  <c r="AR26" i="2"/>
  <c r="AV26" i="2"/>
  <c r="AS26" i="2"/>
  <c r="AP26" i="2"/>
  <c r="AT26" i="2"/>
  <c r="AQ5" i="2"/>
  <c r="AV5" i="2"/>
  <c r="AR5" i="2"/>
  <c r="AP5" i="2"/>
  <c r="AS5" i="2"/>
  <c r="AU5" i="2"/>
  <c r="AT5" i="2"/>
  <c r="AR20" i="2"/>
  <c r="AS20" i="2"/>
  <c r="AU20" i="2"/>
  <c r="AV20" i="2"/>
  <c r="AP20" i="2"/>
  <c r="AQ20" i="2"/>
  <c r="AT20" i="2"/>
  <c r="H26" i="1"/>
  <c r="H28" i="1" s="1"/>
  <c r="E26" i="1"/>
  <c r="E28" i="1" s="1"/>
  <c r="E40" i="2"/>
  <c r="E41" i="2"/>
  <c r="E42" i="2"/>
  <c r="E43" i="2"/>
  <c r="E44" i="2"/>
  <c r="E45" i="2"/>
  <c r="E46" i="2"/>
  <c r="E47" i="2"/>
  <c r="E48" i="2"/>
  <c r="E49" i="2"/>
  <c r="E50" i="2"/>
  <c r="E51" i="2"/>
  <c r="E52" i="2"/>
  <c r="E53" i="2"/>
  <c r="E54" i="2"/>
  <c r="E55" i="2"/>
  <c r="E56" i="2"/>
  <c r="E57" i="2"/>
  <c r="E58" i="2"/>
  <c r="E59" i="2"/>
  <c r="E60" i="2"/>
  <c r="E61" i="2"/>
  <c r="E62" i="2"/>
  <c r="E63" i="2"/>
  <c r="E64" i="2"/>
  <c r="E39" i="2"/>
  <c r="D39" i="2"/>
  <c r="D40" i="2"/>
  <c r="D41" i="2"/>
  <c r="D44" i="2"/>
  <c r="D45" i="2"/>
  <c r="D46" i="2"/>
  <c r="D47" i="2"/>
  <c r="D48" i="2"/>
  <c r="D49" i="2"/>
  <c r="D50" i="2"/>
  <c r="D51" i="2"/>
  <c r="D52" i="2"/>
  <c r="D53" i="2"/>
  <c r="D54" i="2"/>
  <c r="D55" i="2"/>
  <c r="D56" i="2"/>
  <c r="D57" i="2"/>
  <c r="D58" i="2"/>
  <c r="D59" i="2"/>
  <c r="D60" i="2"/>
  <c r="D61" i="2"/>
  <c r="D62" i="2"/>
  <c r="D63" i="2"/>
  <c r="D64" i="2"/>
  <c r="D5" i="2"/>
  <c r="E11" i="2"/>
  <c r="G5" i="2"/>
  <c r="G64" i="2"/>
  <c r="E30" i="2"/>
  <c r="C30" i="2"/>
  <c r="G30" i="2" s="1"/>
  <c r="E29" i="2"/>
  <c r="D29" i="2"/>
  <c r="C29" i="2"/>
  <c r="G29" i="2" s="1"/>
  <c r="E28" i="2"/>
  <c r="D28" i="2"/>
  <c r="C28" i="2"/>
  <c r="G28" i="2" s="1"/>
  <c r="E27" i="2"/>
  <c r="D27" i="2"/>
  <c r="C27" i="2"/>
  <c r="G27" i="2" s="1"/>
  <c r="E26" i="2"/>
  <c r="D26" i="2"/>
  <c r="C26" i="2"/>
  <c r="G26" i="2" s="1"/>
  <c r="E25" i="2"/>
  <c r="D25" i="2"/>
  <c r="C25" i="2"/>
  <c r="G25" i="2" s="1"/>
  <c r="E24" i="2"/>
  <c r="D24" i="2"/>
  <c r="C24" i="2"/>
  <c r="G24" i="2" s="1"/>
  <c r="E23" i="2"/>
  <c r="D23" i="2"/>
  <c r="C23" i="2"/>
  <c r="G23" i="2" s="1"/>
  <c r="D22" i="2"/>
  <c r="C22" i="2"/>
  <c r="G22" i="2" s="1"/>
  <c r="E21" i="2"/>
  <c r="D21" i="2"/>
  <c r="C21" i="2"/>
  <c r="G21" i="2" s="1"/>
  <c r="E20" i="2"/>
  <c r="D20" i="2"/>
  <c r="C20" i="2"/>
  <c r="G20" i="2" s="1"/>
  <c r="E19" i="2"/>
  <c r="D19" i="2"/>
  <c r="C19" i="2"/>
  <c r="G19" i="2" s="1"/>
  <c r="E18" i="2"/>
  <c r="D18" i="2"/>
  <c r="C18" i="2"/>
  <c r="G18" i="2" s="1"/>
  <c r="E17" i="2"/>
  <c r="D17" i="2"/>
  <c r="C17" i="2"/>
  <c r="G17" i="2" s="1"/>
  <c r="E16" i="2"/>
  <c r="D16" i="2"/>
  <c r="C16" i="2"/>
  <c r="G16" i="2" s="1"/>
  <c r="E15" i="2"/>
  <c r="D15" i="2"/>
  <c r="C15" i="2"/>
  <c r="G15" i="2" s="1"/>
  <c r="E14" i="2"/>
  <c r="D14" i="2"/>
  <c r="C14" i="2"/>
  <c r="G14" i="2" s="1"/>
  <c r="E13" i="2"/>
  <c r="D13" i="2"/>
  <c r="C13" i="2"/>
  <c r="G13" i="2" s="1"/>
  <c r="E12" i="2"/>
  <c r="D12" i="2"/>
  <c r="C12" i="2"/>
  <c r="G12" i="2" s="1"/>
  <c r="D11" i="2"/>
  <c r="C11" i="2"/>
  <c r="G11" i="2" s="1"/>
  <c r="E10" i="2"/>
  <c r="D10" i="2"/>
  <c r="C10" i="2"/>
  <c r="G10" i="2" s="1"/>
  <c r="E9" i="2"/>
  <c r="D9" i="2"/>
  <c r="C9" i="2"/>
  <c r="G9" i="2" s="1"/>
  <c r="E8" i="2"/>
  <c r="D8" i="2"/>
  <c r="C8" i="2"/>
  <c r="G8" i="2" s="1"/>
  <c r="E7" i="2"/>
  <c r="D7" i="2"/>
  <c r="C7" i="2"/>
  <c r="G7" i="2" s="1"/>
  <c r="E6" i="2"/>
  <c r="D6" i="2"/>
  <c r="C6" i="2"/>
  <c r="G6" i="2" s="1"/>
  <c r="AI64" i="2" l="1"/>
  <c r="AJ48" i="2" s="1"/>
  <c r="F11" i="2"/>
  <c r="O11" i="2" s="1"/>
  <c r="P11" i="2" s="1"/>
  <c r="F19" i="2"/>
  <c r="O19" i="2" s="1"/>
  <c r="F5" i="2"/>
  <c r="O5" i="2" s="1"/>
  <c r="P5" i="2" s="1"/>
  <c r="F64" i="2"/>
  <c r="O64" i="2" s="1"/>
  <c r="R64" i="2" s="1"/>
  <c r="E65" i="2"/>
  <c r="F17" i="2"/>
  <c r="F21" i="2"/>
  <c r="O21" i="2" s="1"/>
  <c r="F14" i="2"/>
  <c r="O14" i="2" s="1"/>
  <c r="F6" i="2"/>
  <c r="O6" i="2" s="1"/>
  <c r="F10" i="2"/>
  <c r="O10" i="2" s="1"/>
  <c r="F13" i="2"/>
  <c r="O13" i="2" s="1"/>
  <c r="F26" i="2"/>
  <c r="O26" i="2" s="1"/>
  <c r="F9" i="2"/>
  <c r="O9" i="2" s="1"/>
  <c r="F23" i="2"/>
  <c r="O23" i="2" s="1"/>
  <c r="F24" i="2"/>
  <c r="O24" i="2" s="1"/>
  <c r="F25" i="2"/>
  <c r="O25" i="2" s="1"/>
  <c r="F29" i="2"/>
  <c r="O29" i="2" s="1"/>
  <c r="F8" i="2"/>
  <c r="O8" i="2" s="1"/>
  <c r="F27" i="2"/>
  <c r="O27" i="2" s="1"/>
  <c r="C31" i="2"/>
  <c r="F15" i="2"/>
  <c r="O15" i="2" s="1"/>
  <c r="F16" i="2"/>
  <c r="O16" i="2" s="1"/>
  <c r="F18" i="2"/>
  <c r="O18" i="2" s="1"/>
  <c r="F12" i="2"/>
  <c r="O12" i="2" s="1"/>
  <c r="F28" i="2"/>
  <c r="O28" i="2" s="1"/>
  <c r="F20" i="2"/>
  <c r="O20" i="2" s="1"/>
  <c r="F22" i="2"/>
  <c r="O22" i="2" s="1"/>
  <c r="E31" i="2"/>
  <c r="F7" i="2"/>
  <c r="O7" i="2" s="1"/>
  <c r="K43" i="3"/>
  <c r="X44" i="3" s="1"/>
  <c r="J43" i="3"/>
  <c r="W44" i="3" s="1"/>
  <c r="H43" i="3"/>
  <c r="U44" i="3" s="1"/>
  <c r="G43" i="3"/>
  <c r="T44" i="3" s="1"/>
  <c r="F43" i="3"/>
  <c r="S44" i="3" s="1"/>
  <c r="E43" i="3"/>
  <c r="R44" i="3" s="1"/>
  <c r="AB44" i="3" s="1"/>
  <c r="D43" i="3"/>
  <c r="Q44" i="3" s="1"/>
  <c r="AE44" i="3" s="1"/>
  <c r="M42" i="3"/>
  <c r="M41" i="3"/>
  <c r="L41" i="3"/>
  <c r="AC41" i="3" s="1"/>
  <c r="M40" i="3"/>
  <c r="L40" i="3"/>
  <c r="AC40" i="3" s="1"/>
  <c r="L39" i="3"/>
  <c r="I39" i="3"/>
  <c r="M38" i="3"/>
  <c r="L38" i="3"/>
  <c r="AC38" i="3" s="1"/>
  <c r="M37" i="3"/>
  <c r="L37" i="3"/>
  <c r="AC37" i="3" s="1"/>
  <c r="M36" i="3"/>
  <c r="L36" i="3"/>
  <c r="AC36" i="3" s="1"/>
  <c r="M35" i="3"/>
  <c r="L35" i="3"/>
  <c r="AC35" i="3" s="1"/>
  <c r="L34" i="3"/>
  <c r="I34" i="3"/>
  <c r="L33" i="3"/>
  <c r="I33" i="3"/>
  <c r="L32" i="3"/>
  <c r="I32" i="3"/>
  <c r="M31" i="3"/>
  <c r="L31" i="3"/>
  <c r="AC31" i="3" s="1"/>
  <c r="L30" i="3"/>
  <c r="I30" i="3"/>
  <c r="L29" i="3"/>
  <c r="I29" i="3"/>
  <c r="M28" i="3"/>
  <c r="L28" i="3"/>
  <c r="AC28" i="3" s="1"/>
  <c r="L27" i="3"/>
  <c r="I27" i="3"/>
  <c r="L26" i="3"/>
  <c r="I26" i="3"/>
  <c r="L25" i="3"/>
  <c r="I25" i="3"/>
  <c r="M24" i="3"/>
  <c r="L24" i="3"/>
  <c r="AC24" i="3" s="1"/>
  <c r="M23" i="3"/>
  <c r="L23" i="3"/>
  <c r="AC23" i="3" s="1"/>
  <c r="L22" i="3"/>
  <c r="AC22" i="3" s="1"/>
  <c r="I22" i="3"/>
  <c r="M21" i="3"/>
  <c r="L21" i="3"/>
  <c r="AC21" i="3" s="1"/>
  <c r="L20" i="3"/>
  <c r="I20" i="3"/>
  <c r="L19" i="3"/>
  <c r="I19" i="3"/>
  <c r="L18" i="3"/>
  <c r="I18" i="3"/>
  <c r="L17" i="3"/>
  <c r="I17" i="3"/>
  <c r="L16" i="3"/>
  <c r="I16" i="3"/>
  <c r="M15" i="3"/>
  <c r="L15" i="3"/>
  <c r="L14" i="3"/>
  <c r="I14" i="3"/>
  <c r="L13" i="3"/>
  <c r="I13" i="3"/>
  <c r="L12" i="3"/>
  <c r="I12" i="3"/>
  <c r="L11" i="3"/>
  <c r="I11" i="3"/>
  <c r="L10" i="3"/>
  <c r="I10" i="3"/>
  <c r="L9" i="3"/>
  <c r="I9" i="3"/>
  <c r="M8" i="3"/>
  <c r="L8" i="3"/>
  <c r="M7" i="3"/>
  <c r="L7" i="3"/>
  <c r="L6" i="3"/>
  <c r="I6" i="3"/>
  <c r="C40" i="2" l="1"/>
  <c r="G40" i="2" s="1"/>
  <c r="AC7" i="3"/>
  <c r="H40" i="2" s="1"/>
  <c r="T40" i="2" s="1"/>
  <c r="AL40" i="2" s="1"/>
  <c r="M9" i="3"/>
  <c r="AD9" i="3"/>
  <c r="B7" i="38" s="1"/>
  <c r="Q7" i="38" s="1"/>
  <c r="C48" i="2"/>
  <c r="G48" i="2" s="1"/>
  <c r="AC15" i="3"/>
  <c r="H48" i="2" s="1"/>
  <c r="T48" i="2" s="1"/>
  <c r="AL48" i="2" s="1"/>
  <c r="M19" i="3"/>
  <c r="AD19" i="3"/>
  <c r="B17" i="38" s="1"/>
  <c r="Q17" i="38" s="1"/>
  <c r="M25" i="3"/>
  <c r="AD25" i="3"/>
  <c r="B19" i="38" s="1"/>
  <c r="Q19" i="38" s="1"/>
  <c r="M29" i="3"/>
  <c r="AD29" i="3"/>
  <c r="B22" i="38" s="1"/>
  <c r="Q22" i="38" s="1"/>
  <c r="M39" i="3"/>
  <c r="AD39" i="3"/>
  <c r="B28" i="38" s="1"/>
  <c r="Q28" i="38" s="1"/>
  <c r="C42" i="2"/>
  <c r="G42" i="2" s="1"/>
  <c r="AC9" i="3"/>
  <c r="H42" i="2" s="1"/>
  <c r="T42" i="2" s="1"/>
  <c r="AL42" i="2" s="1"/>
  <c r="C44" i="2"/>
  <c r="G44" i="2" s="1"/>
  <c r="AC11" i="3"/>
  <c r="H44" i="2" s="1"/>
  <c r="T44" i="2" s="1"/>
  <c r="AL44" i="2" s="1"/>
  <c r="C46" i="2"/>
  <c r="G46" i="2" s="1"/>
  <c r="AC13" i="3"/>
  <c r="H46" i="2" s="1"/>
  <c r="T46" i="2" s="1"/>
  <c r="AL46" i="2" s="1"/>
  <c r="C50" i="2"/>
  <c r="G50" i="2" s="1"/>
  <c r="AC17" i="3"/>
  <c r="H50" i="2" s="1"/>
  <c r="T50" i="2" s="1"/>
  <c r="AL50" i="2" s="1"/>
  <c r="C52" i="2"/>
  <c r="G52" i="2" s="1"/>
  <c r="AC19" i="3"/>
  <c r="H52" i="2" s="1"/>
  <c r="T52" i="2" s="1"/>
  <c r="AL52" i="2" s="1"/>
  <c r="C54" i="2"/>
  <c r="G54" i="2" s="1"/>
  <c r="AC25" i="3"/>
  <c r="H54" i="2" s="1"/>
  <c r="T54" i="2" s="1"/>
  <c r="AL54" i="2" s="1"/>
  <c r="C56" i="2"/>
  <c r="G56" i="2" s="1"/>
  <c r="AC27" i="3"/>
  <c r="H56" i="2" s="1"/>
  <c r="T56" i="2" s="1"/>
  <c r="AL56" i="2" s="1"/>
  <c r="C57" i="2"/>
  <c r="G57" i="2" s="1"/>
  <c r="AC29" i="3"/>
  <c r="H57" i="2" s="1"/>
  <c r="T57" i="2" s="1"/>
  <c r="AL57" i="2" s="1"/>
  <c r="C60" i="2"/>
  <c r="G60" i="2" s="1"/>
  <c r="AC33" i="3"/>
  <c r="H60" i="2" s="1"/>
  <c r="T60" i="2" s="1"/>
  <c r="AL60" i="2" s="1"/>
  <c r="C63" i="2"/>
  <c r="G63" i="2" s="1"/>
  <c r="AC39" i="3"/>
  <c r="H63" i="2" s="1"/>
  <c r="T63" i="2" s="1"/>
  <c r="AL63" i="2" s="1"/>
  <c r="M11" i="3"/>
  <c r="AD11" i="3"/>
  <c r="B9" i="38" s="1"/>
  <c r="Q9" i="38" s="1"/>
  <c r="M17" i="3"/>
  <c r="AD17" i="3"/>
  <c r="B15" i="38" s="1"/>
  <c r="Q15" i="38" s="1"/>
  <c r="C41" i="2"/>
  <c r="G41" i="2" s="1"/>
  <c r="AC8" i="3"/>
  <c r="H41" i="2" s="1"/>
  <c r="T41" i="2" s="1"/>
  <c r="AL41" i="2" s="1"/>
  <c r="M14" i="3"/>
  <c r="AD14" i="3"/>
  <c r="B12" i="38" s="1"/>
  <c r="Q12" i="38" s="1"/>
  <c r="M16" i="3"/>
  <c r="AD16" i="3"/>
  <c r="B14" i="38" s="1"/>
  <c r="Q14" i="38" s="1"/>
  <c r="M22" i="3"/>
  <c r="AD22" i="3"/>
  <c r="B5" i="38" s="1"/>
  <c r="Q5" i="38" s="1"/>
  <c r="M26" i="3"/>
  <c r="AD26" i="3"/>
  <c r="B20" i="38" s="1"/>
  <c r="Q20" i="38" s="1"/>
  <c r="M32" i="3"/>
  <c r="AD32" i="3"/>
  <c r="B24" i="38" s="1"/>
  <c r="Q24" i="38" s="1"/>
  <c r="H62" i="2"/>
  <c r="T62" i="2" s="1"/>
  <c r="AL62" i="2" s="1"/>
  <c r="M13" i="3"/>
  <c r="AD13" i="3"/>
  <c r="B11" i="38" s="1"/>
  <c r="Q11" i="38" s="1"/>
  <c r="M27" i="3"/>
  <c r="AD27" i="3"/>
  <c r="B21" i="38" s="1"/>
  <c r="Q21" i="38" s="1"/>
  <c r="M33" i="3"/>
  <c r="AD33" i="3"/>
  <c r="B25" i="38" s="1"/>
  <c r="Q25" i="38" s="1"/>
  <c r="M6" i="3"/>
  <c r="AD6" i="3"/>
  <c r="M10" i="3"/>
  <c r="AD10" i="3"/>
  <c r="B8" i="38" s="1"/>
  <c r="Q8" i="38" s="1"/>
  <c r="M12" i="3"/>
  <c r="AD12" i="3"/>
  <c r="B10" i="38" s="1"/>
  <c r="Q10" i="38" s="1"/>
  <c r="M18" i="3"/>
  <c r="AD18" i="3"/>
  <c r="B16" i="38" s="1"/>
  <c r="Q16" i="38" s="1"/>
  <c r="M20" i="3"/>
  <c r="AD20" i="3"/>
  <c r="B18" i="38" s="1"/>
  <c r="Q18" i="38" s="1"/>
  <c r="M30" i="3"/>
  <c r="AD30" i="3"/>
  <c r="B23" i="38" s="1"/>
  <c r="Q23" i="38" s="1"/>
  <c r="M34" i="3"/>
  <c r="AD34" i="3"/>
  <c r="B26" i="38" s="1"/>
  <c r="Q26" i="38" s="1"/>
  <c r="C39" i="2"/>
  <c r="G39" i="2" s="1"/>
  <c r="AC6" i="3"/>
  <c r="C43" i="2"/>
  <c r="G43" i="2" s="1"/>
  <c r="AC10" i="3"/>
  <c r="H43" i="2" s="1"/>
  <c r="T43" i="2" s="1"/>
  <c r="AL43" i="2" s="1"/>
  <c r="C45" i="2"/>
  <c r="G45" i="2" s="1"/>
  <c r="AC12" i="3"/>
  <c r="H45" i="2" s="1"/>
  <c r="T45" i="2" s="1"/>
  <c r="AL45" i="2" s="1"/>
  <c r="C47" i="2"/>
  <c r="G47" i="2" s="1"/>
  <c r="AC14" i="3"/>
  <c r="H47" i="2" s="1"/>
  <c r="T47" i="2" s="1"/>
  <c r="AL47" i="2" s="1"/>
  <c r="C49" i="2"/>
  <c r="G49" i="2" s="1"/>
  <c r="AC16" i="3"/>
  <c r="H49" i="2" s="1"/>
  <c r="T49" i="2" s="1"/>
  <c r="AL49" i="2" s="1"/>
  <c r="C51" i="2"/>
  <c r="G51" i="2" s="1"/>
  <c r="AC18" i="3"/>
  <c r="H51" i="2" s="1"/>
  <c r="T51" i="2" s="1"/>
  <c r="AL51" i="2" s="1"/>
  <c r="C53" i="2"/>
  <c r="G53" i="2" s="1"/>
  <c r="AC20" i="3"/>
  <c r="H53" i="2" s="1"/>
  <c r="T53" i="2" s="1"/>
  <c r="AL53" i="2" s="1"/>
  <c r="C55" i="2"/>
  <c r="G55" i="2" s="1"/>
  <c r="AC26" i="3"/>
  <c r="H55" i="2" s="1"/>
  <c r="T55" i="2" s="1"/>
  <c r="AL55" i="2" s="1"/>
  <c r="C58" i="2"/>
  <c r="G58" i="2" s="1"/>
  <c r="AC30" i="3"/>
  <c r="H58" i="2" s="1"/>
  <c r="T58" i="2" s="1"/>
  <c r="AL58" i="2" s="1"/>
  <c r="C59" i="2"/>
  <c r="G59" i="2" s="1"/>
  <c r="AC32" i="3"/>
  <c r="H59" i="2" s="1"/>
  <c r="T59" i="2" s="1"/>
  <c r="AL59" i="2" s="1"/>
  <c r="C61" i="2"/>
  <c r="G61" i="2" s="1"/>
  <c r="AC34" i="3"/>
  <c r="H61" i="2" s="1"/>
  <c r="T61" i="2" s="1"/>
  <c r="AL61" i="2" s="1"/>
  <c r="AP48" i="2"/>
  <c r="C62" i="2"/>
  <c r="G62" i="2" s="1"/>
  <c r="F54" i="2"/>
  <c r="O54" i="2" s="1"/>
  <c r="O17" i="2"/>
  <c r="Q17" i="2" s="1"/>
  <c r="V17" i="2" s="1"/>
  <c r="AN17" i="2" s="1"/>
  <c r="F44" i="2"/>
  <c r="O44" i="2" s="1"/>
  <c r="Q44" i="2" s="1"/>
  <c r="V44" i="2" s="1"/>
  <c r="AJ49" i="2"/>
  <c r="AJ39" i="2"/>
  <c r="AJ44" i="2"/>
  <c r="AJ47" i="2"/>
  <c r="AJ40" i="2"/>
  <c r="AJ60" i="2"/>
  <c r="AV48" i="2"/>
  <c r="AQ48" i="2"/>
  <c r="AR48" i="2"/>
  <c r="AU48" i="2"/>
  <c r="AS48" i="2"/>
  <c r="AT48" i="2"/>
  <c r="Q7" i="2"/>
  <c r="V7" i="2" s="1"/>
  <c r="AN7" i="2" s="1"/>
  <c r="Q6" i="2"/>
  <c r="V6" i="2" s="1"/>
  <c r="AN6" i="2" s="1"/>
  <c r="U5" i="2"/>
  <c r="AM5" i="2" s="1"/>
  <c r="U11" i="2"/>
  <c r="AM11" i="2" s="1"/>
  <c r="AJ42" i="2"/>
  <c r="AJ57" i="2"/>
  <c r="AJ56" i="2"/>
  <c r="AJ59" i="2"/>
  <c r="AJ45" i="2"/>
  <c r="R12" i="2"/>
  <c r="P26" i="2"/>
  <c r="U26" i="2" s="1"/>
  <c r="AM26" i="2" s="1"/>
  <c r="Q14" i="2"/>
  <c r="V14" i="2" s="1"/>
  <c r="AN14" i="2" s="1"/>
  <c r="AJ43" i="2"/>
  <c r="AJ63" i="2"/>
  <c r="AJ52" i="2"/>
  <c r="AJ54" i="2"/>
  <c r="AJ53" i="2"/>
  <c r="AJ55" i="2"/>
  <c r="AJ46" i="2"/>
  <c r="R20" i="2"/>
  <c r="P8" i="2"/>
  <c r="U8" i="2" s="1"/>
  <c r="AM8" i="2" s="1"/>
  <c r="P10" i="2"/>
  <c r="U10" i="2" s="1"/>
  <c r="AM10" i="2" s="1"/>
  <c r="P22" i="2"/>
  <c r="U22" i="2" s="1"/>
  <c r="AM22" i="2" s="1"/>
  <c r="P18" i="2"/>
  <c r="U18" i="2" s="1"/>
  <c r="AM18" i="2" s="1"/>
  <c r="Q24" i="2"/>
  <c r="V24" i="2" s="1"/>
  <c r="AN24" i="2" s="1"/>
  <c r="AJ51" i="2"/>
  <c r="AJ61" i="2"/>
  <c r="AJ41" i="2"/>
  <c r="AJ62" i="2"/>
  <c r="AJ58" i="2"/>
  <c r="AJ50" i="2"/>
  <c r="P14" i="2"/>
  <c r="U14" i="2" s="1"/>
  <c r="AM14" i="2" s="1"/>
  <c r="P28" i="2"/>
  <c r="U28" i="2" s="1"/>
  <c r="AM28" i="2" s="1"/>
  <c r="Q28" i="2"/>
  <c r="V28" i="2" s="1"/>
  <c r="AN28" i="2" s="1"/>
  <c r="R28" i="2"/>
  <c r="P24" i="2"/>
  <c r="U24" i="2" s="1"/>
  <c r="AM24" i="2" s="1"/>
  <c r="Q21" i="2"/>
  <c r="V21" i="2" s="1"/>
  <c r="AN21" i="2" s="1"/>
  <c r="R21" i="2"/>
  <c r="P21" i="2"/>
  <c r="U21" i="2" s="1"/>
  <c r="AM21" i="2" s="1"/>
  <c r="Q13" i="2"/>
  <c r="V13" i="2" s="1"/>
  <c r="AN13" i="2" s="1"/>
  <c r="R13" i="2"/>
  <c r="P13" i="2"/>
  <c r="U13" i="2" s="1"/>
  <c r="AM13" i="2" s="1"/>
  <c r="R8" i="2"/>
  <c r="P27" i="2"/>
  <c r="U27" i="2" s="1"/>
  <c r="AM27" i="2" s="1"/>
  <c r="Q27" i="2"/>
  <c r="V27" i="2" s="1"/>
  <c r="AN27" i="2" s="1"/>
  <c r="R27" i="2"/>
  <c r="P23" i="2"/>
  <c r="U23" i="2" s="1"/>
  <c r="AM23" i="2" s="1"/>
  <c r="Q23" i="2"/>
  <c r="V23" i="2" s="1"/>
  <c r="AN23" i="2" s="1"/>
  <c r="R23" i="2"/>
  <c r="Q5" i="2"/>
  <c r="V5" i="2" s="1"/>
  <c r="AN5" i="2" s="1"/>
  <c r="R10" i="2"/>
  <c r="P16" i="2"/>
  <c r="U16" i="2" s="1"/>
  <c r="AM16" i="2" s="1"/>
  <c r="Q16" i="2"/>
  <c r="V16" i="2" s="1"/>
  <c r="AN16" i="2" s="1"/>
  <c r="R16" i="2"/>
  <c r="P7" i="2"/>
  <c r="U7" i="2" s="1"/>
  <c r="AM7" i="2" s="1"/>
  <c r="R7" i="2"/>
  <c r="Q9" i="2"/>
  <c r="V9" i="2" s="1"/>
  <c r="AN9" i="2" s="1"/>
  <c r="R9" i="2"/>
  <c r="P9" i="2"/>
  <c r="U9" i="2" s="1"/>
  <c r="AM9" i="2" s="1"/>
  <c r="Q29" i="2"/>
  <c r="V29" i="2" s="1"/>
  <c r="AN29" i="2" s="1"/>
  <c r="R29" i="2"/>
  <c r="P29" i="2"/>
  <c r="U29" i="2" s="1"/>
  <c r="AM29" i="2" s="1"/>
  <c r="P19" i="2"/>
  <c r="U19" i="2" s="1"/>
  <c r="AM19" i="2" s="1"/>
  <c r="Q19" i="2"/>
  <c r="V19" i="2" s="1"/>
  <c r="AN19" i="2" s="1"/>
  <c r="R19" i="2"/>
  <c r="P15" i="2"/>
  <c r="U15" i="2" s="1"/>
  <c r="AM15" i="2" s="1"/>
  <c r="Q15" i="2"/>
  <c r="V15" i="2" s="1"/>
  <c r="AN15" i="2" s="1"/>
  <c r="R15" i="2"/>
  <c r="Q25" i="2"/>
  <c r="V25" i="2" s="1"/>
  <c r="AN25" i="2" s="1"/>
  <c r="R25" i="2"/>
  <c r="P25" i="2"/>
  <c r="U25" i="2" s="1"/>
  <c r="AM25" i="2" s="1"/>
  <c r="L43" i="3"/>
  <c r="Y44" i="3" s="1"/>
  <c r="AC44" i="3" s="1"/>
  <c r="I43" i="3"/>
  <c r="V44" i="3" s="1"/>
  <c r="AD44" i="3" s="1"/>
  <c r="F40" i="2" l="1"/>
  <c r="O40" i="2" s="1"/>
  <c r="P40" i="2" s="1"/>
  <c r="F63" i="2"/>
  <c r="O63" i="2" s="1"/>
  <c r="Q63" i="2" s="1"/>
  <c r="F57" i="2"/>
  <c r="O57" i="2" s="1"/>
  <c r="F50" i="2"/>
  <c r="O50" i="2" s="1"/>
  <c r="R50" i="2" s="1"/>
  <c r="W50" i="2" s="1"/>
  <c r="AO50" i="2" s="1"/>
  <c r="F48" i="2"/>
  <c r="O48" i="2" s="1"/>
  <c r="P48" i="2" s="1"/>
  <c r="U48" i="2" s="1"/>
  <c r="AM48" i="2" s="1"/>
  <c r="BH48" i="2" s="1"/>
  <c r="F41" i="2"/>
  <c r="O41" i="2" s="1"/>
  <c r="R41" i="2" s="1"/>
  <c r="W41" i="2" s="1"/>
  <c r="AO41" i="2" s="1"/>
  <c r="F52" i="2"/>
  <c r="O52" i="2" s="1"/>
  <c r="R52" i="2" s="1"/>
  <c r="W52" i="2" s="1"/>
  <c r="AO52" i="2" s="1"/>
  <c r="AN44" i="2"/>
  <c r="AV60" i="2"/>
  <c r="F46" i="2"/>
  <c r="O46" i="2" s="1"/>
  <c r="R46" i="2" s="1"/>
  <c r="W46" i="2" s="1"/>
  <c r="AO46" i="2" s="1"/>
  <c r="F60" i="2"/>
  <c r="O60" i="2" s="1"/>
  <c r="R60" i="2" s="1"/>
  <c r="W60" i="2" s="1"/>
  <c r="AO60" i="2" s="1"/>
  <c r="F56" i="2"/>
  <c r="O56" i="2" s="1"/>
  <c r="P56" i="2" s="1"/>
  <c r="U56" i="2" s="1"/>
  <c r="AM56" i="2" s="1"/>
  <c r="BH56" i="2" s="1"/>
  <c r="P44" i="2"/>
  <c r="U44" i="2" s="1"/>
  <c r="AM44" i="2" s="1"/>
  <c r="BH44" i="2" s="1"/>
  <c r="F47" i="2"/>
  <c r="O47" i="2" s="1"/>
  <c r="Q47" i="2" s="1"/>
  <c r="AT39" i="2"/>
  <c r="AR60" i="2"/>
  <c r="R44" i="2"/>
  <c r="W44" i="2" s="1"/>
  <c r="AO44" i="2" s="1"/>
  <c r="AS47" i="2"/>
  <c r="AR44" i="2"/>
  <c r="F55" i="2"/>
  <c r="O55" i="2" s="1"/>
  <c r="P55" i="2" s="1"/>
  <c r="U55" i="2" s="1"/>
  <c r="AM55" i="2" s="1"/>
  <c r="BH55" i="2" s="1"/>
  <c r="P63" i="2"/>
  <c r="U63" i="2" s="1"/>
  <c r="AM63" i="2" s="1"/>
  <c r="BH63" i="2" s="1"/>
  <c r="M43" i="3"/>
  <c r="Z44" i="3" s="1"/>
  <c r="AV39" i="2"/>
  <c r="F58" i="2"/>
  <c r="O58" i="2" s="1"/>
  <c r="R58" i="2" s="1"/>
  <c r="W58" i="2" s="1"/>
  <c r="AO58" i="2" s="1"/>
  <c r="F51" i="2"/>
  <c r="O51" i="2" s="1"/>
  <c r="F61" i="2"/>
  <c r="O61" i="2" s="1"/>
  <c r="P61" i="2" s="1"/>
  <c r="U61" i="2" s="1"/>
  <c r="AM61" i="2" s="1"/>
  <c r="BH61" i="2" s="1"/>
  <c r="F59" i="2"/>
  <c r="O59" i="2" s="1"/>
  <c r="AD43" i="3"/>
  <c r="B4" i="38"/>
  <c r="Q4" i="38" s="1"/>
  <c r="F45" i="2"/>
  <c r="O45" i="2" s="1"/>
  <c r="Q45" i="2" s="1"/>
  <c r="V45" i="2" s="1"/>
  <c r="AN45" i="2" s="1"/>
  <c r="F53" i="2"/>
  <c r="O53" i="2" s="1"/>
  <c r="R53" i="2" s="1"/>
  <c r="W53" i="2" s="1"/>
  <c r="AO53" i="2" s="1"/>
  <c r="Q40" i="2"/>
  <c r="V40" i="2" s="1"/>
  <c r="AN40" i="2" s="1"/>
  <c r="F49" i="2"/>
  <c r="O49" i="2" s="1"/>
  <c r="P49" i="2" s="1"/>
  <c r="U49" i="2" s="1"/>
  <c r="AM49" i="2" s="1"/>
  <c r="BH49" i="2" s="1"/>
  <c r="F39" i="2"/>
  <c r="O39" i="2" s="1"/>
  <c r="AC43" i="3"/>
  <c r="H39" i="2"/>
  <c r="T39" i="2" s="1"/>
  <c r="AL39" i="2" s="1"/>
  <c r="AV40" i="2"/>
  <c r="AU49" i="2"/>
  <c r="R40" i="2"/>
  <c r="W40" i="2" s="1"/>
  <c r="AO40" i="2" s="1"/>
  <c r="AT49" i="2"/>
  <c r="AV49" i="2"/>
  <c r="AP58" i="2"/>
  <c r="AP51" i="2"/>
  <c r="AP46" i="2"/>
  <c r="AP52" i="2"/>
  <c r="AP59" i="2"/>
  <c r="AP40" i="2"/>
  <c r="AP49" i="2"/>
  <c r="AP62" i="2"/>
  <c r="AP55" i="2"/>
  <c r="AP63" i="2"/>
  <c r="AS49" i="2"/>
  <c r="AR49" i="2"/>
  <c r="AP56" i="2"/>
  <c r="AQ40" i="2"/>
  <c r="AV47" i="2"/>
  <c r="AP47" i="2"/>
  <c r="AP41" i="2"/>
  <c r="AP53" i="2"/>
  <c r="AP43" i="2"/>
  <c r="AP57" i="2"/>
  <c r="AS40" i="2"/>
  <c r="AU40" i="2"/>
  <c r="AU44" i="2"/>
  <c r="AP44" i="2"/>
  <c r="AP50" i="2"/>
  <c r="AP61" i="2"/>
  <c r="AP54" i="2"/>
  <c r="AQ49" i="2"/>
  <c r="AP45" i="2"/>
  <c r="AP42" i="2"/>
  <c r="AT40" i="2"/>
  <c r="AR40" i="2"/>
  <c r="AS60" i="2"/>
  <c r="AP60" i="2"/>
  <c r="AR39" i="2"/>
  <c r="AT44" i="2"/>
  <c r="AQ44" i="2"/>
  <c r="R63" i="2"/>
  <c r="W63" i="2" s="1"/>
  <c r="AO63" i="2" s="1"/>
  <c r="AS44" i="2"/>
  <c r="AV44" i="2"/>
  <c r="C65" i="2"/>
  <c r="G65" i="2" s="1"/>
  <c r="F62" i="2"/>
  <c r="O62" i="2" s="1"/>
  <c r="Q62" i="2" s="1"/>
  <c r="V62" i="2" s="1"/>
  <c r="AN62" i="2" s="1"/>
  <c r="Q48" i="2"/>
  <c r="V48" i="2" s="1"/>
  <c r="AN48" i="2" s="1"/>
  <c r="AU60" i="2"/>
  <c r="AS39" i="2"/>
  <c r="AQ39" i="2"/>
  <c r="P17" i="2"/>
  <c r="U17" i="2" s="1"/>
  <c r="AM17" i="2" s="1"/>
  <c r="R17" i="2"/>
  <c r="W17" i="2" s="1"/>
  <c r="AO17" i="2" s="1"/>
  <c r="R48" i="2"/>
  <c r="W48" i="2" s="1"/>
  <c r="AO48" i="2" s="1"/>
  <c r="AT60" i="2"/>
  <c r="AQ60" i="2"/>
  <c r="AP39" i="2"/>
  <c r="AU39" i="2"/>
  <c r="W7" i="2"/>
  <c r="AO7" i="2" s="1"/>
  <c r="W10" i="2"/>
  <c r="AO10" i="2" s="1"/>
  <c r="W8" i="2"/>
  <c r="AO8" i="2" s="1"/>
  <c r="W27" i="2"/>
  <c r="AO27" i="2" s="1"/>
  <c r="W15" i="2"/>
  <c r="AO15" i="2" s="1"/>
  <c r="W21" i="2"/>
  <c r="AO21" i="2" s="1"/>
  <c r="W12" i="2"/>
  <c r="AO12" i="2" s="1"/>
  <c r="W25" i="2"/>
  <c r="AO25" i="2" s="1"/>
  <c r="W9" i="2"/>
  <c r="AO9" i="2" s="1"/>
  <c r="W16" i="2"/>
  <c r="AO16" i="2" s="1"/>
  <c r="W19" i="2"/>
  <c r="AO19" i="2" s="1"/>
  <c r="W29" i="2"/>
  <c r="AO29" i="2" s="1"/>
  <c r="W23" i="2"/>
  <c r="AO23" i="2" s="1"/>
  <c r="W13" i="2"/>
  <c r="AO13" i="2" s="1"/>
  <c r="W28" i="2"/>
  <c r="AO28" i="2" s="1"/>
  <c r="W20" i="2"/>
  <c r="AO20" i="2" s="1"/>
  <c r="R5" i="2"/>
  <c r="AQ47" i="2"/>
  <c r="P6" i="2"/>
  <c r="U6" i="2" s="1"/>
  <c r="AM6" i="2" s="1"/>
  <c r="Q10" i="2"/>
  <c r="V10" i="2" s="1"/>
  <c r="AN10" i="2" s="1"/>
  <c r="Q26" i="2"/>
  <c r="V26" i="2" s="1"/>
  <c r="AN26" i="2" s="1"/>
  <c r="Q20" i="2"/>
  <c r="V20" i="2" s="1"/>
  <c r="AN20" i="2" s="1"/>
  <c r="P20" i="2"/>
  <c r="U20" i="2" s="1"/>
  <c r="AM20" i="2" s="1"/>
  <c r="Q18" i="2"/>
  <c r="V18" i="2" s="1"/>
  <c r="AN18" i="2" s="1"/>
  <c r="R26" i="2"/>
  <c r="R18" i="2"/>
  <c r="R6" i="2"/>
  <c r="Q12" i="2"/>
  <c r="V12" i="2" s="1"/>
  <c r="AN12" i="2" s="1"/>
  <c r="Q11" i="2"/>
  <c r="V11" i="2" s="1"/>
  <c r="AN11" i="2" s="1"/>
  <c r="AU47" i="2"/>
  <c r="AR47" i="2"/>
  <c r="AT47" i="2"/>
  <c r="R22" i="2"/>
  <c r="AU41" i="2"/>
  <c r="AV41" i="2"/>
  <c r="AQ41" i="2"/>
  <c r="AR41" i="2"/>
  <c r="AS41" i="2"/>
  <c r="AT41" i="2"/>
  <c r="AR55" i="2"/>
  <c r="AQ55" i="2"/>
  <c r="AS55" i="2"/>
  <c r="AU55" i="2"/>
  <c r="AV55" i="2"/>
  <c r="AT55" i="2"/>
  <c r="AV63" i="2"/>
  <c r="AQ63" i="2"/>
  <c r="AR63" i="2"/>
  <c r="AS63" i="2"/>
  <c r="AU63" i="2"/>
  <c r="AT63" i="2"/>
  <c r="AR56" i="2"/>
  <c r="AU56" i="2"/>
  <c r="AQ56" i="2"/>
  <c r="AV56" i="2"/>
  <c r="AS56" i="2"/>
  <c r="AT56" i="2"/>
  <c r="P12" i="2"/>
  <c r="U12" i="2" s="1"/>
  <c r="AM12" i="2" s="1"/>
  <c r="Q8" i="2"/>
  <c r="V8" i="2" s="1"/>
  <c r="AN8" i="2" s="1"/>
  <c r="R24" i="2"/>
  <c r="R14" i="2"/>
  <c r="AR50" i="2"/>
  <c r="AV50" i="2"/>
  <c r="AS50" i="2"/>
  <c r="AT50" i="2"/>
  <c r="AU50" i="2"/>
  <c r="AQ50" i="2"/>
  <c r="AR61" i="2"/>
  <c r="AS61" i="2"/>
  <c r="AU61" i="2"/>
  <c r="AQ61" i="2"/>
  <c r="AV61" i="2"/>
  <c r="AT61" i="2"/>
  <c r="Q57" i="2"/>
  <c r="V57" i="2" s="1"/>
  <c r="AN57" i="2" s="1"/>
  <c r="P57" i="2"/>
  <c r="U57" i="2" s="1"/>
  <c r="AM57" i="2" s="1"/>
  <c r="BH57" i="2" s="1"/>
  <c r="R57" i="2"/>
  <c r="W57" i="2" s="1"/>
  <c r="AO57" i="2" s="1"/>
  <c r="AR53" i="2"/>
  <c r="AU53" i="2"/>
  <c r="AV53" i="2"/>
  <c r="AQ53" i="2"/>
  <c r="AT53" i="2"/>
  <c r="AS53" i="2"/>
  <c r="AS43" i="2"/>
  <c r="AQ43" i="2"/>
  <c r="AU43" i="2"/>
  <c r="AV43" i="2"/>
  <c r="AR43" i="2"/>
  <c r="AT43" i="2"/>
  <c r="U40" i="2"/>
  <c r="AM40" i="2" s="1"/>
  <c r="BH40" i="2" s="1"/>
  <c r="AS57" i="2"/>
  <c r="AU57" i="2"/>
  <c r="AV57" i="2"/>
  <c r="AQ57" i="2"/>
  <c r="AR57" i="2"/>
  <c r="AT57" i="2"/>
  <c r="V47" i="2"/>
  <c r="AN47" i="2" s="1"/>
  <c r="Q22" i="2"/>
  <c r="V22" i="2" s="1"/>
  <c r="AN22" i="2" s="1"/>
  <c r="AS58" i="2"/>
  <c r="AT58" i="2"/>
  <c r="AU58" i="2"/>
  <c r="AQ58" i="2"/>
  <c r="AR58" i="2"/>
  <c r="AV58" i="2"/>
  <c r="AV51" i="2"/>
  <c r="AQ51" i="2"/>
  <c r="AR51" i="2"/>
  <c r="AS51" i="2"/>
  <c r="AU51" i="2"/>
  <c r="AT51" i="2"/>
  <c r="AS54" i="2"/>
  <c r="AT54" i="2"/>
  <c r="AU54" i="2"/>
  <c r="AR54" i="2"/>
  <c r="AQ54" i="2"/>
  <c r="AV54" i="2"/>
  <c r="AV45" i="2"/>
  <c r="AR45" i="2"/>
  <c r="AQ45" i="2"/>
  <c r="AU45" i="2"/>
  <c r="AS45" i="2"/>
  <c r="AT45" i="2"/>
  <c r="AT42" i="2"/>
  <c r="AU42" i="2"/>
  <c r="AR42" i="2"/>
  <c r="AV42" i="2"/>
  <c r="AQ42" i="2"/>
  <c r="AS42" i="2"/>
  <c r="P46" i="2"/>
  <c r="U46" i="2" s="1"/>
  <c r="AM46" i="2" s="1"/>
  <c r="BH46" i="2" s="1"/>
  <c r="Q46" i="2"/>
  <c r="V46" i="2" s="1"/>
  <c r="AN46" i="2" s="1"/>
  <c r="V63" i="2"/>
  <c r="AN63" i="2" s="1"/>
  <c r="R11" i="2"/>
  <c r="AR62" i="2"/>
  <c r="AV62" i="2"/>
  <c r="AS62" i="2"/>
  <c r="AT62" i="2"/>
  <c r="AQ62" i="2"/>
  <c r="AU62" i="2"/>
  <c r="P54" i="2"/>
  <c r="U54" i="2" s="1"/>
  <c r="AM54" i="2" s="1"/>
  <c r="BH54" i="2" s="1"/>
  <c r="Q54" i="2"/>
  <c r="V54" i="2" s="1"/>
  <c r="AN54" i="2" s="1"/>
  <c r="R54" i="2"/>
  <c r="W54" i="2" s="1"/>
  <c r="AO54" i="2" s="1"/>
  <c r="AU46" i="2"/>
  <c r="AR46" i="2"/>
  <c r="AV46" i="2"/>
  <c r="AS46" i="2"/>
  <c r="AQ46" i="2"/>
  <c r="AT46" i="2"/>
  <c r="AR52" i="2"/>
  <c r="AQ52" i="2"/>
  <c r="AU52" i="2"/>
  <c r="AV52" i="2"/>
  <c r="AS52" i="2"/>
  <c r="AT52" i="2"/>
  <c r="P64" i="2"/>
  <c r="Q64" i="2"/>
  <c r="AR59" i="2"/>
  <c r="AQ59" i="2"/>
  <c r="AS59" i="2"/>
  <c r="AU59" i="2"/>
  <c r="AV59" i="2"/>
  <c r="AT59" i="2"/>
  <c r="T26" i="1"/>
  <c r="T28" i="1" s="1"/>
  <c r="U27" i="1"/>
  <c r="R27" i="1"/>
  <c r="U19" i="1"/>
  <c r="R9" i="1"/>
  <c r="U15" i="1"/>
  <c r="R15" i="1"/>
  <c r="Q20" i="1"/>
  <c r="D43" i="2" s="1"/>
  <c r="Q22" i="1"/>
  <c r="D42" i="2" s="1"/>
  <c r="V28" i="1"/>
  <c r="S28" i="1"/>
  <c r="U23" i="1"/>
  <c r="U10" i="1"/>
  <c r="U25" i="1"/>
  <c r="U24" i="1"/>
  <c r="U22" i="1"/>
  <c r="U21" i="1"/>
  <c r="U20" i="1"/>
  <c r="U18" i="1"/>
  <c r="U17" i="1"/>
  <c r="U16" i="1"/>
  <c r="U14" i="1"/>
  <c r="U13" i="1"/>
  <c r="U12" i="1"/>
  <c r="U11" i="1"/>
  <c r="U9" i="1"/>
  <c r="U8" i="1"/>
  <c r="U7" i="1"/>
  <c r="U6" i="1"/>
  <c r="R7" i="1"/>
  <c r="R8" i="1"/>
  <c r="R10" i="1"/>
  <c r="R11" i="1"/>
  <c r="R12" i="1"/>
  <c r="R13" i="1"/>
  <c r="R14" i="1"/>
  <c r="R16" i="1"/>
  <c r="R17" i="1"/>
  <c r="R18" i="1"/>
  <c r="R19" i="1"/>
  <c r="R21" i="1"/>
  <c r="R23" i="1"/>
  <c r="R24" i="1"/>
  <c r="R25" i="1"/>
  <c r="P7" i="1"/>
  <c r="P8" i="1"/>
  <c r="P9" i="1"/>
  <c r="P10" i="1"/>
  <c r="P11" i="1"/>
  <c r="P12" i="1"/>
  <c r="P13" i="1"/>
  <c r="P14" i="1"/>
  <c r="P15" i="1"/>
  <c r="P16" i="1"/>
  <c r="P17" i="1"/>
  <c r="P18" i="1"/>
  <c r="P19" i="1"/>
  <c r="P20" i="1"/>
  <c r="P21" i="1"/>
  <c r="P22" i="1"/>
  <c r="P23" i="1"/>
  <c r="P24" i="1"/>
  <c r="P26" i="1"/>
  <c r="P6" i="1"/>
  <c r="Q50" i="2" l="1"/>
  <c r="V50" i="2" s="1"/>
  <c r="AN50" i="2" s="1"/>
  <c r="P50" i="2"/>
  <c r="U50" i="2" s="1"/>
  <c r="AM50" i="2" s="1"/>
  <c r="BH50" i="2" s="1"/>
  <c r="Q52" i="2"/>
  <c r="V52" i="2" s="1"/>
  <c r="AN52" i="2" s="1"/>
  <c r="P60" i="2"/>
  <c r="U60" i="2" s="1"/>
  <c r="AM60" i="2" s="1"/>
  <c r="BH60" i="2" s="1"/>
  <c r="P52" i="2"/>
  <c r="U52" i="2" s="1"/>
  <c r="AM52" i="2" s="1"/>
  <c r="BH52" i="2" s="1"/>
  <c r="Q49" i="2"/>
  <c r="V49" i="2" s="1"/>
  <c r="AN49" i="2" s="1"/>
  <c r="P41" i="2"/>
  <c r="U41" i="2" s="1"/>
  <c r="AM41" i="2" s="1"/>
  <c r="BH41" i="2" s="1"/>
  <c r="Q56" i="2"/>
  <c r="V56" i="2" s="1"/>
  <c r="AN56" i="2" s="1"/>
  <c r="Q41" i="2"/>
  <c r="V41" i="2" s="1"/>
  <c r="AN41" i="2" s="1"/>
  <c r="R56" i="2"/>
  <c r="W56" i="2" s="1"/>
  <c r="AO56" i="2" s="1"/>
  <c r="Q60" i="2"/>
  <c r="V60" i="2" s="1"/>
  <c r="AN60" i="2" s="1"/>
  <c r="R61" i="2"/>
  <c r="W61" i="2" s="1"/>
  <c r="AO61" i="2" s="1"/>
  <c r="P47" i="2"/>
  <c r="U47" i="2" s="1"/>
  <c r="AM47" i="2" s="1"/>
  <c r="BH47" i="2" s="1"/>
  <c r="R49" i="2"/>
  <c r="W49" i="2" s="1"/>
  <c r="AO49" i="2" s="1"/>
  <c r="R47" i="2"/>
  <c r="W47" i="2" s="1"/>
  <c r="AO47" i="2" s="1"/>
  <c r="R55" i="2"/>
  <c r="W55" i="2" s="1"/>
  <c r="AO55" i="2" s="1"/>
  <c r="Q61" i="2"/>
  <c r="V61" i="2" s="1"/>
  <c r="AN61" i="2" s="1"/>
  <c r="P45" i="2"/>
  <c r="U45" i="2" s="1"/>
  <c r="AM45" i="2" s="1"/>
  <c r="BH45" i="2" s="1"/>
  <c r="Q55" i="2"/>
  <c r="V55" i="2" s="1"/>
  <c r="AN55" i="2" s="1"/>
  <c r="U30" i="2"/>
  <c r="T64" i="2"/>
  <c r="V30" i="2"/>
  <c r="R45" i="2"/>
  <c r="W45" i="2" s="1"/>
  <c r="AO45" i="2" s="1"/>
  <c r="P53" i="2"/>
  <c r="U53" i="2" s="1"/>
  <c r="AM53" i="2" s="1"/>
  <c r="BH53" i="2" s="1"/>
  <c r="P58" i="2"/>
  <c r="U58" i="2" s="1"/>
  <c r="AM58" i="2" s="1"/>
  <c r="BH58" i="2" s="1"/>
  <c r="Q58" i="2"/>
  <c r="V58" i="2" s="1"/>
  <c r="AN58" i="2" s="1"/>
  <c r="P62" i="2"/>
  <c r="U62" i="2" s="1"/>
  <c r="AM62" i="2" s="1"/>
  <c r="BH62" i="2" s="1"/>
  <c r="R59" i="2"/>
  <c r="W59" i="2" s="1"/>
  <c r="AO59" i="2" s="1"/>
  <c r="Q59" i="2"/>
  <c r="V59" i="2" s="1"/>
  <c r="AN59" i="2" s="1"/>
  <c r="Q53" i="2"/>
  <c r="V53" i="2" s="1"/>
  <c r="AN53" i="2" s="1"/>
  <c r="R51" i="2"/>
  <c r="W51" i="2" s="1"/>
  <c r="AO51" i="2" s="1"/>
  <c r="P51" i="2"/>
  <c r="U51" i="2" s="1"/>
  <c r="AM51" i="2" s="1"/>
  <c r="BH51" i="2" s="1"/>
  <c r="Q51" i="2"/>
  <c r="V51" i="2" s="1"/>
  <c r="AN51" i="2" s="1"/>
  <c r="P59" i="2"/>
  <c r="U59" i="2" s="1"/>
  <c r="AM59" i="2" s="1"/>
  <c r="BH59" i="2" s="1"/>
  <c r="R62" i="2"/>
  <c r="W62" i="2" s="1"/>
  <c r="AO62" i="2" s="1"/>
  <c r="R39" i="2"/>
  <c r="W39" i="2" s="1"/>
  <c r="AO39" i="2" s="1"/>
  <c r="Q39" i="2"/>
  <c r="V39" i="2" s="1"/>
  <c r="AN39" i="2" s="1"/>
  <c r="P39" i="2"/>
  <c r="U39" i="2" s="1"/>
  <c r="AM39" i="2" s="1"/>
  <c r="BH39" i="2" s="1"/>
  <c r="W22" i="2"/>
  <c r="AO22" i="2" s="1"/>
  <c r="W18" i="2"/>
  <c r="AO18" i="2" s="1"/>
  <c r="W14" i="2"/>
  <c r="AO14" i="2" s="1"/>
  <c r="W26" i="2"/>
  <c r="AO26" i="2" s="1"/>
  <c r="W24" i="2"/>
  <c r="AO24" i="2" s="1"/>
  <c r="W6" i="2"/>
  <c r="AO6" i="2" s="1"/>
  <c r="W5" i="2"/>
  <c r="AO5" i="2" s="1"/>
  <c r="W11" i="2"/>
  <c r="AO11" i="2" s="1"/>
  <c r="R22" i="1"/>
  <c r="Q26" i="1"/>
  <c r="Q28" i="1" s="1"/>
  <c r="R20" i="1"/>
  <c r="F42" i="2"/>
  <c r="O42" i="2" s="1"/>
  <c r="D65" i="2"/>
  <c r="F43" i="2"/>
  <c r="O43" i="2" s="1"/>
  <c r="O7" i="1"/>
  <c r="O8" i="1"/>
  <c r="O9" i="1"/>
  <c r="O10" i="1"/>
  <c r="O11" i="1"/>
  <c r="O12" i="1"/>
  <c r="O13" i="1"/>
  <c r="O14" i="1"/>
  <c r="O15" i="1"/>
  <c r="O16" i="1"/>
  <c r="O17" i="1"/>
  <c r="O18" i="1"/>
  <c r="O19" i="1"/>
  <c r="O20" i="1"/>
  <c r="O21" i="1"/>
  <c r="O22" i="1"/>
  <c r="O23" i="1"/>
  <c r="O24" i="1"/>
  <c r="O27" i="1"/>
  <c r="N26" i="1"/>
  <c r="N28" i="1" s="1"/>
  <c r="L27" i="1"/>
  <c r="L10" i="1"/>
  <c r="L11" i="1"/>
  <c r="L12" i="1"/>
  <c r="L13" i="1"/>
  <c r="L14" i="1"/>
  <c r="L15" i="1"/>
  <c r="L16" i="1"/>
  <c r="L17" i="1"/>
  <c r="L18" i="1"/>
  <c r="L19" i="1"/>
  <c r="L20" i="1"/>
  <c r="L21" i="1"/>
  <c r="L22" i="1"/>
  <c r="L23" i="1"/>
  <c r="L24" i="1"/>
  <c r="J26" i="1"/>
  <c r="M26" i="1"/>
  <c r="K26" i="1"/>
  <c r="O6" i="1"/>
  <c r="L7" i="1"/>
  <c r="L8" i="1"/>
  <c r="L9" i="1"/>
  <c r="L6" i="1"/>
  <c r="F20" i="33" l="1"/>
  <c r="W30" i="2"/>
  <c r="AO30" i="2" s="1"/>
  <c r="R26" i="1"/>
  <c r="C53" i="1"/>
  <c r="K28" i="1"/>
  <c r="D30" i="2" s="1"/>
  <c r="D53" i="1"/>
  <c r="M28" i="1"/>
  <c r="U26" i="1"/>
  <c r="J28" i="1"/>
  <c r="F65" i="2"/>
  <c r="F67" i="2" s="1"/>
  <c r="L26" i="1"/>
  <c r="L28" i="1" s="1"/>
  <c r="O26" i="1"/>
  <c r="O28" i="1" s="1"/>
  <c r="P43" i="2" l="1"/>
  <c r="U43" i="2" s="1"/>
  <c r="AM43" i="2" s="1"/>
  <c r="BH43" i="2" s="1"/>
  <c r="Q43" i="2"/>
  <c r="V43" i="2" s="1"/>
  <c r="AN43" i="2" s="1"/>
  <c r="R43" i="2"/>
  <c r="W43" i="2" s="1"/>
  <c r="AO43" i="2" s="1"/>
  <c r="P42" i="2"/>
  <c r="U42" i="2" s="1"/>
  <c r="AM42" i="2" s="1"/>
  <c r="BH42" i="2" s="1"/>
  <c r="Q42" i="2"/>
  <c r="V42" i="2" s="1"/>
  <c r="AN42" i="2" s="1"/>
  <c r="R42" i="2"/>
  <c r="W42" i="2" s="1"/>
  <c r="AO42" i="2" s="1"/>
  <c r="G31" i="2"/>
  <c r="D31" i="2"/>
  <c r="F30" i="2"/>
  <c r="O30" i="2" s="1"/>
  <c r="V64" i="2" l="1"/>
  <c r="AN64" i="2" s="1"/>
  <c r="W64" i="2"/>
  <c r="AO64" i="2" s="1"/>
  <c r="U64" i="2"/>
  <c r="F19" i="33" s="1"/>
  <c r="F21" i="33" s="1"/>
  <c r="F24" i="33" s="1"/>
  <c r="G24" i="33" s="1"/>
  <c r="Q30" i="2"/>
  <c r="F31" i="2"/>
  <c r="P30" i="2" l="1"/>
  <c r="R30" i="2"/>
  <c r="F33" i="2"/>
</calcChain>
</file>

<file path=xl/comments1.xml><?xml version="1.0" encoding="utf-8"?>
<comments xmlns="http://schemas.openxmlformats.org/spreadsheetml/2006/main">
  <authors>
    <author>Narendra Pai</author>
  </authors>
  <commentList>
    <comment ref="G28" authorId="0" shapeId="0">
      <text>
        <r>
          <rPr>
            <sz val="9"/>
            <color indexed="81"/>
            <rFont val="Tahoma"/>
            <family val="2"/>
          </rPr>
          <t xml:space="preserve">
h. Location for 9,285 MW of pipeline projects under
inter-state transmission tenders is not available.</t>
        </r>
      </text>
    </comment>
    <comment ref="T28" authorId="0" shapeId="0">
      <text>
        <r>
          <rPr>
            <sz val="9"/>
            <color indexed="81"/>
            <rFont val="Tahoma"/>
            <family val="2"/>
          </rPr>
          <t xml:space="preserve">
2. Location data is not available for 7,262 MW</t>
        </r>
      </text>
    </comment>
  </commentList>
</comments>
</file>

<file path=xl/comments2.xml><?xml version="1.0" encoding="utf-8"?>
<comments xmlns="http://schemas.openxmlformats.org/spreadsheetml/2006/main">
  <authors>
    <author>Narendra Pai</author>
  </authors>
  <commentList>
    <comment ref="L3" authorId="0" shapeId="0">
      <text>
        <r>
          <rPr>
            <sz val="9"/>
            <color indexed="81"/>
            <rFont val="Tahoma"/>
            <family val="2"/>
          </rPr>
          <t xml:space="preserve">
The document is a status as on August 2020. We anticipate further delays due to subsequent Covid19 effects. 
Therefore, we have assumed 1 year delay from the stated/revised CoD
For the projects that are slated to be up in FY20, FY21 and still have not completed Financial closure and subsequent steps, we are pushing by yet another FY as it is unlikely to come up. The ones highlighted in yellow are those instances. 
</t>
        </r>
      </text>
    </comment>
  </commentList>
</comments>
</file>

<file path=xl/comments3.xml><?xml version="1.0" encoding="utf-8"?>
<comments xmlns="http://schemas.openxmlformats.org/spreadsheetml/2006/main">
  <authors>
    <author>Narendra Pai</author>
  </authors>
  <commentList>
    <comment ref="M3" authorId="0" shapeId="0">
      <text>
        <r>
          <rPr>
            <sz val="9"/>
            <color indexed="81"/>
            <rFont val="Tahoma"/>
            <family val="2"/>
          </rPr>
          <t xml:space="preserve">
The document is a status as on August 2020. We anticipate further delays due to subsequent Covid19 effects. 
Therefore, we have assumed 1 year delay from the stated/revised CoD
For the projects that are slated to be up in FY20, FY21 and still have not completed Financial closure and subsequent steps, we are pushing by yet another FY as it is unlikely to come up. The ones highlighted in yellow are those instances.
</t>
        </r>
      </text>
    </comment>
  </commentList>
</comments>
</file>

<file path=xl/comments4.xml><?xml version="1.0" encoding="utf-8"?>
<comments xmlns="http://schemas.openxmlformats.org/spreadsheetml/2006/main">
  <authors>
    <author>AS</author>
  </authors>
  <commentList>
    <comment ref="G129" authorId="0" shapeId="0">
      <text>
        <r>
          <rPr>
            <sz val="11"/>
            <color rgb="FF000000"/>
            <rFont val="Calibri"/>
            <family val="2"/>
            <charset val="1"/>
          </rPr>
          <t xml:space="preserve">
</t>
        </r>
        <r>
          <rPr>
            <sz val="9"/>
            <color rgb="FF000000"/>
            <rFont val="Tahoma"/>
            <family val="2"/>
          </rPr>
          <t>MENTIONED IN BSM BUT NO DETAILS RECORDED EXCEPT EXPENDITURE IN FY19 (16 CR)</t>
        </r>
      </text>
    </comment>
  </commentList>
</comments>
</file>

<file path=xl/comments5.xml><?xml version="1.0" encoding="utf-8"?>
<comments xmlns="http://schemas.openxmlformats.org/spreadsheetml/2006/main">
  <authors>
    <author>ADMIN</author>
  </authors>
  <commentList>
    <comment ref="L88" authorId="0" shapeId="0">
      <text>
        <r>
          <rPr>
            <sz val="9"/>
            <color indexed="81"/>
            <rFont val="Tahoma"/>
            <family val="2"/>
          </rPr>
          <t xml:space="preserve">
Taken 100% share of Nimmo Bazdo (3*15) in J&amp;K</t>
        </r>
      </text>
    </comment>
    <comment ref="L96" authorId="0" shapeId="0">
      <text>
        <r>
          <rPr>
            <sz val="9"/>
            <color indexed="81"/>
            <rFont val="Tahoma"/>
            <family val="2"/>
          </rPr>
          <t xml:space="preserve">
Diff due to rounding off</t>
        </r>
      </text>
    </comment>
    <comment ref="L104" authorId="0" shapeId="0">
      <text>
        <r>
          <rPr>
            <sz val="9"/>
            <color indexed="81"/>
            <rFont val="Tahoma"/>
            <family val="2"/>
          </rPr>
          <t xml:space="preserve">
Diff due to rounding off</t>
        </r>
      </text>
    </comment>
    <comment ref="L108" authorId="0" shapeId="0">
      <text>
        <r>
          <rPr>
            <sz val="9"/>
            <color indexed="81"/>
            <rFont val="Tahoma"/>
            <family val="2"/>
          </rPr>
          <t xml:space="preserve">
Diff due to rounding off</t>
        </r>
      </text>
    </comment>
    <comment ref="L135" authorId="0" shapeId="0">
      <text>
        <r>
          <rPr>
            <sz val="9"/>
            <color indexed="81"/>
            <rFont val="Tahoma"/>
            <family val="2"/>
          </rPr>
          <t xml:space="preserve">
90MW out of 620MW to railways has been allocated to Gujarat
</t>
        </r>
      </text>
    </comment>
    <comment ref="L139" authorId="0" shapeId="0">
      <text>
        <r>
          <rPr>
            <sz val="9"/>
            <color indexed="81"/>
            <rFont val="Tahoma"/>
            <family val="2"/>
          </rPr>
          <t xml:space="preserve">
200MW out of 620MW to railways has been allocated to M.P.</t>
        </r>
      </text>
    </comment>
    <comment ref="L147" authorId="0" shapeId="0">
      <text>
        <r>
          <rPr>
            <sz val="9"/>
            <color indexed="81"/>
            <rFont val="Tahoma"/>
            <family val="2"/>
          </rPr>
          <t xml:space="preserve">
Diff due to allocation of 250 MW of Railway in Maharashtra; 100% of Unit 2 (660MW ) of Mauda in Maharashtra;
Error in share of Mharashtra of GM allocation of -81MW</t>
        </r>
      </text>
    </comment>
  </commentList>
</comments>
</file>

<file path=xl/comments6.xml><?xml version="1.0" encoding="utf-8"?>
<comments xmlns="http://schemas.openxmlformats.org/spreadsheetml/2006/main">
  <authors>
    <author>Author</author>
  </authors>
  <commentList>
    <comment ref="Q25" authorId="0" shapeId="0">
      <text>
        <r>
          <rPr>
            <sz val="9"/>
            <color indexed="81"/>
            <rFont val="Tahoma"/>
            <family val="2"/>
          </rPr>
          <t xml:space="preserve">
Increase by 0.35 MTPA capacity by June2021, as per note in Abridged ready reckoner Chap B, table 8 - Refineries : Installed capacity &amp; crude oil processing.</t>
        </r>
      </text>
    </comment>
    <comment ref="S27" authorId="0" shapeId="0">
      <text>
        <r>
          <rPr>
            <sz val="9"/>
            <color indexed="81"/>
            <rFont val="Tahoma"/>
            <family val="2"/>
          </rPr>
          <t xml:space="preserve">
Assumed year of completion</t>
        </r>
      </text>
    </comment>
    <comment ref="T28" authorId="0" shapeId="0">
      <text>
        <r>
          <rPr>
            <sz val="9"/>
            <color indexed="81"/>
            <rFont val="Tahoma"/>
            <family val="2"/>
          </rPr>
          <t xml:space="preserve">
Likely commissioning date - Sep 2024</t>
        </r>
      </text>
    </comment>
    <comment ref="Q30" authorId="0" shapeId="0">
      <text>
        <r>
          <rPr>
            <sz val="9"/>
            <color indexed="81"/>
            <rFont val="Tahoma"/>
            <family val="2"/>
          </rPr>
          <t xml:space="preserve">
Likely commissioining
</t>
        </r>
      </text>
    </comment>
    <comment ref="R31" authorId="0" shapeId="0">
      <text>
        <r>
          <rPr>
            <sz val="9"/>
            <color indexed="81"/>
            <rFont val="Tahoma"/>
            <family val="2"/>
          </rPr>
          <t xml:space="preserve">
Revised commissioning schedule - mid-2022</t>
        </r>
      </text>
    </comment>
    <comment ref="N33" authorId="0" shapeId="0">
      <text>
        <r>
          <rPr>
            <sz val="9"/>
            <color indexed="81"/>
            <rFont val="Tahoma"/>
            <family val="2"/>
          </rPr>
          <t xml:space="preserve">
As BPCL is being privatised, extent and schedule for this expansion is uncertain. Assumed to be completed by 2026.</t>
        </r>
      </text>
    </comment>
    <comment ref="M35" authorId="0" shapeId="0">
      <text>
        <r>
          <rPr>
            <sz val="9"/>
            <color indexed="81"/>
            <rFont val="Tahoma"/>
            <family val="2"/>
          </rPr>
          <t xml:space="preserve">
IOC &amp; CPCL JV plans to pull down existing 1.0 MMTPA unit and build brand new 9 MMTPA unit</t>
        </r>
      </text>
    </comment>
    <comment ref="T35" authorId="0" shapeId="0">
      <text>
        <r>
          <rPr>
            <sz val="9"/>
            <color indexed="81"/>
            <rFont val="Tahoma"/>
            <family val="2"/>
          </rPr>
          <t xml:space="preserve">
Likely commissioning - Jan 2025 (48 months from investment approval in 2021-22)
</t>
        </r>
      </text>
    </comment>
    <comment ref="N39" authorId="0" shapeId="0">
      <text>
        <r>
          <rPr>
            <sz val="9"/>
            <color indexed="81"/>
            <rFont val="Tahoma"/>
            <family val="2"/>
          </rPr>
          <t xml:space="preserve">
As BPCL is being privatised, extent and schedule for this expansion is uncertain. Assumed to be completed by 2031.</t>
        </r>
      </text>
    </comment>
    <comment ref="R45" authorId="0" shapeId="0">
      <text>
        <r>
          <rPr>
            <sz val="9"/>
            <color indexed="81"/>
            <rFont val="Tahoma"/>
            <family val="2"/>
          </rPr>
          <t xml:space="preserve">
Expected onstream Oct 2022</t>
        </r>
      </text>
    </comment>
    <comment ref="N46" authorId="0" shapeId="0">
      <text>
        <r>
          <rPr>
            <sz val="9"/>
            <color indexed="81"/>
            <rFont val="Tahoma"/>
            <family val="2"/>
          </rPr>
          <t xml:space="preserve">
With BPCL's privatization, ARAMCO's major stake in Reliance and continuing slowdown due to Covid, feasibility and schedule for this new refinery is uncertain.
Given the uncertainties, it is unlikely that this refinery will come up in the model years. Hence not considered for the present.</t>
        </r>
      </text>
    </comment>
    <comment ref="N48" authorId="0" shapeId="0">
      <text>
        <r>
          <rPr>
            <b/>
            <sz val="9"/>
            <color indexed="81"/>
            <rFont val="Tahoma"/>
            <family val="2"/>
          </rPr>
          <t xml:space="preserve">
</t>
        </r>
        <r>
          <rPr>
            <sz val="9"/>
            <color indexed="81"/>
            <rFont val="Tahoma"/>
            <family val="2"/>
          </rPr>
          <t>Capacity without planned new investment in West coast refinery</t>
        </r>
      </text>
    </comment>
  </commentList>
</comments>
</file>

<file path=xl/comments7.xml><?xml version="1.0" encoding="utf-8"?>
<comments xmlns="http://schemas.openxmlformats.org/spreadsheetml/2006/main">
  <authors>
    <author>Author</author>
  </authors>
  <commentList>
    <comment ref="A8" authorId="0" shapeId="0">
      <text>
        <r>
          <rPr>
            <sz val="9"/>
            <color indexed="81"/>
            <rFont val="Tahoma"/>
            <family val="2"/>
          </rPr>
          <t xml:space="preserve">
LDO - Non-automotive fuel. Considered part of Other PP</t>
        </r>
      </text>
    </comment>
  </commentList>
</comments>
</file>

<file path=xl/connections.xml><?xml version="1.0" encoding="utf-8"?>
<connections xmlns="http://schemas.openxmlformats.org/spreadsheetml/2006/main">
  <connection id="1" keepAlive="1" name="Query - ECT_CapAddBounds" description="Connection to the 'ECT_CapAddBounds' query in the workbook." type="5" refreshedVersion="6" background="1" saveData="1">
    <dbPr connection="Provider=Microsoft.Mashup.OleDb.1;Data Source=$Workbook$;Location=ECT_CapAddBounds;Extended Properties=&quot;&quot;" command="SELECT * FROM [ECT_CapAddBounds]"/>
  </connection>
  <connection id="2" keepAlive="1" name="Query - EG_BIOMASS" description="Connection to the 'EG_BIOMASS' query in the workbook." type="5" refreshedVersion="0" background="1">
    <dbPr connection="Provider=Microsoft.Mashup.OleDb.1;Data Source=$Workbook$;Location=EG_BIOMASS;Extended Properties=&quot;&quot;" command="SELECT * FROM [EG_BIOMASS]"/>
  </connection>
  <connection id="3" keepAlive="1" name="Query - EG_BIOMASS_MaxCapacity" description="Connection to the 'EG_BIOMASS_MaxCapacity' query in the workbook." type="5" refreshedVersion="0" background="1">
    <dbPr connection="Provider=Microsoft.Mashup.OleDb.1;Data Source=$Workbook$;Location=EG_BIOMASS_MaxCapacity;Extended Properties=&quot;&quot;" command="SELECT * FROM [EG_BIOMASS_MaxCapacity]"/>
  </connection>
  <connection id="4" keepAlive="1" name="Query - EG_BIOMASS_MinCapacity" description="Connection to the 'EG_BIOMASS_MinCapacity' query in the workbook." type="5" refreshedVersion="0" background="1">
    <dbPr connection="Provider=Microsoft.Mashup.OleDb.1;Data Source=$Workbook$;Location=EG_BIOMASS_MinCapacity;Extended Properties=&quot;&quot;" command="SELECT * FROM [EG_BIOMASS_MinCapacity]"/>
  </connection>
  <connection id="5" keepAlive="1" name="Query - EG_CCGT" description="Connection to the 'EG_CCGT' query in the workbook." type="5" refreshedVersion="0" background="1">
    <dbPr connection="Provider=Microsoft.Mashup.OleDb.1;Data Source=$Workbook$;Location=EG_CCGT;Extended Properties=&quot;&quot;" command="SELECT * FROM [EG_CCGT]"/>
  </connection>
  <connection id="6" keepAlive="1" name="Query - EG_CCGT_MaxCapacity" description="Connection to the 'EG_CCGT_MaxCapacity' query in the workbook." type="5" refreshedVersion="0" background="1">
    <dbPr connection="Provider=Microsoft.Mashup.OleDb.1;Data Source=$Workbook$;Location=EG_CCGT_MaxCapacity;Extended Properties=&quot;&quot;" command="SELECT * FROM [EG_CCGT_MaxCapacity]"/>
  </connection>
  <connection id="7" keepAlive="1" name="Query - EG_CCGT_MinCapacity" description="Connection to the 'EG_CCGT_MinCapacity' query in the workbook." type="5" refreshedVersion="0" background="1">
    <dbPr connection="Provider=Microsoft.Mashup.OleDb.1;Data Source=$Workbook$;Location=EG_CCGT_MinCapacity;Extended Properties=&quot;&quot;" command="SELECT * FROM [EG_CCGT_MinCapacity]"/>
  </connection>
  <connection id="8" keepAlive="1" name="Query - EG_COAL" description="Connection to the 'EG_COAL' query in the workbook." type="5" refreshedVersion="0" background="1">
    <dbPr connection="Provider=Microsoft.Mashup.OleDb.1;Data Source=$Workbook$;Location=EG_COAL;Extended Properties=&quot;&quot;" command="SELECT * FROM [EG_COAL]"/>
  </connection>
  <connection id="9" keepAlive="1" name="Query - EG_COAL_MaxCapacity" description="Connection to the 'EG_COAL_MaxCapacity' query in the workbook." type="5" refreshedVersion="0" background="1">
    <dbPr connection="Provider=Microsoft.Mashup.OleDb.1;Data Source=$Workbook$;Location=EG_COAL_MaxCapacity;Extended Properties=&quot;&quot;" command="SELECT * FROM [EG_COAL_MaxCapacity]"/>
  </connection>
  <connection id="10" keepAlive="1" name="Query - EG_COAL_MinCapacity" description="Connection to the 'EG_COAL_MinCapacity' query in the workbook." type="5" refreshedVersion="0" background="1">
    <dbPr connection="Provider=Microsoft.Mashup.OleDb.1;Data Source=$Workbook$;Location=EG_COAL_MinCapacity;Extended Properties=&quot;&quot;" command="SELECT * FROM [EG_COAL_MinCapacity]"/>
  </connection>
  <connection id="11" keepAlive="1" name="Query - EG_GW" description="Connection to the 'EG_GW' query in the workbook." type="5" refreshedVersion="0" background="1">
    <dbPr connection="Provider=Microsoft.Mashup.OleDb.1;Data Source=$Workbook$;Location=EG_GW;Extended Properties=&quot;&quot;" command="SELECT * FROM [EG_GW]"/>
  </connection>
  <connection id="12" keepAlive="1" name="Query - EG_LH" description="Connection to the 'EG_LH' query in the workbook." type="5" refreshedVersion="0" background="1">
    <dbPr connection="Provider=Microsoft.Mashup.OleDb.1;Data Source=$Workbook$;Location=EG_LH;Extended Properties=&quot;&quot;" command="SELECT * FROM [EG_LH]"/>
  </connection>
  <connection id="13" keepAlive="1" name="Query - EG_LH_MaxCapacity" description="Connection to the 'EG_LH_MaxCapacity' query in the workbook." type="5" refreshedVersion="0" background="1">
    <dbPr connection="Provider=Microsoft.Mashup.OleDb.1;Data Source=$Workbook$;Location=EG_LH_MaxCapacity;Extended Properties=&quot;&quot;" command="SELECT * FROM [EG_LH_MaxCapacity]"/>
  </connection>
  <connection id="14" keepAlive="1" name="Query - EG_LH_MinCapacity" description="Connection to the 'EG_LH_MinCapacity' query in the workbook." type="5" refreshedVersion="0" background="1">
    <dbPr connection="Provider=Microsoft.Mashup.OleDb.1;Data Source=$Workbook$;Location=EG_LH_MinCapacity;Extended Properties=&quot;&quot;" command="SELECT * FROM [EG_LH_MinCapacity]"/>
  </connection>
  <connection id="15" keepAlive="1" name="Query - EG_OCGT" description="Connection to the 'EG_OCGT' query in the workbook." type="5" refreshedVersion="0" background="1">
    <dbPr connection="Provider=Microsoft.Mashup.OleDb.1;Data Source=$Workbook$;Location=EG_OCGT;Extended Properties=&quot;&quot;" command="SELECT * FROM [EG_OCGT]"/>
  </connection>
  <connection id="16" keepAlive="1" name="Query - EG_OCGT_MaxCapacity" description="Connection to the 'EG_OCGT_MaxCapacity' query in the workbook." type="5" refreshedVersion="0" background="1">
    <dbPr connection="Provider=Microsoft.Mashup.OleDb.1;Data Source=$Workbook$;Location=EG_OCGT_MaxCapacity;Extended Properties=&quot;&quot;" command="SELECT * FROM [EG_OCGT_MaxCapacity]"/>
  </connection>
  <connection id="17" keepAlive="1" name="Query - EG_OCGT_MinCapacity" description="Connection to the 'EG_OCGT_MinCapacity' query in the workbook." type="5" refreshedVersion="0" background="1">
    <dbPr connection="Provider=Microsoft.Mashup.OleDb.1;Data Source=$Workbook$;Location=EG_OCGT_MinCapacity;Extended Properties=&quot;&quot;" command="SELECT * FROM [EG_OCGT_MinCapacity]"/>
  </connection>
  <connection id="18" keepAlive="1" name="Query - EG_PHWR" description="Connection to the 'EG_PHWR' query in the workbook." type="5" refreshedVersion="0" background="1">
    <dbPr connection="Provider=Microsoft.Mashup.OleDb.1;Data Source=$Workbook$;Location=EG_PHWR;Extended Properties=&quot;&quot;" command="SELECT * FROM [EG_PHWR]"/>
  </connection>
  <connection id="19" keepAlive="1" name="Query - EG_PHWR_MaxCapacity" description="Connection to the 'EG_PHWR_MaxCapacity' query in the workbook." type="5" refreshedVersion="0" background="1">
    <dbPr connection="Provider=Microsoft.Mashup.OleDb.1;Data Source=$Workbook$;Location=EG_PHWR_MaxCapacity;Extended Properties=&quot;&quot;" command="SELECT * FROM [EG_PHWR_MaxCapacity]"/>
  </connection>
  <connection id="20" keepAlive="1" name="Query - EG_PHWR_MinCapacity" description="Connection to the 'EG_PHWR_MinCapacity' query in the workbook." type="5" refreshedVersion="0" background="1">
    <dbPr connection="Provider=Microsoft.Mashup.OleDb.1;Data Source=$Workbook$;Location=EG_PHWR_MinCapacity;Extended Properties=&quot;&quot;" command="SELECT * FROM [EG_PHWR_MinCapacity]"/>
  </connection>
  <connection id="21" keepAlive="1" name="Query - EG_SH" description="Connection to the 'EG_SH' query in the workbook." type="5" refreshedVersion="0" background="1">
    <dbPr connection="Provider=Microsoft.Mashup.OleDb.1;Data Source=$Workbook$;Location=EG_SH;Extended Properties=&quot;&quot;" command="SELECT * FROM [EG_SH]"/>
  </connection>
  <connection id="22" keepAlive="1" name="Query - EG_SH_MaxCapacity" description="Connection to the 'EG_SH_MaxCapacity' query in the workbook." type="5" refreshedVersion="0" background="1">
    <dbPr connection="Provider=Microsoft.Mashup.OleDb.1;Data Source=$Workbook$;Location=EG_SH_MaxCapacity;Extended Properties=&quot;&quot;" command="SELECT * FROM [EG_SH_MaxCapacity]"/>
  </connection>
  <connection id="23" keepAlive="1" name="Query - EG_SH_MinCapacity" description="Connection to the 'EG_SH_MinCapacity' query in the workbook." type="5" refreshedVersion="0" background="1">
    <dbPr connection="Provider=Microsoft.Mashup.OleDb.1;Data Source=$Workbook$;Location=EG_SH_MinCapacity;Extended Properties=&quot;&quot;" command="SELECT * FROM [EG_SH_MinCapacity]"/>
  </connection>
  <connection id="24" keepAlive="1" name="Query - EG_SOLARPV" description="Connection to the 'EG_SOLARPV' query in the workbook." type="5" refreshedVersion="0" background="1">
    <dbPr connection="Provider=Microsoft.Mashup.OleDb.1;Data Source=$Workbook$;Location=EG_SOLARPV;Extended Properties=&quot;&quot;" command="SELECT * FROM [EG_SOLARPV]"/>
  </connection>
  <connection id="25" keepAlive="1" name="Query - EG_SOLARPV_MaxCapacity" description="Connection to the 'EG_SOLARPV_MaxCapacity' query in the workbook." type="5" refreshedVersion="0" background="1">
    <dbPr connection="Provider=Microsoft.Mashup.OleDb.1;Data Source=$Workbook$;Location=EG_SOLARPV_MaxCapacity;Extended Properties=&quot;&quot;" command="SELECT * FROM [EG_SOLARPV_MaxCapacity]"/>
  </connection>
  <connection id="26" keepAlive="1" name="Query - EG_SOLARPV_MinCapacity" description="Connection to the 'EG_SOLARPV_MinCapacity' query in the workbook." type="5" refreshedVersion="0" background="1">
    <dbPr connection="Provider=Microsoft.Mashup.OleDb.1;Data Source=$Workbook$;Location=EG_SOLARPV_MinCapacity;Extended Properties=&quot;&quot;" command="SELECT * FROM [EG_SOLARPV_MinCapacity]"/>
  </connection>
  <connection id="27" keepAlive="1" name="Query - EG_WIND" description="Connection to the 'EG_WIND' query in the workbook." type="5" refreshedVersion="0" background="1">
    <dbPr connection="Provider=Microsoft.Mashup.OleDb.1;Data Source=$Workbook$;Location=EG_WIND;Extended Properties=&quot;&quot;" command="SELECT * FROM [EG_WIND]"/>
  </connection>
  <connection id="28" keepAlive="1" name="Query - EG_WIND_MaxCapacity" description="Connection to the 'EG_WIND_MaxCapacity' query in the workbook." type="5" refreshedVersion="0" background="1">
    <dbPr connection="Provider=Microsoft.Mashup.OleDb.1;Data Source=$Workbook$;Location=EG_WIND_MaxCapacity;Extended Properties=&quot;&quot;" command="SELECT * FROM [EG_WIND_MaxCapacity]"/>
  </connection>
  <connection id="29" keepAlive="1" name="Query - EG_WIND_MinCapacity" description="Connection to the 'EG_WIND_MinCapacity' query in the workbook." type="5" refreshedVersion="0" background="1">
    <dbPr connection="Provider=Microsoft.Mashup.OleDb.1;Data Source=$Workbook$;Location=EG_WIND_MinCapacity;Extended Properties=&quot;&quot;" command="SELECT * FROM [EG_WIND_MinCapacity]"/>
  </connection>
  <connection id="30" keepAlive="1" name="Query - Regions" description="Connection to the 'Regions' query in the workbook." type="5" refreshedVersion="0" background="1">
    <dbPr connection="Provider=Microsoft.Mashup.OleDb.1;Data Source=$Workbook$;Location=Regions;Extended Properties=&quot;&quot;" command="SELECT * FROM [Regions]"/>
  </connection>
  <connection id="31" keepAlive="1" name="Query - RF_MTPA" description="Connection to the 'RF_MTPA' query in the workbook." type="5" refreshedVersion="0" background="1">
    <dbPr connection="Provider=Microsoft.Mashup.OleDb.1;Data Source=$Workbook$;Location=RF_MTPA;Extended Properties=&quot;&quot;" command="SELECT * FROM [RF_MTPA]"/>
  </connection>
</connections>
</file>

<file path=xl/sharedStrings.xml><?xml version="1.0" encoding="utf-8"?>
<sst xmlns="http://schemas.openxmlformats.org/spreadsheetml/2006/main" count="19824" uniqueCount="2013">
  <si>
    <t>UP</t>
  </si>
  <si>
    <t>PB</t>
  </si>
  <si>
    <t xml:space="preserve">Solar </t>
  </si>
  <si>
    <t>Wind</t>
  </si>
  <si>
    <t>UK</t>
  </si>
  <si>
    <t>HR</t>
  </si>
  <si>
    <t>RJ</t>
  </si>
  <si>
    <t>Total</t>
  </si>
  <si>
    <t>GJ</t>
  </si>
  <si>
    <t>MP</t>
  </si>
  <si>
    <t>MH</t>
  </si>
  <si>
    <t>KA</t>
  </si>
  <si>
    <t>KL</t>
  </si>
  <si>
    <t>TN</t>
  </si>
  <si>
    <t>AP</t>
  </si>
  <si>
    <t>TS</t>
  </si>
  <si>
    <t>OD</t>
  </si>
  <si>
    <t>WB</t>
  </si>
  <si>
    <t>CG</t>
  </si>
  <si>
    <t>BR</t>
  </si>
  <si>
    <t>JH</t>
  </si>
  <si>
    <t xml:space="preserve">UT </t>
  </si>
  <si>
    <t>Diff</t>
  </si>
  <si>
    <t>Source: BridgetoIndia.com INDIA RENEWABLE
MAP 2020 JUNE</t>
  </si>
  <si>
    <t>Commissioned (MW)</t>
  </si>
  <si>
    <t>Pipeline (MW)</t>
  </si>
  <si>
    <t>States</t>
  </si>
  <si>
    <t>National Total (Page 1, top Right)</t>
  </si>
  <si>
    <t>Andaman and Nicobar Islands</t>
  </si>
  <si>
    <t>AS</t>
  </si>
  <si>
    <t>Total utility scale solar capacity as on 31 December, 2020,</t>
  </si>
  <si>
    <t>Total utility scale solar and wind capacity as on 30 June 2020</t>
  </si>
  <si>
    <t>Source: Bridgetoindia.com INDIA SOLAR MAP DECEMBER 2020</t>
  </si>
  <si>
    <t>P&amp;C Division</t>
  </si>
  <si>
    <t>State-wise installed capacity of Grid Interactive Renewable Power as on 31.03.2020.</t>
  </si>
  <si>
    <t>S. No.</t>
  </si>
  <si>
    <t>STATES / Uts</t>
  </si>
  <si>
    <t>Small Hydro Power</t>
  </si>
  <si>
    <t>Wind Power</t>
  </si>
  <si>
    <t xml:space="preserve">                     Bio-Power</t>
  </si>
  <si>
    <t>Solar Power</t>
  </si>
  <si>
    <t>Total Capacity</t>
  </si>
  <si>
    <t>BM Power/Bagasse Cogen. (Grid Interactive)</t>
  </si>
  <si>
    <t>BM Cogen. (Non-Bagasse)</t>
  </si>
  <si>
    <t>Waste to Energy</t>
  </si>
  <si>
    <t>Bio Power Total</t>
  </si>
  <si>
    <t>Ground Mounted</t>
  </si>
  <si>
    <t>Roof Top</t>
  </si>
  <si>
    <t>(MW)</t>
  </si>
  <si>
    <t>Andhra Pradesh</t>
  </si>
  <si>
    <t>Arunachal Pradesh</t>
  </si>
  <si>
    <t>Assam</t>
  </si>
  <si>
    <t xml:space="preserve">Bihar </t>
  </si>
  <si>
    <t>Chhatisgarh</t>
  </si>
  <si>
    <t>Goa</t>
  </si>
  <si>
    <t>Gujarat</t>
  </si>
  <si>
    <t>Haryana</t>
  </si>
  <si>
    <t>Himachal Pradesh</t>
  </si>
  <si>
    <t>Jammu &amp; Kashmir</t>
  </si>
  <si>
    <t>Jharkhand</t>
  </si>
  <si>
    <t>Karnataka</t>
  </si>
  <si>
    <t>Kerala</t>
  </si>
  <si>
    <t xml:space="preserve">Madhya Pradesh </t>
  </si>
  <si>
    <t>Maharashtra</t>
  </si>
  <si>
    <t>Manipur</t>
  </si>
  <si>
    <t>Meghalaya</t>
  </si>
  <si>
    <t>Mizoram</t>
  </si>
  <si>
    <t>Nagaland</t>
  </si>
  <si>
    <t>Odisha</t>
  </si>
  <si>
    <t>Punjab</t>
  </si>
  <si>
    <t>Rajasthan</t>
  </si>
  <si>
    <t>Sikkim</t>
  </si>
  <si>
    <t>Tamil Nadu</t>
  </si>
  <si>
    <t>Telangana</t>
  </si>
  <si>
    <t>Tripura</t>
  </si>
  <si>
    <t>Uttar Pradesh</t>
  </si>
  <si>
    <t>Uttarakhand</t>
  </si>
  <si>
    <t xml:space="preserve">West Bengal </t>
  </si>
  <si>
    <t>Andaman &amp; Nicobar</t>
  </si>
  <si>
    <t>Chandigarh</t>
  </si>
  <si>
    <t>Dadar &amp; Nagar Haveli</t>
  </si>
  <si>
    <t>Daman &amp; Diu</t>
  </si>
  <si>
    <t>Delhi</t>
  </si>
  <si>
    <t>Lakshwadeep</t>
  </si>
  <si>
    <t>Pondicherry</t>
  </si>
  <si>
    <t>Others</t>
  </si>
  <si>
    <t>Total  (MW)</t>
  </si>
  <si>
    <r>
      <t xml:space="preserve">               </t>
    </r>
    <r>
      <rPr>
        <b/>
        <sz val="10"/>
        <rFont val="Times New Roman"/>
        <family val="1"/>
      </rPr>
      <t>MW =  Megawatt</t>
    </r>
  </si>
  <si>
    <t>HP</t>
  </si>
  <si>
    <t>JK</t>
  </si>
  <si>
    <t>NE</t>
  </si>
  <si>
    <t>GA</t>
  </si>
  <si>
    <t>UT</t>
  </si>
  <si>
    <t>DL</t>
  </si>
  <si>
    <t xml:space="preserve">TOTAL </t>
  </si>
  <si>
    <t>EG_SOLARPV</t>
  </si>
  <si>
    <t>EG_WIND</t>
  </si>
  <si>
    <t>Capacity end of FY20</t>
  </si>
  <si>
    <t>MNRE</t>
  </si>
  <si>
    <t>BTI</t>
  </si>
  <si>
    <t>Capacity comissed as on June  2020</t>
  </si>
  <si>
    <t>UNALLOCATED</t>
  </si>
  <si>
    <t>Capacity in pipeline as on June  2020</t>
  </si>
  <si>
    <t>a</t>
  </si>
  <si>
    <t>b</t>
  </si>
  <si>
    <t>c</t>
  </si>
  <si>
    <t>if(b&gt;a , (c+(b-a)), c)</t>
  </si>
  <si>
    <t>Total Pipeline on 1 Apr 2020</t>
  </si>
  <si>
    <t>Capacity in pipeline as on Dec  2020</t>
  </si>
  <si>
    <t>Capacity comissed as on Dec  2020</t>
  </si>
  <si>
    <t xml:space="preserve">EG_WIND </t>
  </si>
  <si>
    <t>Total Comissioned Capactiy  as on 1 Apr 2020</t>
  </si>
  <si>
    <t>Total Pipeline as on 1 Apr 2020</t>
  </si>
  <si>
    <t>Source: BridgetoIndia.com INDIA RENEWABLE MAP 2019 September</t>
  </si>
  <si>
    <t xml:space="preserve">Total utility scale solar and wind capacity as on 30 September 2019 </t>
  </si>
  <si>
    <t xml:space="preserve">Capacity added between the period </t>
  </si>
  <si>
    <t>% of the pipeline comissioned</t>
  </si>
  <si>
    <t>MinCapacity</t>
  </si>
  <si>
    <t>Year</t>
  </si>
  <si>
    <t>                                   List of Solar Parks as on 30-09-2020</t>
  </si>
  <si>
    <t>Sl.</t>
  </si>
  <si>
    <t>No.</t>
  </si>
  <si>
    <t>State</t>
  </si>
  <si>
    <t>Solar Park</t>
  </si>
  <si>
    <t>Date of in-principle approval</t>
  </si>
  <si>
    <t> Capacity</t>
  </si>
  <si>
    <t>Name of the Solar Power Parks Developer (SPPD)</t>
  </si>
  <si>
    <t>1.  </t>
  </si>
  <si>
    <t>Ananthapuramu-I Solar Park</t>
  </si>
  <si>
    <t>28-11-2014</t>
  </si>
  <si>
    <t>AP Solar Power Corporation Pvt. Ltd. (APSPCL), JVC of SECI, APGENCO and NREDCAP</t>
  </si>
  <si>
    <t>2.  </t>
  </si>
  <si>
    <t>Kurnool Solar Park</t>
  </si>
  <si>
    <t>3.  </t>
  </si>
  <si>
    <t>Kadapa Solar Park</t>
  </si>
  <si>
    <t>4.  </t>
  </si>
  <si>
    <t>Ananthapuramu-II Solar Park</t>
  </si>
  <si>
    <t>15-01-2016</t>
  </si>
  <si>
    <t>5.  </t>
  </si>
  <si>
    <t>Hybrid Solar Wind Park</t>
  </si>
  <si>
    <t>6.  </t>
  </si>
  <si>
    <t>Lohit Solar Park</t>
  </si>
  <si>
    <t>29-04-2015</t>
  </si>
  <si>
    <t>Arunachal Pradesh Energy Development Agency (APEDA)</t>
  </si>
  <si>
    <t>7.  </t>
  </si>
  <si>
    <t>Radhnesada Solar Park</t>
  </si>
  <si>
    <t>Gujarat Power Corporation Limited (GPCL)</t>
  </si>
  <si>
    <t>8.  </t>
  </si>
  <si>
    <t>Harsad Solar Park</t>
  </si>
  <si>
    <t>9.  </t>
  </si>
  <si>
    <t>Dholera Solar Park Ph-I</t>
  </si>
  <si>
    <t>10.  </t>
  </si>
  <si>
    <t>Dholera Solar Park Ph-II</t>
  </si>
  <si>
    <t>25-06-2019</t>
  </si>
  <si>
    <t>Solar Energy Corporation of India (SECI)</t>
  </si>
  <si>
    <t>11.  </t>
  </si>
  <si>
    <t>Kaza Solar Park</t>
  </si>
  <si>
    <t>17-09-2020</t>
  </si>
  <si>
    <t>JVC of SJVN &amp; Govt of HP</t>
  </si>
  <si>
    <t>12.  </t>
  </si>
  <si>
    <t>Floating Solar Park</t>
  </si>
  <si>
    <t>13.  </t>
  </si>
  <si>
    <t>Pavagada Solar Park</t>
  </si>
  <si>
    <t>19-03-2015</t>
  </si>
  <si>
    <t>Karnataka Solar Power Development Corporation Pvt. Ltd. (KSPDCL), JVC of KREDL &amp; SECI</t>
  </si>
  <si>
    <t>14.  </t>
  </si>
  <si>
    <t>Kasargod Solar Park</t>
  </si>
  <si>
    <t>Renewable Power Corporation of Kerala Limited (RPCKL), JVC of SECI</t>
  </si>
  <si>
    <t>15.  </t>
  </si>
  <si>
    <t>Madhya Pradesh</t>
  </si>
  <si>
    <t>Rewa Solar Park</t>
  </si>
  <si>
    <t>Rewa Ultra Mega Solar Limited (RUMSL), JVC of MPNRED &amp; SECI</t>
  </si>
  <si>
    <t>16.  </t>
  </si>
  <si>
    <t>Mandsaur Solar Park</t>
  </si>
  <si>
    <t>17.  </t>
  </si>
  <si>
    <t>Neemuch</t>
  </si>
  <si>
    <t>28-01-2020</t>
  </si>
  <si>
    <t>18.  </t>
  </si>
  <si>
    <t>Agar</t>
  </si>
  <si>
    <t>19.  </t>
  </si>
  <si>
    <t>Shajapur</t>
  </si>
  <si>
    <t>20.  </t>
  </si>
  <si>
    <t>Omkareswar Floating Solar Park</t>
  </si>
  <si>
    <t>21.  </t>
  </si>
  <si>
    <t>Chhattarpur Solar Park</t>
  </si>
  <si>
    <t>22.  </t>
  </si>
  <si>
    <t>Barethi Solar Park</t>
  </si>
  <si>
    <t>NTPC</t>
  </si>
  <si>
    <t>23.  </t>
  </si>
  <si>
    <t>Sai Guru Solar Park (Pragat)</t>
  </si>
  <si>
    <t>29-09-2015</t>
  </si>
  <si>
    <t>M/s Sai Guru Mega Solar Park Pvt. Ltd. (formerly M/s Pragat Akshay Urja Ltd.)</t>
  </si>
  <si>
    <t>24.  </t>
  </si>
  <si>
    <t>Patoda Solar Park (Paramount)</t>
  </si>
  <si>
    <t>17-12-2015</t>
  </si>
  <si>
    <t>M/s Paramount Solar Power Pvt. Ltd. (formerly M/s K. P. Power Pvt. Ltd.)</t>
  </si>
  <si>
    <t>25.  </t>
  </si>
  <si>
    <t>Dondaicha Solar Park</t>
  </si>
  <si>
    <t>Maharashtra State Electricity Generating Company Ltd. (MAHAGENCO)</t>
  </si>
  <si>
    <t>26.  </t>
  </si>
  <si>
    <t>Bukpi Solar Park</t>
  </si>
  <si>
    <t>18-12-2017</t>
  </si>
  <si>
    <t>Manipur Tribal Development Corpn. Ltd. (MTDCL)</t>
  </si>
  <si>
    <t>27.  </t>
  </si>
  <si>
    <t>Solar park in Meghalaya</t>
  </si>
  <si>
    <t>Meghalaya Power Generation Corporation Ltd (MePGCL)</t>
  </si>
  <si>
    <t>28.  </t>
  </si>
  <si>
    <t>Vankal Solar Park</t>
  </si>
  <si>
    <t>13-10-2017</t>
  </si>
  <si>
    <t>Power &amp; Electricity Department</t>
  </si>
  <si>
    <t>29.  </t>
  </si>
  <si>
    <t>Solar Park by NHPC</t>
  </si>
  <si>
    <t>22-10-2018</t>
  </si>
  <si>
    <t>NHPC Limited</t>
  </si>
  <si>
    <t>30.  </t>
  </si>
  <si>
    <t>(on 19-03-2020, the capacity of 100 MW split in to two parks of 40 MW and 100 MW by enhancing the capacity by 40 MW</t>
  </si>
  <si>
    <t>31.  </t>
  </si>
  <si>
    <t>Bhadla-II Solar Park</t>
  </si>
  <si>
    <t>Rajasthan Solar Park Development Company Ltd. (RSDCL)</t>
  </si>
  <si>
    <t>32.  </t>
  </si>
  <si>
    <t>Bhadla-III Solar Park</t>
  </si>
  <si>
    <t>M/s Surya Urja Company of Rajasthan Ltd (SUCRL) JVC of State Govt</t>
  </si>
  <si>
    <t>33.  </t>
  </si>
  <si>
    <t>Bhadla-IV Solar Park</t>
  </si>
  <si>
    <t>M/s Adani Renewable Energy Park Rajasthan Limited (AREPRL) JVC of State Govt</t>
  </si>
  <si>
    <t>34.  </t>
  </si>
  <si>
    <t>Phalodi-Pokaran Solar Park</t>
  </si>
  <si>
    <t>M/s Essel Surya Urja Company of Rajasthan Limited (ESUCRL) JVC of State Govt</t>
  </si>
  <si>
    <t>35.  </t>
  </si>
  <si>
    <t>Fatehgarh Phase-1B Solar Park</t>
  </si>
  <si>
    <t>36.  </t>
  </si>
  <si>
    <t>Nokh Solar Park</t>
  </si>
  <si>
    <t>18-07-2017</t>
  </si>
  <si>
    <t>37.  </t>
  </si>
  <si>
    <t>Solar Park in UP</t>
  </si>
  <si>
    <t>Lucknow Solar Power Development Corporation Ltd. (LSPDCL) JVC of UPNEDA &amp; SECI</t>
  </si>
  <si>
    <t>38.  </t>
  </si>
  <si>
    <t> Jalaun Solar Park</t>
  </si>
  <si>
    <t>BSUL</t>
  </si>
  <si>
    <t>https://www.seci.co.in/solarpark/statewise-solar-parks</t>
  </si>
  <si>
    <t xml:space="preserve">Underconstruction </t>
  </si>
  <si>
    <r>
      <rPr>
        <b/>
        <sz val="12.5"/>
        <rFont val="Calibri"/>
        <family val="1"/>
      </rPr>
      <t xml:space="preserve">Central Electricity Authority / </t>
    </r>
    <r>
      <rPr>
        <b/>
        <sz val="12.5"/>
        <rFont val="Nirmala UI"/>
        <family val="2"/>
      </rPr>
      <t>के न्द्रीय विद्यत</t>
    </r>
    <r>
      <rPr>
        <b/>
        <vertAlign val="subscript"/>
        <sz val="12.5"/>
        <rFont val="Nirmala UI"/>
        <family val="2"/>
      </rPr>
      <t xml:space="preserve">ु   </t>
    </r>
    <r>
      <rPr>
        <b/>
        <sz val="12.5"/>
        <rFont val="Nirmala UI"/>
        <family val="2"/>
      </rPr>
      <t xml:space="preserve">प्राधिकरण
</t>
    </r>
    <r>
      <rPr>
        <b/>
        <sz val="11"/>
        <rFont val="Calibri"/>
        <family val="1"/>
      </rPr>
      <t>Renewable Energy Project Monitoring Division/</t>
    </r>
    <r>
      <rPr>
        <b/>
        <sz val="11"/>
        <rFont val="Nirmala UI"/>
        <family val="2"/>
      </rPr>
      <t>निीकरणीय ऊर्ाा पररयोर्ना प्रबोिन प्रभाग</t>
    </r>
  </si>
  <si>
    <r>
      <rPr>
        <b/>
        <sz val="9"/>
        <rFont val="Calibri"/>
        <family val="1"/>
      </rPr>
      <t>Summary of Underconstruction Solar Power Projects (SECI)</t>
    </r>
  </si>
  <si>
    <r>
      <rPr>
        <b/>
        <sz val="9"/>
        <rFont val="Calibri"/>
        <family val="1"/>
      </rPr>
      <t>S.No</t>
    </r>
  </si>
  <si>
    <r>
      <rPr>
        <b/>
        <sz val="9"/>
        <rFont val="Calibri"/>
        <family val="1"/>
      </rPr>
      <t>Scheme</t>
    </r>
  </si>
  <si>
    <r>
      <rPr>
        <b/>
        <sz val="9"/>
        <rFont val="Calibri"/>
        <family val="1"/>
      </rPr>
      <t>Total Capacity Tendered (MW)</t>
    </r>
  </si>
  <si>
    <r>
      <rPr>
        <b/>
        <sz val="9"/>
        <rFont val="Calibri"/>
        <family val="1"/>
      </rPr>
      <t>Total Capacity Awarded (MW)</t>
    </r>
  </si>
  <si>
    <r>
      <rPr>
        <b/>
        <sz val="9"/>
        <rFont val="Calibri"/>
        <family val="1"/>
      </rPr>
      <t>Under Construction Capacity (MW)</t>
    </r>
  </si>
  <si>
    <r>
      <rPr>
        <b/>
        <sz val="9"/>
        <rFont val="Calibri"/>
        <family val="1"/>
      </rPr>
      <t xml:space="preserve">2000 MW ISTS Connected Solar PV
</t>
    </r>
    <r>
      <rPr>
        <b/>
        <sz val="9"/>
        <rFont val="Calibri"/>
        <family val="1"/>
      </rPr>
      <t>Projects (ISTS-I)</t>
    </r>
  </si>
  <si>
    <r>
      <rPr>
        <b/>
        <sz val="9"/>
        <rFont val="Calibri"/>
        <family val="1"/>
      </rPr>
      <t xml:space="preserve">3000 MW ISTS Connected Solar PV
</t>
    </r>
    <r>
      <rPr>
        <b/>
        <sz val="9"/>
        <rFont val="Calibri"/>
        <family val="1"/>
      </rPr>
      <t>Projects (ISTS-II)</t>
    </r>
  </si>
  <si>
    <r>
      <rPr>
        <b/>
        <sz val="9"/>
        <rFont val="Calibri"/>
        <family val="1"/>
      </rPr>
      <t xml:space="preserve">1200 MW ISTS Connected  Projects
</t>
    </r>
    <r>
      <rPr>
        <b/>
        <sz val="9"/>
        <rFont val="Calibri"/>
        <family val="1"/>
      </rPr>
      <t>(ISTS-III)</t>
    </r>
  </si>
  <si>
    <r>
      <rPr>
        <b/>
        <sz val="9"/>
        <rFont val="Calibri"/>
        <family val="1"/>
      </rPr>
      <t xml:space="preserve">1200 MW ISTS Connected  Projects
</t>
    </r>
    <r>
      <rPr>
        <b/>
        <sz val="9"/>
        <rFont val="Calibri"/>
        <family val="1"/>
      </rPr>
      <t>(ISTS-IV)</t>
    </r>
  </si>
  <si>
    <r>
      <rPr>
        <b/>
        <sz val="9"/>
        <rFont val="Calibri"/>
        <family val="1"/>
      </rPr>
      <t xml:space="preserve">1200 MW ISTS Connected Projects (ISTS-
</t>
    </r>
    <r>
      <rPr>
        <b/>
        <sz val="9"/>
        <rFont val="Calibri"/>
        <family val="1"/>
      </rPr>
      <t>V)</t>
    </r>
  </si>
  <si>
    <r>
      <rPr>
        <b/>
        <sz val="9"/>
        <rFont val="Calibri"/>
        <family val="1"/>
      </rPr>
      <t xml:space="preserve">1200 MW ISTS Connected Projects (ISTS-
</t>
    </r>
    <r>
      <rPr>
        <b/>
        <sz val="9"/>
        <rFont val="Calibri"/>
        <family val="1"/>
      </rPr>
      <t>VI)</t>
    </r>
  </si>
  <si>
    <r>
      <rPr>
        <b/>
        <sz val="9"/>
        <rFont val="Calibri"/>
        <family val="1"/>
      </rPr>
      <t xml:space="preserve">1200 MW ISTS Connected Projects (ISTS-
</t>
    </r>
    <r>
      <rPr>
        <b/>
        <sz val="9"/>
        <rFont val="Calibri"/>
        <family val="1"/>
      </rPr>
      <t>VIII)</t>
    </r>
  </si>
  <si>
    <r>
      <rPr>
        <b/>
        <sz val="9"/>
        <rFont val="Calibri"/>
        <family val="1"/>
      </rPr>
      <t xml:space="preserve">2000 MW ISTS Connected Projects (ISTS-
</t>
    </r>
    <r>
      <rPr>
        <b/>
        <sz val="9"/>
        <rFont val="Calibri"/>
        <family val="1"/>
      </rPr>
      <t>IX)</t>
    </r>
  </si>
  <si>
    <r>
      <rPr>
        <b/>
        <sz val="9"/>
        <rFont val="Calibri"/>
        <family val="1"/>
      </rPr>
      <t>750 MW Rajasthan (Tranche-I)</t>
    </r>
  </si>
  <si>
    <r>
      <rPr>
        <b/>
        <sz val="9"/>
        <rFont val="Calibri"/>
        <family val="1"/>
      </rPr>
      <t>750 MW Rajasthan (Tranche-II)</t>
    </r>
  </si>
  <si>
    <r>
      <rPr>
        <b/>
        <sz val="9"/>
        <rFont val="Calibri"/>
        <family val="1"/>
      </rPr>
      <t xml:space="preserve">150 MW Grid Connected Floating Solar
</t>
    </r>
    <r>
      <rPr>
        <b/>
        <sz val="9"/>
        <rFont val="Calibri"/>
        <family val="1"/>
      </rPr>
      <t>PV Plants</t>
    </r>
  </si>
  <si>
    <r>
      <rPr>
        <b/>
        <sz val="9"/>
        <rFont val="Calibri"/>
        <family val="1"/>
      </rPr>
      <t xml:space="preserve">750 MW Kadapa Solar Park (5000 MW
</t>
    </r>
    <r>
      <rPr>
        <b/>
        <sz val="9"/>
        <rFont val="Calibri"/>
        <family val="1"/>
      </rPr>
      <t>VGF Scheme)</t>
    </r>
  </si>
  <si>
    <r>
      <rPr>
        <b/>
        <sz val="9"/>
        <rFont val="Calibri"/>
        <family val="1"/>
      </rPr>
      <t>CPSU Scheme (Tranche-I, 2000 MW)</t>
    </r>
  </si>
  <si>
    <r>
      <rPr>
        <b/>
        <sz val="9"/>
        <rFont val="Calibri"/>
        <family val="1"/>
      </rPr>
      <t>CPSU Scheme (Tranche-II, 1500 MW)</t>
    </r>
  </si>
  <si>
    <r>
      <rPr>
        <b/>
        <sz val="9"/>
        <rFont val="Calibri"/>
        <family val="1"/>
      </rPr>
      <t>Total</t>
    </r>
  </si>
  <si>
    <r>
      <rPr>
        <b/>
        <sz val="8"/>
        <rFont val="Verdana"/>
        <family val="2"/>
      </rPr>
      <t>Status of Underconstruction Solar Power Projects</t>
    </r>
  </si>
  <si>
    <r>
      <rPr>
        <b/>
        <sz val="8"/>
        <rFont val="Verdana"/>
        <family val="2"/>
      </rPr>
      <t>Physical attributes</t>
    </r>
  </si>
  <si>
    <r>
      <rPr>
        <b/>
        <sz val="8"/>
        <rFont val="Verdana"/>
        <family val="2"/>
      </rPr>
      <t>S-NO</t>
    </r>
  </si>
  <si>
    <r>
      <rPr>
        <b/>
        <sz val="8"/>
        <rFont val="Verdana"/>
        <family val="2"/>
      </rPr>
      <t>SPV/ Parent/ Holding Company (Name of Project Company/ SPD)</t>
    </r>
  </si>
  <si>
    <r>
      <rPr>
        <b/>
        <sz val="8"/>
        <rFont val="Verdana"/>
        <family val="2"/>
      </rPr>
      <t>Capacity (MW)</t>
    </r>
  </si>
  <si>
    <r>
      <rPr>
        <b/>
        <sz val="8"/>
        <rFont val="Verdana"/>
        <family val="2"/>
      </rPr>
      <t>Type</t>
    </r>
  </si>
  <si>
    <r>
      <rPr>
        <b/>
        <sz val="8"/>
        <rFont val="Verdana"/>
        <family val="2"/>
      </rPr>
      <t>Bidding Scheme</t>
    </r>
  </si>
  <si>
    <r>
      <rPr>
        <b/>
        <sz val="8"/>
        <rFont val="Verdana"/>
        <family val="2"/>
      </rPr>
      <t>State</t>
    </r>
  </si>
  <si>
    <r>
      <rPr>
        <b/>
        <sz val="8"/>
        <rFont val="Verdana"/>
        <family val="2"/>
      </rPr>
      <t>Project Location</t>
    </r>
  </si>
  <si>
    <r>
      <rPr>
        <b/>
        <sz val="8"/>
        <rFont val="Verdana"/>
        <family val="2"/>
      </rPr>
      <t>Mahindra Renewables Private Limited</t>
    </r>
  </si>
  <si>
    <r>
      <rPr>
        <b/>
        <sz val="8"/>
        <rFont val="Verdana"/>
        <family val="2"/>
      </rPr>
      <t>Solar</t>
    </r>
  </si>
  <si>
    <r>
      <rPr>
        <b/>
        <sz val="8"/>
        <rFont val="Verdana"/>
        <family val="2"/>
      </rPr>
      <t xml:space="preserve">2000 MW ISTS
</t>
    </r>
    <r>
      <rPr>
        <b/>
        <sz val="8"/>
        <rFont val="Verdana"/>
        <family val="2"/>
      </rPr>
      <t>Connected Solar PV Projects (ISTS-I)</t>
    </r>
  </si>
  <si>
    <r>
      <rPr>
        <b/>
        <sz val="8"/>
        <rFont val="Verdana"/>
        <family val="2"/>
      </rPr>
      <t>Rajasthan</t>
    </r>
  </si>
  <si>
    <r>
      <rPr>
        <b/>
        <sz val="8"/>
        <rFont val="Verdana"/>
        <family val="2"/>
      </rPr>
      <t>Vill-Bhiv Ji ka Gaon, Tehsil- Bap, Dist.-Jodhpur</t>
    </r>
  </si>
  <si>
    <r>
      <rPr>
        <b/>
        <sz val="8"/>
        <rFont val="Verdana"/>
        <family val="2"/>
      </rPr>
      <t>Kilaj Solar (Maharashtra) Pvt. Ltd</t>
    </r>
  </si>
  <si>
    <r>
      <rPr>
        <b/>
        <sz val="8"/>
        <rFont val="Verdana"/>
        <family val="2"/>
      </rPr>
      <t>Vill:, Nure Ki Bhurj/Sihra, Dist: Jodhpur</t>
    </r>
  </si>
  <si>
    <r>
      <rPr>
        <b/>
        <sz val="8"/>
        <rFont val="Verdana"/>
        <family val="2"/>
      </rPr>
      <t>ACME Raisar Solar Energy Private Limited</t>
    </r>
  </si>
  <si>
    <r>
      <rPr>
        <b/>
        <sz val="8"/>
        <rFont val="Verdana"/>
        <family val="2"/>
      </rPr>
      <t>Village-Sanwara, Tehsil- Pokhran, Dist.-Jaisalmer, Rajasthan</t>
    </r>
  </si>
  <si>
    <r>
      <rPr>
        <b/>
        <sz val="8"/>
        <rFont val="Verdana"/>
        <family val="2"/>
      </rPr>
      <t>ACME Phalodi Solar Energy Private Limited</t>
    </r>
  </si>
  <si>
    <r>
      <rPr>
        <b/>
        <sz val="8"/>
        <rFont val="Verdana"/>
        <family val="2"/>
      </rPr>
      <t>Azure Power Forty Three Private Limited</t>
    </r>
  </si>
  <si>
    <r>
      <rPr>
        <b/>
        <sz val="8"/>
        <rFont val="Verdana"/>
        <family val="2"/>
      </rPr>
      <t>Village Jagdev wala and Daudsar, Tehsil Bikaner, District Bikaner</t>
    </r>
  </si>
  <si>
    <r>
      <rPr>
        <b/>
        <sz val="8"/>
        <rFont val="Verdana"/>
        <family val="2"/>
      </rPr>
      <t>Clean Solar Power (Jodhpur) Pvt. Ltd</t>
    </r>
  </si>
  <si>
    <r>
      <rPr>
        <b/>
        <sz val="8"/>
        <rFont val="Verdana"/>
        <family val="2"/>
      </rPr>
      <t>Vill-Noore Bhurj, Tehsil-Bap- Dist.-Jodhpur</t>
    </r>
  </si>
  <si>
    <r>
      <rPr>
        <b/>
        <sz val="8"/>
        <rFont val="Verdana"/>
        <family val="2"/>
      </rPr>
      <t>Arina Solar Private Limited</t>
    </r>
  </si>
  <si>
    <r>
      <rPr>
        <b/>
        <sz val="8"/>
        <rFont val="Verdana"/>
        <family val="2"/>
      </rPr>
      <t>Tamil Nadu</t>
    </r>
  </si>
  <si>
    <r>
      <rPr>
        <b/>
        <sz val="8"/>
        <rFont val="Verdana"/>
        <family val="2"/>
      </rPr>
      <t>Vill-Ettayapuram, Dist.- Thoothukudi, Tamilnadu</t>
    </r>
  </si>
  <si>
    <r>
      <rPr>
        <b/>
        <sz val="8"/>
        <rFont val="Verdana"/>
        <family val="2"/>
      </rPr>
      <t>ACME Deoghar Solar Power Pvt. Ltd.</t>
    </r>
  </si>
  <si>
    <r>
      <rPr>
        <b/>
        <sz val="8"/>
        <rFont val="Verdana"/>
        <family val="2"/>
      </rPr>
      <t xml:space="preserve">3000 MW ISTS
</t>
    </r>
    <r>
      <rPr>
        <b/>
        <sz val="8"/>
        <rFont val="Verdana"/>
        <family val="2"/>
      </rPr>
      <t>Connected Solar PV Projects (ISTS-II)</t>
    </r>
  </si>
  <si>
    <r>
      <rPr>
        <b/>
        <sz val="8"/>
        <rFont val="Verdana"/>
        <family val="2"/>
      </rPr>
      <t>ACME Dhaulpur Powertech Pvt. Ltd.</t>
    </r>
  </si>
  <si>
    <r>
      <rPr>
        <b/>
        <sz val="8"/>
        <rFont val="Verdana"/>
        <family val="2"/>
      </rPr>
      <t>SBSR Power Cleantech Eleven Pvt. Ltd.</t>
    </r>
  </si>
  <si>
    <r>
      <rPr>
        <b/>
        <sz val="8"/>
        <rFont val="Verdana"/>
        <family val="2"/>
      </rPr>
      <t xml:space="preserve">1200 MW ISTS
</t>
    </r>
    <r>
      <rPr>
        <b/>
        <sz val="8"/>
        <rFont val="Verdana"/>
        <family val="2"/>
      </rPr>
      <t>Connected  Projects (ISTS-III)</t>
    </r>
  </si>
  <si>
    <r>
      <rPr>
        <b/>
        <sz val="8"/>
        <rFont val="Verdana"/>
        <family val="2"/>
      </rPr>
      <t>Vill: Lalsar &amp; Hapasar, Tehsil: Bikaner, Dist: Bikaner, State Rajasthan</t>
    </r>
  </si>
  <si>
    <r>
      <rPr>
        <b/>
        <sz val="8"/>
        <rFont val="Verdana"/>
        <family val="2"/>
      </rPr>
      <t>ReNew Sun Waves Pvt. Ltd.</t>
    </r>
  </si>
  <si>
    <r>
      <rPr>
        <b/>
        <sz val="8"/>
        <rFont val="Verdana"/>
        <family val="2"/>
      </rPr>
      <t>Vill: Mandhopura, Tehsil: Fatehgarh, Dist: Jaisalmer, State Rajasthan</t>
    </r>
  </si>
  <si>
    <r>
      <rPr>
        <b/>
        <sz val="8"/>
        <rFont val="Verdana"/>
        <family val="2"/>
      </rPr>
      <t>Eden Renewable Cite Pvt. Ltd.</t>
    </r>
  </si>
  <si>
    <r>
      <rPr>
        <b/>
        <sz val="8"/>
        <rFont val="Verdana"/>
        <family val="2"/>
      </rPr>
      <t>Vill: Sanawara/Sunawara, Tehsil: Pokhran, Dist: Jaisalmer, State Rajasthan</t>
    </r>
  </si>
  <si>
    <r>
      <rPr>
        <b/>
        <sz val="8"/>
        <rFont val="Verdana"/>
        <family val="2"/>
      </rPr>
      <t>Azure Power Forty One Pvt. Ltd.</t>
    </r>
  </si>
  <si>
    <r>
      <rPr>
        <b/>
        <sz val="8"/>
        <rFont val="Verdana"/>
        <family val="2"/>
      </rPr>
      <t>Vill: Noore Ki Bhurj, Tehsil: Bap, Dist:Jodhpur Rajasthan</t>
    </r>
  </si>
  <si>
    <r>
      <rPr>
        <b/>
        <sz val="8"/>
        <rFont val="Verdana"/>
        <family val="2"/>
      </rPr>
      <t>Ayana Renewable Power One Pvt. Ltd.</t>
    </r>
  </si>
  <si>
    <r>
      <rPr>
        <b/>
        <sz val="8"/>
        <rFont val="Verdana"/>
        <family val="2"/>
      </rPr>
      <t xml:space="preserve">1200 MW ISTS
</t>
    </r>
    <r>
      <rPr>
        <b/>
        <sz val="8"/>
        <rFont val="Verdana"/>
        <family val="2"/>
      </rPr>
      <t>Connected  Projects (ISTS-IV)</t>
    </r>
  </si>
  <si>
    <r>
      <rPr>
        <b/>
        <sz val="8"/>
        <rFont val="Verdana"/>
        <family val="2"/>
      </rPr>
      <t>Vill: Khichiya, Bikaner Dist., Rajasthan</t>
    </r>
  </si>
  <si>
    <r>
      <rPr>
        <b/>
        <sz val="8"/>
        <rFont val="Verdana"/>
        <family val="2"/>
      </rPr>
      <t xml:space="preserve">Renew Solar Energy (Jharkhand Three) Pvt.
</t>
    </r>
    <r>
      <rPr>
        <b/>
        <sz val="8"/>
        <rFont val="Verdana"/>
        <family val="2"/>
      </rPr>
      <t>Ltd.</t>
    </r>
  </si>
  <si>
    <r>
      <rPr>
        <b/>
        <sz val="8"/>
        <rFont val="Verdana"/>
        <family val="2"/>
      </rPr>
      <t>Vil: Mandhopura, Tehsil: Fatehgarh, Dist Jaisalmer, Rajasthan</t>
    </r>
  </si>
  <si>
    <r>
      <rPr>
        <b/>
        <sz val="8"/>
        <rFont val="Verdana"/>
        <family val="2"/>
      </rPr>
      <t>Azure Power Maple Pvt. Ltd.</t>
    </r>
  </si>
  <si>
    <r>
      <rPr>
        <b/>
        <sz val="8"/>
        <rFont val="Verdana"/>
        <family val="2"/>
      </rPr>
      <t>Vill: Sonanda, Shekhar, Bandhari &amp; Kesarapura Teshsil: Bap, Dist. Jodhpur, Rajasthan</t>
    </r>
  </si>
  <si>
    <r>
      <rPr>
        <b/>
        <sz val="8"/>
        <rFont val="Verdana"/>
        <family val="2"/>
      </rPr>
      <t>Mega SuryaUrja Pvt. Ltd.</t>
    </r>
  </si>
  <si>
    <r>
      <rPr>
        <b/>
        <sz val="8"/>
        <rFont val="Times New Roman"/>
        <family val="1"/>
      </rPr>
      <t>1200 MW ISTS Connected Projects (ISTS-IV)</t>
    </r>
  </si>
  <si>
    <r>
      <rPr>
        <b/>
        <sz val="8"/>
        <rFont val="Verdana"/>
        <family val="2"/>
      </rPr>
      <t>Jodhpur Dist., Rajasthan</t>
    </r>
  </si>
  <si>
    <r>
      <rPr>
        <b/>
        <sz val="8"/>
        <rFont val="Verdana"/>
        <family val="2"/>
      </rPr>
      <t>GRT Jewellers (India) Pvt. Ltd.</t>
    </r>
  </si>
  <si>
    <r>
      <rPr>
        <b/>
        <sz val="8"/>
        <rFont val="Times New Roman"/>
        <family val="1"/>
      </rPr>
      <t>1200 MW ISTS Connected Projects (ISTS-V)</t>
    </r>
  </si>
  <si>
    <r>
      <rPr>
        <b/>
        <sz val="8"/>
        <rFont val="Verdana"/>
        <family val="2"/>
      </rPr>
      <t>Taluka: Ettayapuram, Kayathar, District: Thoothukkudi, Tamil Nadu</t>
    </r>
  </si>
  <si>
    <r>
      <rPr>
        <b/>
        <sz val="8"/>
        <rFont val="Verdana"/>
        <family val="2"/>
      </rPr>
      <t>SBE Renewables Sixteen Pvt. Ltd.</t>
    </r>
  </si>
  <si>
    <r>
      <rPr>
        <b/>
        <sz val="8"/>
        <rFont val="Verdana"/>
        <family val="2"/>
      </rPr>
      <t>Village: Ugraas, Nagnechi nagar and Dadhu, Tehsil: Phalodi, District: Jodhpur, State: Rajasthan</t>
    </r>
  </si>
  <si>
    <r>
      <rPr>
        <b/>
        <sz val="8"/>
        <rFont val="Verdana"/>
        <family val="2"/>
      </rPr>
      <t>Village: Lakhasar, Tehsil: Pokhran, District: Jaisalmer, State: Rajasthan</t>
    </r>
  </si>
  <si>
    <r>
      <rPr>
        <b/>
        <sz val="8"/>
        <rFont val="Verdana"/>
        <family val="2"/>
      </rPr>
      <t>Avaada Sustainable RJProject Private Limited</t>
    </r>
  </si>
  <si>
    <r>
      <rPr>
        <b/>
        <sz val="8"/>
        <rFont val="Verdana"/>
        <family val="2"/>
      </rPr>
      <t xml:space="preserve">1200 MW ISTS
</t>
    </r>
    <r>
      <rPr>
        <b/>
        <sz val="8"/>
        <rFont val="Verdana"/>
        <family val="2"/>
      </rPr>
      <t>Connected Projects (ISTS-VI)</t>
    </r>
  </si>
  <si>
    <r>
      <rPr>
        <b/>
        <sz val="8"/>
        <rFont val="Verdana"/>
        <family val="2"/>
      </rPr>
      <t>Village: Noorsar, Tehsil: Bikaner in Bikaner, Rajasthan</t>
    </r>
  </si>
  <si>
    <r>
      <rPr>
        <b/>
        <sz val="8"/>
        <rFont val="Verdana"/>
        <family val="2"/>
      </rPr>
      <t>Masaya Solar Energy Private Limited</t>
    </r>
  </si>
  <si>
    <r>
      <rPr>
        <b/>
        <sz val="8"/>
        <rFont val="Verdana"/>
        <family val="2"/>
      </rPr>
      <t>Madhya Pradesh</t>
    </r>
  </si>
  <si>
    <r>
      <rPr>
        <b/>
        <sz val="8"/>
        <rFont val="Verdana"/>
        <family val="2"/>
      </rPr>
      <t>Khandwa, Madhya Pradesh</t>
    </r>
  </si>
  <si>
    <r>
      <rPr>
        <b/>
        <sz val="8"/>
        <rFont val="Verdana"/>
        <family val="2"/>
      </rPr>
      <t>ReNew Solar Urja Private Limited</t>
    </r>
  </si>
  <si>
    <r>
      <rPr>
        <b/>
        <sz val="8"/>
        <rFont val="Verdana"/>
        <family val="2"/>
      </rPr>
      <t>Village Mandhopura, Tehsil Fatehgarh, District Jaisalmer, State Rajasthan</t>
    </r>
  </si>
  <si>
    <r>
      <rPr>
        <b/>
        <sz val="8"/>
        <rFont val="Verdana"/>
        <family val="2"/>
      </rPr>
      <t>SBE Renewables Fifteen Pvt. Ltd.</t>
    </r>
  </si>
  <si>
    <r>
      <rPr>
        <b/>
        <sz val="8"/>
        <rFont val="Verdana"/>
        <family val="2"/>
      </rPr>
      <t xml:space="preserve">1200 MW ISTS
</t>
    </r>
    <r>
      <rPr>
        <b/>
        <sz val="8"/>
        <rFont val="Verdana"/>
        <family val="2"/>
      </rPr>
      <t>Connected Projects (ISTS-VIII)</t>
    </r>
  </si>
  <si>
    <r>
      <rPr>
        <b/>
        <sz val="8"/>
        <rFont val="Verdana"/>
        <family val="2"/>
      </rPr>
      <t>Vill: Mandali, Tehsil: Bap, Dist: Jodhpur, Rajasthan</t>
    </r>
  </si>
  <si>
    <r>
      <rPr>
        <b/>
        <sz val="8"/>
        <rFont val="Verdana"/>
        <family val="2"/>
      </rPr>
      <t>Vill: Badi Sid, Tehsil:Bap, Dist: Jpdhpur, Rajasthan</t>
    </r>
  </si>
  <si>
    <r>
      <rPr>
        <b/>
        <sz val="8"/>
        <rFont val="Verdana"/>
        <family val="2"/>
      </rPr>
      <t>AMP Energy Green Pvt. Ltd.</t>
    </r>
  </si>
  <si>
    <r>
      <rPr>
        <b/>
        <sz val="8"/>
        <rFont val="Verdana"/>
        <family val="2"/>
      </rPr>
      <t>Vill: Ekalpar, Tehsil: Sam, Dist: Jaisalmer, Rajasthan</t>
    </r>
  </si>
  <si>
    <r>
      <rPr>
        <b/>
        <sz val="8"/>
        <rFont val="Verdana"/>
        <family val="2"/>
      </rPr>
      <t>Eden Renewable Alma Pvt. Ltd.</t>
    </r>
  </si>
  <si>
    <r>
      <rPr>
        <b/>
        <sz val="8"/>
        <rFont val="Verdana"/>
        <family val="2"/>
      </rPr>
      <t>Kansingh ki Sir (Sid), Tehsil: Bap, Dist: Jodhpur, Rajasthan</t>
    </r>
  </si>
  <si>
    <r>
      <rPr>
        <b/>
        <sz val="8"/>
        <rFont val="Verdana"/>
        <family val="2"/>
      </rPr>
      <t>ReNew Solar Power Pvt. Ltd.</t>
    </r>
  </si>
  <si>
    <r>
      <rPr>
        <b/>
        <sz val="8"/>
        <rFont val="Times New Roman"/>
        <family val="1"/>
      </rPr>
      <t>2000 MW ISTS Connected Projects (ISTS-IX)</t>
    </r>
  </si>
  <si>
    <r>
      <rPr>
        <b/>
        <sz val="8"/>
        <rFont val="Verdana"/>
        <family val="2"/>
      </rPr>
      <t xml:space="preserve">Village: Badi Seed &amp; Ranjeet Nagar,
</t>
    </r>
    <r>
      <rPr>
        <b/>
        <sz val="8"/>
        <rFont val="Verdana"/>
        <family val="2"/>
      </rPr>
      <t xml:space="preserve">Tehsil: Bap, Distt:
</t>
    </r>
    <r>
      <rPr>
        <b/>
        <sz val="8"/>
        <rFont val="Verdana"/>
        <family val="2"/>
      </rPr>
      <t>Jodhpur State: Rajasthan</t>
    </r>
  </si>
  <si>
    <r>
      <rPr>
        <b/>
        <sz val="8"/>
        <rFont val="Verdana"/>
        <family val="2"/>
      </rPr>
      <t>Avikiran Surya India Pvt. Ltd.</t>
    </r>
  </si>
  <si>
    <r>
      <rPr>
        <b/>
        <sz val="8"/>
        <rFont val="Verdana"/>
        <family val="2"/>
      </rPr>
      <t>Vill: Dholera 1, Jamsar, Dist: Bikaner, Rajasthan</t>
    </r>
  </si>
  <si>
    <r>
      <rPr>
        <b/>
        <sz val="8"/>
        <rFont val="Verdana"/>
        <family val="2"/>
      </rPr>
      <t>Ayana Renewable Power Pvt Ltd</t>
    </r>
  </si>
  <si>
    <r>
      <rPr>
        <b/>
        <sz val="8"/>
        <rFont val="Verdana"/>
        <family val="2"/>
      </rPr>
      <t>Bikaner District, Rajasthan</t>
    </r>
  </si>
  <si>
    <r>
      <rPr>
        <b/>
        <sz val="8"/>
        <rFont val="Verdana"/>
        <family val="2"/>
      </rPr>
      <t>Eden Renewable Bercy Pvt. Ltd.</t>
    </r>
  </si>
  <si>
    <r>
      <rPr>
        <b/>
        <sz val="8"/>
        <rFont val="Verdana"/>
        <family val="2"/>
      </rPr>
      <t xml:space="preserve">2000 MW ISTS
</t>
    </r>
    <r>
      <rPr>
        <b/>
        <sz val="8"/>
        <rFont val="Verdana"/>
        <family val="2"/>
      </rPr>
      <t>Connected Projects (ISTS-IX)</t>
    </r>
  </si>
  <si>
    <r>
      <rPr>
        <b/>
        <sz val="8"/>
        <rFont val="Verdana"/>
        <family val="2"/>
      </rPr>
      <t>Vill: Pusar/Pushad, Tehsil: Sheo, Barmer, Rajasthan</t>
    </r>
  </si>
  <si>
    <r>
      <rPr>
        <b/>
        <sz val="8"/>
        <rFont val="Verdana"/>
        <family val="2"/>
      </rPr>
      <t>IB Vogt Singapore Pte Ltd</t>
    </r>
  </si>
  <si>
    <r>
      <rPr>
        <b/>
        <sz val="8"/>
        <rFont val="Verdana"/>
        <family val="2"/>
      </rPr>
      <t xml:space="preserve">Jaisalmer (near villages Neemba, Deora), Tehsil: Fatehgarh, Distt: Jaisalmer,
</t>
    </r>
    <r>
      <rPr>
        <b/>
        <sz val="8"/>
        <rFont val="Verdana"/>
        <family val="2"/>
      </rPr>
      <t>State: Rajasthan</t>
    </r>
  </si>
  <si>
    <r>
      <rPr>
        <b/>
        <sz val="8"/>
        <rFont val="Verdana"/>
        <family val="2"/>
      </rPr>
      <t>Village - Neebma, Tehsil - Fatehgarh, Dist. - Jaisalmer, State - Rajasthan</t>
    </r>
  </si>
  <si>
    <r>
      <rPr>
        <b/>
        <sz val="8"/>
        <rFont val="Verdana"/>
        <family val="2"/>
      </rPr>
      <t>Solarpack Corporacion Technologica S.A</t>
    </r>
  </si>
  <si>
    <r>
      <rPr>
        <b/>
        <sz val="8"/>
        <rFont val="Verdana"/>
        <family val="2"/>
      </rPr>
      <t>Vill: Bari Seer, Tehsil: Baap, Dist: Jodhpur, Rajasthan</t>
    </r>
  </si>
  <si>
    <r>
      <rPr>
        <b/>
        <sz val="8"/>
        <rFont val="Verdana"/>
        <family val="2"/>
      </rPr>
      <t>ACME Aklera Power Technology Pvt. Ltd</t>
    </r>
  </si>
  <si>
    <r>
      <rPr>
        <b/>
        <sz val="8"/>
        <rFont val="Times New Roman"/>
        <family val="1"/>
      </rPr>
      <t>750 MW Rajasthan (Tranche-I)</t>
    </r>
  </si>
  <si>
    <r>
      <rPr>
        <b/>
        <sz val="8"/>
        <rFont val="Verdana"/>
        <family val="2"/>
      </rPr>
      <t>Vill: Bhainsara, Tehsil: Bhaniyana, Dist: Jaisalmer, State Rajasthan</t>
    </r>
  </si>
  <si>
    <r>
      <rPr>
        <b/>
        <sz val="8"/>
        <rFont val="Verdana"/>
        <family val="2"/>
      </rPr>
      <t>Fortum Solar Plus Pvt. Ltd.</t>
    </r>
  </si>
  <si>
    <r>
      <rPr>
        <b/>
        <sz val="8"/>
        <rFont val="Verdana"/>
        <family val="2"/>
      </rPr>
      <t>Vill: Bainsada , Tehsil: Pokhran, Dist: Jaisalmer, State Rajasthan</t>
    </r>
  </si>
  <si>
    <r>
      <rPr>
        <b/>
        <sz val="8"/>
        <rFont val="Verdana"/>
        <family val="2"/>
      </rPr>
      <t>ReNew Solar Energy (Jharkhand Five) Pvt. Ltd</t>
    </r>
  </si>
  <si>
    <r>
      <rPr>
        <b/>
        <sz val="8"/>
        <rFont val="Verdana"/>
        <family val="2"/>
      </rPr>
      <t>Vill: Bhainsara, Tehsil: Fatehgarh, Dist: Jaisalmer, State Rajasthan</t>
    </r>
  </si>
  <si>
    <r>
      <rPr>
        <b/>
        <sz val="8"/>
        <rFont val="Verdana"/>
        <family val="2"/>
      </rPr>
      <t>Sitara Solar Energy Pvt. Ltd.</t>
    </r>
  </si>
  <si>
    <r>
      <rPr>
        <b/>
        <sz val="8"/>
        <rFont val="Verdana"/>
        <family val="2"/>
      </rPr>
      <t>Vill: Kanasar, Tehsil: Bap, Dist: Jodhpur, State Rajasthan</t>
    </r>
  </si>
  <si>
    <r>
      <rPr>
        <b/>
        <sz val="8"/>
        <rFont val="Verdana"/>
        <family val="2"/>
      </rPr>
      <t>Palimarwar Solar House Pvt. Ltd.</t>
    </r>
  </si>
  <si>
    <r>
      <rPr>
        <b/>
        <sz val="8"/>
        <rFont val="Verdana"/>
        <family val="2"/>
      </rPr>
      <t>Vill: Hariyasar, Tehsil: Pokhran, Dist: Jaisalmer, State Rajasthan</t>
    </r>
  </si>
  <si>
    <r>
      <rPr>
        <b/>
        <sz val="8"/>
        <rFont val="Verdana"/>
        <family val="2"/>
      </rPr>
      <t>NTPC Limited</t>
    </r>
  </si>
  <si>
    <r>
      <rPr>
        <b/>
        <sz val="8"/>
        <rFont val="Verdana"/>
        <family val="2"/>
      </rPr>
      <t>750 MW Rajasthan (Tranche-II)</t>
    </r>
  </si>
  <si>
    <r>
      <rPr>
        <b/>
        <sz val="8"/>
        <rFont val="Verdana"/>
        <family val="2"/>
      </rPr>
      <t>Vill: Jetsar, Dist. Sri Ganga Nagar, Rajasthan</t>
    </r>
  </si>
  <si>
    <r>
      <rPr>
        <b/>
        <sz val="8"/>
        <rFont val="Verdana"/>
        <family val="2"/>
      </rPr>
      <t>-</t>
    </r>
  </si>
  <si>
    <r>
      <rPr>
        <b/>
        <sz val="8"/>
        <rFont val="Verdana"/>
        <family val="2"/>
      </rPr>
      <t>Bikaner Dist. Rajasthan</t>
    </r>
  </si>
  <si>
    <r>
      <rPr>
        <b/>
        <sz val="8"/>
        <rFont val="Verdana"/>
        <family val="2"/>
      </rPr>
      <t>Clean Solar Power (BHAINSADA) Pvt. Ltd.</t>
    </r>
  </si>
  <si>
    <r>
      <rPr>
        <b/>
        <sz val="8"/>
        <rFont val="Verdana"/>
        <family val="2"/>
      </rPr>
      <t xml:space="preserve">Vill: Bhainsada, Amarsar/Balwantgarh, Tehsil: Bhaniyana, Dist:
</t>
    </r>
    <r>
      <rPr>
        <b/>
        <sz val="8"/>
        <rFont val="Verdana"/>
        <family val="2"/>
      </rPr>
      <t>Jaisalmer, Rajasthan</t>
    </r>
  </si>
  <si>
    <r>
      <rPr>
        <b/>
        <sz val="8"/>
        <rFont val="Verdana"/>
        <family val="2"/>
      </rPr>
      <t>Auxo Sunlight Pvt. Ltd.</t>
    </r>
  </si>
  <si>
    <r>
      <rPr>
        <b/>
        <sz val="8"/>
        <rFont val="Verdana"/>
        <family val="2"/>
      </rPr>
      <t>150 MW Grid Connected Floating Solar PV Plants</t>
    </r>
  </si>
  <si>
    <r>
      <rPr>
        <b/>
        <sz val="8"/>
        <rFont val="Verdana"/>
        <family val="2"/>
      </rPr>
      <t>Uttar Pradesh</t>
    </r>
  </si>
  <si>
    <r>
      <rPr>
        <b/>
        <sz val="8"/>
        <rFont val="Verdana"/>
        <family val="2"/>
      </rPr>
      <t>Rihand Dam, Sonbhadra Dist. UP</t>
    </r>
  </si>
  <si>
    <r>
      <rPr>
        <b/>
        <sz val="8"/>
        <rFont val="Verdana"/>
        <family val="2"/>
      </rPr>
      <t>ReNew Sun Power Pvt. Ltd.</t>
    </r>
  </si>
  <si>
    <r>
      <rPr>
        <b/>
        <sz val="8"/>
        <rFont val="Verdana"/>
        <family val="2"/>
      </rPr>
      <t>Rihan Floating Solar Pvt. Ltd.</t>
    </r>
  </si>
  <si>
    <r>
      <rPr>
        <b/>
        <sz val="8"/>
        <rFont val="Verdana"/>
        <family val="2"/>
      </rPr>
      <t>SB Energy Seven Pvt Ltd.</t>
    </r>
  </si>
  <si>
    <r>
      <rPr>
        <b/>
        <sz val="8"/>
        <rFont val="Verdana"/>
        <family val="2"/>
      </rPr>
      <t>750 MW Kadapa Solar Park (5000 MW VGF Scheme)</t>
    </r>
  </si>
  <si>
    <r>
      <rPr>
        <b/>
        <sz val="8"/>
        <rFont val="Verdana"/>
        <family val="2"/>
      </rPr>
      <t>Andhra Pradesh</t>
    </r>
  </si>
  <si>
    <r>
      <rPr>
        <b/>
        <sz val="8"/>
        <rFont val="Verdana"/>
        <family val="2"/>
      </rPr>
      <t>Kadapa Solar Park</t>
    </r>
  </si>
  <si>
    <r>
      <rPr>
        <b/>
        <sz val="8"/>
        <rFont val="Verdana"/>
        <family val="2"/>
      </rPr>
      <t>Sprng Soura Kiran Vidyut Pvt Ltd.</t>
    </r>
  </si>
  <si>
    <r>
      <rPr>
        <b/>
        <sz val="8"/>
        <rFont val="Verdana"/>
        <family val="2"/>
      </rPr>
      <t>Ayana Renewable Power Pvt. Ltd.</t>
    </r>
  </si>
  <si>
    <r>
      <rPr>
        <b/>
        <sz val="8"/>
        <rFont val="Verdana"/>
        <family val="2"/>
      </rPr>
      <t>CPSU Scheme (Tranche-I, 2000 MW)</t>
    </r>
  </si>
  <si>
    <r>
      <rPr>
        <b/>
        <sz val="8"/>
        <rFont val="Verdana"/>
        <family val="2"/>
      </rPr>
      <t>Any where in India</t>
    </r>
  </si>
  <si>
    <r>
      <rPr>
        <b/>
        <sz val="8"/>
        <rFont val="Verdana"/>
        <family val="2"/>
      </rPr>
      <t>NHDC LTD</t>
    </r>
  </si>
  <si>
    <r>
      <rPr>
        <b/>
        <sz val="8"/>
        <rFont val="Verdana"/>
        <family val="2"/>
      </rPr>
      <t>Madhya pradesh</t>
    </r>
  </si>
  <si>
    <r>
      <rPr>
        <b/>
        <sz val="8"/>
        <rFont val="Verdana"/>
        <family val="2"/>
      </rPr>
      <t>The singareni Collieries Company limited</t>
    </r>
  </si>
  <si>
    <r>
      <rPr>
        <b/>
        <sz val="8"/>
        <rFont val="Verdana"/>
        <family val="2"/>
      </rPr>
      <t>Various of Areas of SCCL</t>
    </r>
  </si>
  <si>
    <r>
      <rPr>
        <b/>
        <sz val="8"/>
        <rFont val="Verdana"/>
        <family val="2"/>
      </rPr>
      <t>Assam power Distribution Company Limited</t>
    </r>
  </si>
  <si>
    <r>
      <rPr>
        <b/>
        <sz val="8"/>
        <rFont val="Verdana"/>
        <family val="2"/>
      </rPr>
      <t>Assam</t>
    </r>
  </si>
  <si>
    <r>
      <rPr>
        <b/>
        <sz val="8"/>
        <rFont val="Verdana"/>
        <family val="2"/>
      </rPr>
      <t>Lower Assam zone, 2. Central Assam Zone,3 cachar,karimga nj, Hailakandi Assam</t>
    </r>
  </si>
  <si>
    <r>
      <rPr>
        <b/>
        <sz val="8"/>
        <rFont val="Verdana"/>
        <family val="2"/>
      </rPr>
      <t>Delhi Metro Rail Corporation Limited</t>
    </r>
  </si>
  <si>
    <r>
      <rPr>
        <b/>
        <sz val="8"/>
        <rFont val="Verdana"/>
        <family val="2"/>
      </rPr>
      <t>Delhi</t>
    </r>
  </si>
  <si>
    <r>
      <rPr>
        <b/>
        <sz val="8"/>
        <rFont val="Verdana"/>
        <family val="2"/>
      </rPr>
      <t>Metro Station Depots etc.of DMRC, Delhi</t>
    </r>
  </si>
  <si>
    <r>
      <rPr>
        <b/>
        <sz val="8"/>
        <rFont val="Verdana"/>
        <family val="2"/>
      </rPr>
      <t>Nalanda University</t>
    </r>
  </si>
  <si>
    <r>
      <rPr>
        <b/>
        <sz val="8"/>
        <rFont val="Verdana"/>
        <family val="2"/>
      </rPr>
      <t>Bihar</t>
    </r>
  </si>
  <si>
    <r>
      <rPr>
        <b/>
        <sz val="8"/>
        <rFont val="Verdana"/>
        <family val="2"/>
      </rPr>
      <t>Nalanda University, Rajgir</t>
    </r>
  </si>
  <si>
    <r>
      <rPr>
        <b/>
        <sz val="8"/>
        <rFont val="Verdana"/>
        <family val="2"/>
      </rPr>
      <t>CPSU Scheme (Tranche-II, 1500 MW)</t>
    </r>
  </si>
  <si>
    <r>
      <rPr>
        <b/>
        <sz val="8"/>
        <rFont val="Verdana"/>
        <family val="2"/>
      </rPr>
      <t>The Singareni Collieries Company Limited</t>
    </r>
  </si>
  <si>
    <r>
      <rPr>
        <b/>
        <sz val="8"/>
        <rFont val="Verdana"/>
        <family val="2"/>
      </rPr>
      <t>Indore Municipal Corporation</t>
    </r>
  </si>
  <si>
    <r>
      <rPr>
        <b/>
        <sz val="8"/>
        <rFont val="Verdana"/>
        <family val="2"/>
      </rPr>
      <t xml:space="preserve">Yaswnath Sagar Dam Reservoir,Hatod Village, Indore District,madhya
</t>
    </r>
    <r>
      <rPr>
        <b/>
        <sz val="8"/>
        <rFont val="Verdana"/>
        <family val="2"/>
      </rPr>
      <t>pradesh</t>
    </r>
  </si>
  <si>
    <t>Status of Underconstruction Solar Power Projects</t>
  </si>
  <si>
    <t>Physical Progress</t>
  </si>
  <si>
    <t>S- NO</t>
  </si>
  <si>
    <t>SPV/ Parent/ Holding Company (Name of Project Company/ SPD)</t>
  </si>
  <si>
    <t>Bidding Scheme</t>
  </si>
  <si>
    <t>Original Scheduled Commissioning Date</t>
  </si>
  <si>
    <t>Revised Scheduled Commisioning Date</t>
  </si>
  <si>
    <t>Scheduled/E xtended FC Date</t>
  </si>
  <si>
    <t>Financial Closure</t>
  </si>
  <si>
    <t>Land Acquisition</t>
  </si>
  <si>
    <t>Plant material order</t>
  </si>
  <si>
    <t>Plant Erection status</t>
  </si>
  <si>
    <t>Mahindra Renewables Private Limited</t>
  </si>
  <si>
    <r>
      <rPr>
        <b/>
        <sz val="10"/>
        <rFont val="Verdana"/>
        <family val="2"/>
      </rPr>
      <t>2000 MW ISTS
Connected Solar PV Projects (ISTS-I)</t>
    </r>
  </si>
  <si>
    <t>Achieved</t>
  </si>
  <si>
    <t>completed</t>
  </si>
  <si>
    <t>Under Progress</t>
  </si>
  <si>
    <t>Kilaj Solar (Maharashtra) Pvt. Ltd</t>
  </si>
  <si>
    <t>ACME Raisar Solar Energy Private Limited</t>
  </si>
  <si>
    <t>ACME Phalodi Solar Energy Private Limited</t>
  </si>
  <si>
    <t>Azure Power Forty Three Private Limited</t>
  </si>
  <si>
    <t>Clean Solar Power (Jodhpur) Pvt. Ltd</t>
  </si>
  <si>
    <t>Arina Solar Private Limited</t>
  </si>
  <si>
    <t>ACME Deoghar Solar Power Pvt. Ltd.</t>
  </si>
  <si>
    <r>
      <rPr>
        <b/>
        <sz val="10"/>
        <rFont val="Verdana"/>
        <family val="2"/>
      </rPr>
      <t>3000 MW ISTS
Connected Solar PV Projects (ISTS-II)</t>
    </r>
  </si>
  <si>
    <t>ACME Dhaulpur Powertech Pvt. Ltd.</t>
  </si>
  <si>
    <t>SBSR Power Cleantech Eleven Pvt. Ltd.</t>
  </si>
  <si>
    <r>
      <rPr>
        <b/>
        <sz val="10"/>
        <rFont val="Verdana"/>
        <family val="2"/>
      </rPr>
      <t>1200 MW ISTS
Connected  Projects (ISTS-III)</t>
    </r>
  </si>
  <si>
    <r>
      <rPr>
        <b/>
        <sz val="10"/>
        <rFont val="Verdana"/>
        <family val="2"/>
      </rPr>
      <t>ReNew Sun Waves Pvt.
Ltd.</t>
    </r>
  </si>
  <si>
    <r>
      <rPr>
        <b/>
        <sz val="10"/>
        <rFont val="Verdana"/>
        <family val="2"/>
      </rPr>
      <t>Eden Renewable Cite Pvt.
Ltd.</t>
    </r>
  </si>
  <si>
    <t>Azure Power Forty One Pvt. Ltd.</t>
  </si>
  <si>
    <t>Ayana Renewable Power One Pvt. Ltd.</t>
  </si>
  <si>
    <r>
      <rPr>
        <b/>
        <sz val="10"/>
        <rFont val="Verdana"/>
        <family val="2"/>
      </rPr>
      <t>1200 MW ISTS
Connected  Projects (ISTS-IV)</t>
    </r>
  </si>
  <si>
    <t>Not started</t>
  </si>
  <si>
    <r>
      <rPr>
        <b/>
        <sz val="10"/>
        <rFont val="Verdana"/>
        <family val="2"/>
      </rPr>
      <t>Renew Solar Energy (Jharkhand Three) Pvt.
Ltd.</t>
    </r>
  </si>
  <si>
    <r>
      <rPr>
        <b/>
        <sz val="10"/>
        <rFont val="Verdana"/>
        <family val="2"/>
      </rPr>
      <t>Azure Power Maple Pvt.
Ltd.</t>
    </r>
  </si>
  <si>
    <t>Mega SuryaUrja Pvt. Ltd.</t>
  </si>
  <si>
    <t>NA</t>
  </si>
  <si>
    <t>GRT Jewellers (India) Pvt. Ltd.</t>
  </si>
  <si>
    <r>
      <rPr>
        <b/>
        <sz val="10"/>
        <rFont val="Verdana"/>
        <family val="2"/>
      </rPr>
      <t>1200 MW ISTS
Connected Projects (ISTS-V)</t>
    </r>
  </si>
  <si>
    <t>SBE Renewables Sixteen Pvt. Ltd.</t>
  </si>
  <si>
    <t>Avaada Sustainable RJProject Private Limited</t>
  </si>
  <si>
    <r>
      <rPr>
        <b/>
        <sz val="10"/>
        <rFont val="Verdana"/>
        <family val="2"/>
      </rPr>
      <t>1200 MW ISTS
Connected Projects (ISTS-VI)</t>
    </r>
  </si>
  <si>
    <t>Masaya Solar Energy Private Limited</t>
  </si>
  <si>
    <t>ReNew Solar Urja Private Limited</t>
  </si>
  <si>
    <t>SBE Renewables Fifteen Pvt. Ltd.</t>
  </si>
  <si>
    <r>
      <rPr>
        <b/>
        <sz val="10"/>
        <rFont val="Verdana"/>
        <family val="2"/>
      </rPr>
      <t>1200 MW ISTS
Connected Projects (ISTS-VIII)</t>
    </r>
  </si>
  <si>
    <t>Under Process</t>
  </si>
  <si>
    <t>Not Started</t>
  </si>
  <si>
    <t>AMP Energy Green Pvt. Ltd.</t>
  </si>
  <si>
    <t>PPA &amp; PSA yet to be executed</t>
  </si>
  <si>
    <t>Eden Renewable Alma Pvt. Ltd.</t>
  </si>
  <si>
    <t>ReNew Solar Power Pvt. Ltd.</t>
  </si>
  <si>
    <r>
      <rPr>
        <b/>
        <sz val="10"/>
        <rFont val="Verdana"/>
        <family val="2"/>
      </rPr>
      <t>2000 MW ISTS
Connected Projects (ISTS-IX)</t>
    </r>
  </si>
  <si>
    <t>Avikiran Surya India Pvt. Ltd.</t>
  </si>
  <si>
    <t>Ayana Renewable Power Pvt Ltd</t>
  </si>
  <si>
    <t>Eden Renewable Bercy Pvt. Ltd.</t>
  </si>
  <si>
    <t>IB Vogt Singapore Pte Ltd</t>
  </si>
  <si>
    <t>Solarpack Corporacion Technologica S.A</t>
  </si>
  <si>
    <t>ACME Aklera Power Technology Pvt. Ltd</t>
  </si>
  <si>
    <t>750 MW Rajasthan (Tranche-I)</t>
  </si>
  <si>
    <t>Fortum Solar Plus Pvt. Ltd.</t>
  </si>
  <si>
    <t>ReNew Solar Energy (Jharkhand Five) Pvt. Ltd</t>
  </si>
  <si>
    <r>
      <rPr>
        <b/>
        <sz val="10"/>
        <rFont val="Verdana"/>
        <family val="2"/>
      </rPr>
      <t>Sitara Solar Energy Pvt.
Ltd.</t>
    </r>
  </si>
  <si>
    <t>Palimarwar Solar House Pvt. Ltd.</t>
  </si>
  <si>
    <t>NTPC Limited</t>
  </si>
  <si>
    <t>750 MW Rajasthan (Tranche-II)</t>
  </si>
  <si>
    <t>-</t>
  </si>
  <si>
    <r>
      <rPr>
        <b/>
        <sz val="10"/>
        <rFont val="Verdana"/>
        <family val="2"/>
      </rPr>
      <t>Clean Solar Power (BHAINSADA) Pvt.
Ltd.</t>
    </r>
  </si>
  <si>
    <t>Auxo Sunlight Pvt. Ltd.</t>
  </si>
  <si>
    <t>150 MW Grid Connected Floating Solar PV Plants</t>
  </si>
  <si>
    <r>
      <rPr>
        <b/>
        <sz val="10"/>
        <rFont val="Verdana"/>
        <family val="2"/>
      </rPr>
      <t>ReNew Sun Power Pvt.
Ltd.</t>
    </r>
  </si>
  <si>
    <r>
      <rPr>
        <b/>
        <sz val="10"/>
        <rFont val="Verdana"/>
        <family val="2"/>
      </rPr>
      <t>Rihan Floating Solar Pvt.
Ltd.</t>
    </r>
  </si>
  <si>
    <t>SB Energy Seven Pvt Ltd.</t>
  </si>
  <si>
    <r>
      <rPr>
        <b/>
        <sz val="10"/>
        <rFont val="Verdana"/>
        <family val="2"/>
      </rPr>
      <t>750 MW Kadapa
Solar Park (5000 MW VGF Scheme)</t>
    </r>
  </si>
  <si>
    <t>Not Complied</t>
  </si>
  <si>
    <t>Not handed over by ASPCL</t>
  </si>
  <si>
    <t>Sprng Soura Kiran Vidyut Pvt Ltd.</t>
  </si>
  <si>
    <t>Ayana Renewable Power Pvt. Ltd.</t>
  </si>
  <si>
    <t>CPSU Scheme (Tranche-I, 2000 MW)</t>
  </si>
  <si>
    <t>NHDC LTD</t>
  </si>
  <si>
    <t>The singareni Collieries Company limited</t>
  </si>
  <si>
    <t>Assam power Distribution Company Limited</t>
  </si>
  <si>
    <t>Delhi Metro Rail Corporation Limited</t>
  </si>
  <si>
    <t>Nalanda University</t>
  </si>
  <si>
    <t>CPSU Scheme (Tranche-II, 1500 MW)</t>
  </si>
  <si>
    <t>The Singareni Collieries Company Limited</t>
  </si>
  <si>
    <t>Indore Municipal Corporation</t>
  </si>
  <si>
    <t>Bihar</t>
  </si>
  <si>
    <t>Allocated</t>
  </si>
  <si>
    <t>Unallocated</t>
  </si>
  <si>
    <r>
      <rPr>
        <b/>
        <sz val="12.5"/>
        <rFont val="Calibri"/>
        <family val="1"/>
      </rPr>
      <t xml:space="preserve">Central Electricity Authority / </t>
    </r>
    <r>
      <rPr>
        <b/>
        <sz val="12.5"/>
        <rFont val="Nirmala UI"/>
        <family val="2"/>
      </rPr>
      <t>के न्द्रीय विद्यत</t>
    </r>
    <r>
      <rPr>
        <b/>
        <vertAlign val="subscript"/>
        <sz val="12.5"/>
        <rFont val="Nirmala UI"/>
        <family val="2"/>
      </rPr>
      <t xml:space="preserve">ु   </t>
    </r>
    <r>
      <rPr>
        <b/>
        <sz val="12.5"/>
        <rFont val="Nirmala UI"/>
        <family val="2"/>
      </rPr>
      <t>प्राधिकरण</t>
    </r>
  </si>
  <si>
    <r>
      <rPr>
        <b/>
        <sz val="11"/>
        <rFont val="Calibri"/>
        <family val="1"/>
      </rPr>
      <t>Renewable Energy Project Monitoring Division/</t>
    </r>
    <r>
      <rPr>
        <b/>
        <sz val="11"/>
        <rFont val="Nirmala UI"/>
        <family val="2"/>
      </rPr>
      <t>निीकरणीय ऊर्ाा पररयोर्ना प्रबोिन प्रभाग</t>
    </r>
  </si>
  <si>
    <r>
      <rPr>
        <b/>
        <sz val="9"/>
        <rFont val="Calibri"/>
        <family val="1"/>
      </rPr>
      <t>Summary of Underconstruction Wind Power Projects</t>
    </r>
  </si>
  <si>
    <r>
      <rPr>
        <b/>
        <sz val="9"/>
        <rFont val="Calibri"/>
        <family val="1"/>
      </rPr>
      <t>Total Capacity Tendered  (MW)</t>
    </r>
  </si>
  <si>
    <r>
      <rPr>
        <b/>
        <sz val="9"/>
        <rFont val="Calibri"/>
        <family val="1"/>
      </rPr>
      <t>Under construction Capacity  (MW)</t>
    </r>
  </si>
  <si>
    <r>
      <rPr>
        <b/>
        <sz val="9"/>
        <rFont val="Calibri"/>
        <family val="1"/>
      </rPr>
      <t>Trenche I</t>
    </r>
  </si>
  <si>
    <r>
      <rPr>
        <b/>
        <sz val="9"/>
        <rFont val="Calibri"/>
        <family val="1"/>
      </rPr>
      <t>Trenche II</t>
    </r>
  </si>
  <si>
    <r>
      <rPr>
        <b/>
        <sz val="9"/>
        <rFont val="Calibri"/>
        <family val="1"/>
      </rPr>
      <t>Trenche III</t>
    </r>
  </si>
  <si>
    <r>
      <rPr>
        <b/>
        <sz val="9"/>
        <rFont val="Calibri"/>
        <family val="1"/>
      </rPr>
      <t>Trenche IV</t>
    </r>
  </si>
  <si>
    <r>
      <rPr>
        <b/>
        <sz val="9"/>
        <rFont val="Calibri"/>
        <family val="1"/>
      </rPr>
      <t>Trenche V</t>
    </r>
  </si>
  <si>
    <r>
      <rPr>
        <b/>
        <sz val="9"/>
        <rFont val="Calibri"/>
        <family val="1"/>
      </rPr>
      <t>Trenche VI</t>
    </r>
  </si>
  <si>
    <r>
      <rPr>
        <b/>
        <sz val="9"/>
        <rFont val="Calibri"/>
        <family val="1"/>
      </rPr>
      <t>Trenche VII</t>
    </r>
  </si>
  <si>
    <r>
      <rPr>
        <b/>
        <sz val="9"/>
        <rFont val="Calibri"/>
        <family val="1"/>
      </rPr>
      <t>Trenche VIII</t>
    </r>
  </si>
  <si>
    <r>
      <rPr>
        <b/>
        <sz val="9"/>
        <rFont val="Calibri"/>
        <family val="1"/>
      </rPr>
      <t>Trenche IX</t>
    </r>
  </si>
  <si>
    <r>
      <rPr>
        <b/>
        <sz val="8"/>
        <rFont val="Verdana"/>
        <family val="2"/>
      </rPr>
      <t>Status of Underconstruction wind Power Projects</t>
    </r>
  </si>
  <si>
    <r>
      <rPr>
        <b/>
        <sz val="8"/>
        <rFont val="Verdana"/>
        <family val="2"/>
      </rPr>
      <t>S- NO</t>
    </r>
  </si>
  <si>
    <r>
      <rPr>
        <b/>
        <sz val="8"/>
        <rFont val="Verdana"/>
        <family val="2"/>
      </rPr>
      <t>Capacity  (MW) (Awarded)</t>
    </r>
  </si>
  <si>
    <r>
      <rPr>
        <b/>
        <sz val="8"/>
        <rFont val="Verdana"/>
        <family val="2"/>
      </rPr>
      <t>Balance Capacity (MW)</t>
    </r>
  </si>
  <si>
    <r>
      <rPr>
        <b/>
        <sz val="8"/>
        <rFont val="Verdana"/>
        <family val="2"/>
      </rPr>
      <t>Inox Wind Infrastructure Services Limited</t>
    </r>
  </si>
  <si>
    <r>
      <rPr>
        <b/>
        <sz val="8"/>
        <rFont val="Verdana"/>
        <family val="2"/>
      </rPr>
      <t>Tranche I</t>
    </r>
  </si>
  <si>
    <r>
      <rPr>
        <b/>
        <sz val="8"/>
        <rFont val="Verdana"/>
        <family val="2"/>
      </rPr>
      <t>Wind</t>
    </r>
  </si>
  <si>
    <r>
      <rPr>
        <b/>
        <sz val="8"/>
        <rFont val="Verdana"/>
        <family val="2"/>
      </rPr>
      <t>Gujarat</t>
    </r>
  </si>
  <si>
    <r>
      <rPr>
        <b/>
        <sz val="8"/>
        <rFont val="Verdana"/>
        <family val="2"/>
      </rPr>
      <t>Kutch</t>
    </r>
  </si>
  <si>
    <r>
      <rPr>
        <b/>
        <sz val="8"/>
        <rFont val="Verdana"/>
        <family val="2"/>
      </rPr>
      <t>ReNew Power Ventures Private Limited</t>
    </r>
  </si>
  <si>
    <r>
      <rPr>
        <b/>
        <sz val="8"/>
        <rFont val="Verdana"/>
        <family val="2"/>
      </rPr>
      <t>Tranche II</t>
    </r>
  </si>
  <si>
    <r>
      <rPr>
        <b/>
        <sz val="8"/>
        <rFont val="Verdana"/>
        <family val="2"/>
      </rPr>
      <t>ReNew Wind Energy (AP2) Private Limited</t>
    </r>
  </si>
  <si>
    <r>
      <rPr>
        <b/>
        <sz val="8"/>
        <rFont val="Verdana"/>
        <family val="2"/>
      </rPr>
      <t>Tranche III</t>
    </r>
  </si>
  <si>
    <r>
      <rPr>
        <b/>
        <sz val="8"/>
        <rFont val="Verdana"/>
        <family val="2"/>
      </rPr>
      <t>Torrent Power Limited</t>
    </r>
  </si>
  <si>
    <r>
      <rPr>
        <b/>
        <sz val="8"/>
        <rFont val="Verdana"/>
        <family val="2"/>
      </rPr>
      <t>Alfanar Energy Private Limited</t>
    </r>
  </si>
  <si>
    <r>
      <rPr>
        <b/>
        <sz val="8"/>
        <rFont val="Verdana"/>
        <family val="2"/>
      </rPr>
      <t>Adani Green Energy (MP) Limited</t>
    </r>
  </si>
  <si>
    <r>
      <rPr>
        <b/>
        <sz val="8"/>
        <rFont val="Verdana"/>
        <family val="2"/>
      </rPr>
      <t>Srijan Energy Systems Private Limited</t>
    </r>
  </si>
  <si>
    <r>
      <rPr>
        <b/>
        <sz val="8"/>
        <rFont val="Verdana"/>
        <family val="2"/>
      </rPr>
      <t>Tranche IV</t>
    </r>
  </si>
  <si>
    <r>
      <rPr>
        <b/>
        <sz val="8"/>
        <rFont val="Verdana"/>
        <family val="2"/>
      </rPr>
      <t>Sprng Renewable Energy Private Limited</t>
    </r>
  </si>
  <si>
    <r>
      <rPr>
        <b/>
        <sz val="8"/>
        <rFont val="Verdana"/>
        <family val="2"/>
      </rPr>
      <t>Karur Dist</t>
    </r>
  </si>
  <si>
    <r>
      <rPr>
        <b/>
        <sz val="8"/>
        <rFont val="Verdana"/>
        <family val="2"/>
      </rPr>
      <t>Avikiran Solar India Pvt Ltd.</t>
    </r>
  </si>
  <si>
    <r>
      <rPr>
        <b/>
        <sz val="8"/>
        <rFont val="Verdana"/>
        <family val="2"/>
      </rPr>
      <t>Vivid Solaire Energy Pvt. Ltd.</t>
    </r>
  </si>
  <si>
    <r>
      <rPr>
        <b/>
        <sz val="8"/>
        <rFont val="Verdana"/>
        <family val="2"/>
      </rPr>
      <t>Thirunelveli</t>
    </r>
  </si>
  <si>
    <r>
      <rPr>
        <b/>
        <sz val="8"/>
        <rFont val="Verdana"/>
        <family val="2"/>
      </rPr>
      <t>Adani Renewable Energy (TN) Limited</t>
    </r>
  </si>
  <si>
    <r>
      <rPr>
        <b/>
        <sz val="8"/>
        <rFont val="Verdana"/>
        <family val="2"/>
      </rPr>
      <t>Mytrah Vayu (Brahmaput ra) Pvt Ltd</t>
    </r>
  </si>
  <si>
    <r>
      <rPr>
        <b/>
        <sz val="8"/>
        <rFont val="Verdana"/>
        <family val="2"/>
      </rPr>
      <t>Kerela</t>
    </r>
  </si>
  <si>
    <r>
      <rPr>
        <b/>
        <sz val="8"/>
        <rFont val="Verdana"/>
        <family val="2"/>
      </rPr>
      <t>Palakkad</t>
    </r>
  </si>
  <si>
    <r>
      <rPr>
        <b/>
        <sz val="8"/>
        <rFont val="Verdana"/>
        <family val="2"/>
      </rPr>
      <t>ReNew Wind Energy (TN) Private Limited</t>
    </r>
  </si>
  <si>
    <r>
      <rPr>
        <b/>
        <sz val="8"/>
        <rFont val="Verdana"/>
        <family val="2"/>
      </rPr>
      <t>Tranche V</t>
    </r>
  </si>
  <si>
    <r>
      <rPr>
        <b/>
        <sz val="8"/>
        <rFont val="Verdana"/>
        <family val="2"/>
      </rPr>
      <t>Adani Wind Energy (GJ) Limited</t>
    </r>
  </si>
  <si>
    <r>
      <rPr>
        <b/>
        <sz val="8"/>
        <rFont val="Verdana"/>
        <family val="2"/>
      </rPr>
      <t>Alfanar Energy Pvt. Ltd.</t>
    </r>
  </si>
  <si>
    <r>
      <rPr>
        <b/>
        <sz val="8"/>
        <rFont val="Verdana"/>
        <family val="2"/>
      </rPr>
      <t xml:space="preserve">Kotda Madh village,
</t>
    </r>
    <r>
      <rPr>
        <b/>
        <sz val="8"/>
        <rFont val="Verdana"/>
        <family val="2"/>
      </rPr>
      <t>Lakhpat Taluk, Kutch district.</t>
    </r>
  </si>
  <si>
    <r>
      <rPr>
        <b/>
        <sz val="8"/>
        <rFont val="Verdana"/>
        <family val="2"/>
      </rPr>
      <t>Sitac Kabini Renewables Private Limited</t>
    </r>
  </si>
  <si>
    <r>
      <rPr>
        <b/>
        <sz val="8"/>
        <rFont val="Verdana"/>
        <family val="2"/>
      </rPr>
      <t>Ecoren Energy India Private Limited</t>
    </r>
  </si>
  <si>
    <r>
      <rPr>
        <b/>
        <sz val="8"/>
        <rFont val="Verdana"/>
        <family val="2"/>
      </rPr>
      <t>Karnataka</t>
    </r>
  </si>
  <si>
    <r>
      <rPr>
        <b/>
        <sz val="8"/>
        <rFont val="Verdana"/>
        <family val="2"/>
      </rPr>
      <t>Chittaradurga</t>
    </r>
  </si>
  <si>
    <r>
      <rPr>
        <b/>
        <sz val="8"/>
        <rFont val="Verdana"/>
        <family val="2"/>
      </rPr>
      <t>Adani Renewable Energy Park (Gujarat) Limited</t>
    </r>
  </si>
  <si>
    <r>
      <rPr>
        <b/>
        <sz val="8"/>
        <rFont val="Verdana"/>
        <family val="2"/>
      </rPr>
      <t>Tranche VI</t>
    </r>
  </si>
  <si>
    <r>
      <rPr>
        <b/>
        <sz val="8"/>
        <rFont val="Verdana"/>
        <family val="2"/>
      </rPr>
      <t>Rajgarh</t>
    </r>
  </si>
  <si>
    <r>
      <rPr>
        <b/>
        <sz val="8"/>
        <rFont val="Verdana"/>
        <family val="2"/>
      </rPr>
      <t>Powerica Limited</t>
    </r>
  </si>
  <si>
    <r>
      <rPr>
        <b/>
        <sz val="8"/>
        <rFont val="Verdana"/>
        <family val="2"/>
      </rPr>
      <t>Dwarka</t>
    </r>
  </si>
  <si>
    <r>
      <rPr>
        <b/>
        <sz val="8"/>
        <rFont val="Verdana"/>
        <family val="2"/>
      </rPr>
      <t>SBESS Services Projectco Two Private Limited</t>
    </r>
  </si>
  <si>
    <r>
      <rPr>
        <b/>
        <sz val="8"/>
        <rFont val="Verdana"/>
        <family val="2"/>
      </rPr>
      <t>Maharastra</t>
    </r>
  </si>
  <si>
    <r>
      <rPr>
        <b/>
        <sz val="8"/>
        <rFont val="Verdana"/>
        <family val="2"/>
      </rPr>
      <t>Beed</t>
    </r>
  </si>
  <si>
    <r>
      <rPr>
        <b/>
        <sz val="8"/>
        <rFont val="Verdana"/>
        <family val="2"/>
      </rPr>
      <t>Morjar Windfarm Development Pvt. Ltd.</t>
    </r>
  </si>
  <si>
    <r>
      <rPr>
        <b/>
        <sz val="8"/>
        <rFont val="Verdana"/>
        <family val="2"/>
      </rPr>
      <t>Betam Wind Energy Private Limited</t>
    </r>
  </si>
  <si>
    <r>
      <rPr>
        <b/>
        <sz val="8"/>
        <rFont val="Verdana"/>
        <family val="2"/>
      </rPr>
      <t>Tranche VII</t>
    </r>
  </si>
  <si>
    <r>
      <rPr>
        <b/>
        <sz val="8"/>
        <rFont val="Verdana"/>
        <family val="2"/>
      </rPr>
      <t>Sprng Vaayu Urja Private Limited</t>
    </r>
  </si>
  <si>
    <r>
      <rPr>
        <b/>
        <sz val="8"/>
        <rFont val="Verdana"/>
        <family val="2"/>
      </rPr>
      <t xml:space="preserve">Adani Renewable Energy
</t>
    </r>
    <r>
      <rPr>
        <b/>
        <sz val="8"/>
        <rFont val="Verdana"/>
        <family val="2"/>
      </rPr>
      <t xml:space="preserve">Park
</t>
    </r>
    <r>
      <rPr>
        <b/>
        <sz val="8"/>
        <rFont val="Verdana"/>
        <family val="2"/>
      </rPr>
      <t>(Gujarat) Limited</t>
    </r>
  </si>
  <si>
    <r>
      <rPr>
        <b/>
        <sz val="8"/>
        <rFont val="Verdana"/>
        <family val="2"/>
      </rPr>
      <t>CLP India Private Limited</t>
    </r>
  </si>
  <si>
    <r>
      <rPr>
        <b/>
        <sz val="8"/>
        <rFont val="Verdana"/>
        <family val="2"/>
      </rPr>
      <t>Tranche VIII</t>
    </r>
  </si>
  <si>
    <r>
      <rPr>
        <b/>
        <sz val="8"/>
        <rFont val="Verdana"/>
        <family val="2"/>
      </rPr>
      <t>Sidhpur, Dwarka Gujarat</t>
    </r>
  </si>
  <si>
    <r>
      <rPr>
        <b/>
        <sz val="8"/>
        <rFont val="Verdana"/>
        <family val="2"/>
      </rPr>
      <t>Avikiran Energy India Private Limited</t>
    </r>
  </si>
  <si>
    <r>
      <rPr>
        <b/>
        <sz val="8"/>
        <rFont val="Verdana"/>
        <family val="2"/>
      </rPr>
      <t>Physical Progress</t>
    </r>
  </si>
  <si>
    <r>
      <rPr>
        <b/>
        <sz val="8"/>
        <rFont val="Verdana"/>
        <family val="2"/>
      </rPr>
      <t>Original Scheduled Commissioning Date</t>
    </r>
  </si>
  <si>
    <r>
      <rPr>
        <b/>
        <sz val="8"/>
        <rFont val="Verdana"/>
        <family val="2"/>
      </rPr>
      <t>Revised Scheduled Commisioning Date</t>
    </r>
  </si>
  <si>
    <t>FY</t>
  </si>
  <si>
    <r>
      <rPr>
        <b/>
        <sz val="8"/>
        <rFont val="Verdana"/>
        <family val="2"/>
      </rPr>
      <t>Financial Closure</t>
    </r>
  </si>
  <si>
    <r>
      <rPr>
        <b/>
        <sz val="8"/>
        <rFont val="Verdana"/>
        <family val="2"/>
      </rPr>
      <t>Land Acquisition</t>
    </r>
  </si>
  <si>
    <r>
      <rPr>
        <b/>
        <sz val="8"/>
        <rFont val="Verdana"/>
        <family val="2"/>
      </rPr>
      <t>Plant material order</t>
    </r>
  </si>
  <si>
    <r>
      <rPr>
        <b/>
        <sz val="8"/>
        <rFont val="Verdana"/>
        <family val="2"/>
      </rPr>
      <t>Plant Erection status</t>
    </r>
  </si>
  <si>
    <r>
      <rPr>
        <b/>
        <sz val="8"/>
        <rFont val="Times New Roman"/>
        <family val="1"/>
      </rPr>
      <t>Inox Wind Infrastructure Services Limited</t>
    </r>
  </si>
  <si>
    <r>
      <rPr>
        <b/>
        <sz val="8"/>
        <rFont val="Times New Roman"/>
        <family val="1"/>
      </rPr>
      <t>Tranche I</t>
    </r>
  </si>
  <si>
    <r>
      <rPr>
        <b/>
        <sz val="8"/>
        <rFont val="Verdana"/>
        <family val="2"/>
      </rPr>
      <t>Acquired</t>
    </r>
  </si>
  <si>
    <r>
      <rPr>
        <b/>
        <sz val="8"/>
        <rFont val="Verdana"/>
        <family val="2"/>
      </rPr>
      <t>completed</t>
    </r>
  </si>
  <si>
    <r>
      <rPr>
        <b/>
        <sz val="8"/>
        <rFont val="Calibri"/>
        <family val="1"/>
      </rPr>
      <t>ReNew Power Ventures Private Limited</t>
    </r>
  </si>
  <si>
    <r>
      <rPr>
        <b/>
        <sz val="8"/>
        <rFont val="Times New Roman"/>
        <family val="1"/>
      </rPr>
      <t>Tranche II</t>
    </r>
  </si>
  <si>
    <r>
      <rPr>
        <b/>
        <sz val="8"/>
        <rFont val="Verdana"/>
        <family val="2"/>
      </rPr>
      <t>Under progress</t>
    </r>
  </si>
  <si>
    <r>
      <rPr>
        <b/>
        <sz val="8"/>
        <rFont val="Verdana"/>
        <family val="2"/>
      </rPr>
      <t>Not Started</t>
    </r>
  </si>
  <si>
    <r>
      <rPr>
        <b/>
        <sz val="8"/>
        <rFont val="Times New Roman"/>
        <family val="1"/>
      </rPr>
      <t>ReNew Wind Energy (AP2) Private Limited</t>
    </r>
  </si>
  <si>
    <r>
      <rPr>
        <b/>
        <sz val="8"/>
        <rFont val="Times New Roman"/>
        <family val="1"/>
      </rPr>
      <t>Tranche III</t>
    </r>
  </si>
  <si>
    <r>
      <rPr>
        <b/>
        <sz val="8"/>
        <rFont val="Verdana"/>
        <family val="2"/>
      </rPr>
      <t>Not Achieved</t>
    </r>
  </si>
  <si>
    <r>
      <rPr>
        <b/>
        <sz val="8"/>
        <rFont val="Times New Roman"/>
        <family val="1"/>
      </rPr>
      <t>Torrent Power Limited</t>
    </r>
  </si>
  <si>
    <r>
      <rPr>
        <b/>
        <sz val="8"/>
        <rFont val="Times New Roman"/>
        <family val="1"/>
      </rPr>
      <t>Alfanar Energy Private Limited</t>
    </r>
  </si>
  <si>
    <r>
      <rPr>
        <b/>
        <sz val="8"/>
        <rFont val="Verdana"/>
        <family val="2"/>
      </rPr>
      <t>Achieved</t>
    </r>
  </si>
  <si>
    <r>
      <rPr>
        <b/>
        <sz val="8"/>
        <rFont val="Verdana"/>
        <family val="2"/>
      </rPr>
      <t>Completed</t>
    </r>
  </si>
  <si>
    <r>
      <rPr>
        <b/>
        <sz val="8"/>
        <rFont val="Times New Roman"/>
        <family val="1"/>
      </rPr>
      <t>Adani Green Energy (MP) Limited</t>
    </r>
  </si>
  <si>
    <r>
      <rPr>
        <b/>
        <sz val="8"/>
        <rFont val="Verdana"/>
        <family val="2"/>
      </rPr>
      <t>Under Progress</t>
    </r>
  </si>
  <si>
    <r>
      <rPr>
        <b/>
        <sz val="8"/>
        <rFont val="Times New Roman"/>
        <family val="1"/>
      </rPr>
      <t>Srijan Energy Systems Private Limited</t>
    </r>
  </si>
  <si>
    <r>
      <rPr>
        <b/>
        <sz val="8"/>
        <rFont val="Times New Roman"/>
        <family val="1"/>
      </rPr>
      <t>Tranche IV</t>
    </r>
  </si>
  <si>
    <r>
      <rPr>
        <b/>
        <sz val="8"/>
        <rFont val="Verdana"/>
        <family val="2"/>
      </rPr>
      <t>Started</t>
    </r>
  </si>
  <si>
    <r>
      <rPr>
        <b/>
        <sz val="8"/>
        <rFont val="Times New Roman"/>
        <family val="1"/>
      </rPr>
      <t>Sprng Renewable Energy Private Limited</t>
    </r>
  </si>
  <si>
    <r>
      <rPr>
        <b/>
        <sz val="8"/>
        <rFont val="Verdana"/>
        <family val="2"/>
      </rPr>
      <t>Under Progess</t>
    </r>
  </si>
  <si>
    <r>
      <rPr>
        <b/>
        <sz val="8"/>
        <rFont val="Times New Roman"/>
        <family val="1"/>
      </rPr>
      <t>Avikiran Solar India Pvt Ltd.</t>
    </r>
  </si>
  <si>
    <r>
      <rPr>
        <b/>
        <sz val="8"/>
        <rFont val="Verdana"/>
        <family val="2"/>
      </rPr>
      <t>Under Progres</t>
    </r>
  </si>
  <si>
    <r>
      <rPr>
        <b/>
        <sz val="8"/>
        <rFont val="Times New Roman"/>
        <family val="1"/>
      </rPr>
      <t>Vivid Solaire Energy Pvt. Ltd.</t>
    </r>
  </si>
  <si>
    <r>
      <rPr>
        <b/>
        <sz val="8"/>
        <rFont val="Verdana"/>
        <family val="2"/>
      </rPr>
      <t>Not Acquired</t>
    </r>
  </si>
  <si>
    <r>
      <rPr>
        <b/>
        <sz val="8"/>
        <rFont val="Verdana"/>
        <family val="2"/>
      </rPr>
      <t>Not Placed</t>
    </r>
  </si>
  <si>
    <r>
      <rPr>
        <b/>
        <sz val="8"/>
        <rFont val="Verdana"/>
        <family val="2"/>
      </rPr>
      <t>Not acquired</t>
    </r>
  </si>
  <si>
    <r>
      <rPr>
        <b/>
        <sz val="8"/>
        <rFont val="Times New Roman"/>
        <family val="1"/>
      </rPr>
      <t>Adani Renewable Energy (TN) Limited</t>
    </r>
  </si>
  <si>
    <r>
      <rPr>
        <b/>
        <sz val="8"/>
        <rFont val="Verdana"/>
        <family val="2"/>
      </rPr>
      <t>Under progres</t>
    </r>
  </si>
  <si>
    <r>
      <rPr>
        <b/>
        <sz val="8"/>
        <rFont val="Times New Roman"/>
        <family val="1"/>
      </rPr>
      <t>Mytrah Vayu (Brahmaputr a) Pvt Ltd</t>
    </r>
  </si>
  <si>
    <r>
      <rPr>
        <b/>
        <sz val="8"/>
        <rFont val="Times New Roman"/>
        <family val="1"/>
      </rPr>
      <t>ReNew Wind Energy (TN) Private Limited</t>
    </r>
  </si>
  <si>
    <r>
      <rPr>
        <b/>
        <sz val="8"/>
        <rFont val="Times New Roman"/>
        <family val="1"/>
      </rPr>
      <t>Tranche V</t>
    </r>
  </si>
  <si>
    <r>
      <rPr>
        <b/>
        <sz val="8"/>
        <rFont val="Times New Roman"/>
        <family val="1"/>
      </rPr>
      <t>Adani Wind Energy (GJ) Limited</t>
    </r>
  </si>
  <si>
    <r>
      <rPr>
        <b/>
        <sz val="8"/>
        <rFont val="Verdana"/>
        <family val="2"/>
      </rPr>
      <t>under progress</t>
    </r>
  </si>
  <si>
    <r>
      <rPr>
        <b/>
        <sz val="8"/>
        <rFont val="Times New Roman"/>
        <family val="1"/>
      </rPr>
      <t>Alfanar Energy Pvt. Ltd.</t>
    </r>
  </si>
  <si>
    <r>
      <rPr>
        <b/>
        <sz val="8"/>
        <rFont val="Verdana"/>
        <family val="2"/>
      </rPr>
      <t>Placed</t>
    </r>
  </si>
  <si>
    <r>
      <rPr>
        <b/>
        <sz val="8"/>
        <rFont val="Times New Roman"/>
        <family val="1"/>
      </rPr>
      <t>Sitac Kabini Renewables Private Limited</t>
    </r>
  </si>
  <si>
    <r>
      <rPr>
        <b/>
        <sz val="8"/>
        <rFont val="Times New Roman"/>
        <family val="1"/>
      </rPr>
      <t>Ecoren Energy India Private Limited</t>
    </r>
  </si>
  <si>
    <r>
      <rPr>
        <b/>
        <sz val="8"/>
        <rFont val="Verdana"/>
        <family val="2"/>
      </rPr>
      <t>NA</t>
    </r>
  </si>
  <si>
    <r>
      <rPr>
        <b/>
        <sz val="8"/>
        <rFont val="Times New Roman"/>
        <family val="1"/>
      </rPr>
      <t>Adani Renewable Energy Park (Gujarat) Limited</t>
    </r>
  </si>
  <si>
    <r>
      <rPr>
        <b/>
        <sz val="8"/>
        <rFont val="Times New Roman"/>
        <family val="1"/>
      </rPr>
      <t>Tranche VI</t>
    </r>
  </si>
  <si>
    <r>
      <rPr>
        <b/>
        <sz val="8"/>
        <rFont val="Times New Roman"/>
        <family val="1"/>
      </rPr>
      <t>Powerica Limited</t>
    </r>
  </si>
  <si>
    <r>
      <rPr>
        <b/>
        <sz val="8"/>
        <rFont val="Times New Roman"/>
        <family val="1"/>
      </rPr>
      <t>SBESS Services Projectco Two Private Limited</t>
    </r>
  </si>
  <si>
    <r>
      <rPr>
        <b/>
        <sz val="8"/>
        <rFont val="Times New Roman"/>
        <family val="1"/>
      </rPr>
      <t>Morjar Windfarm Development Pvt. Ltd.</t>
    </r>
  </si>
  <si>
    <r>
      <rPr>
        <b/>
        <sz val="8"/>
        <rFont val="Times New Roman"/>
        <family val="1"/>
      </rPr>
      <t>Betam Wind Energy Private Limited</t>
    </r>
  </si>
  <si>
    <r>
      <rPr>
        <b/>
        <sz val="8"/>
        <rFont val="Times New Roman"/>
        <family val="1"/>
      </rPr>
      <t>Tranche VII</t>
    </r>
  </si>
  <si>
    <r>
      <rPr>
        <b/>
        <sz val="8"/>
        <rFont val="Times New Roman"/>
        <family val="1"/>
      </rPr>
      <t>Sprng Vaayu Urja Private Limited</t>
    </r>
  </si>
  <si>
    <r>
      <rPr>
        <b/>
        <sz val="8"/>
        <rFont val="Times New Roman"/>
        <family val="1"/>
      </rPr>
      <t xml:space="preserve">Adani Renewable Energy
</t>
    </r>
    <r>
      <rPr>
        <b/>
        <sz val="8"/>
        <rFont val="Times New Roman"/>
        <family val="1"/>
      </rPr>
      <t xml:space="preserve">Park
</t>
    </r>
    <r>
      <rPr>
        <b/>
        <sz val="8"/>
        <rFont val="Times New Roman"/>
        <family val="1"/>
      </rPr>
      <t>(Gujarat) Limited</t>
    </r>
  </si>
  <si>
    <r>
      <rPr>
        <b/>
        <sz val="8"/>
        <rFont val="Times New Roman"/>
        <family val="1"/>
      </rPr>
      <t>CLP India Private Limited</t>
    </r>
  </si>
  <si>
    <r>
      <rPr>
        <b/>
        <sz val="8"/>
        <rFont val="Times New Roman"/>
        <family val="1"/>
      </rPr>
      <t>Tranche VIII</t>
    </r>
  </si>
  <si>
    <r>
      <rPr>
        <b/>
        <sz val="8"/>
        <rFont val="Times New Roman"/>
        <family val="1"/>
      </rPr>
      <t>Avikiran Energy India Private Limited</t>
    </r>
  </si>
  <si>
    <t>Kerela</t>
  </si>
  <si>
    <t>Maharastra</t>
  </si>
  <si>
    <t>https://img.saurenergy.com/2020/08/underconstruction.pdf</t>
  </si>
  <si>
    <t>2021</t>
  </si>
  <si>
    <t>2022</t>
  </si>
  <si>
    <t>2023</t>
  </si>
  <si>
    <t>SubGeography2</t>
  </si>
  <si>
    <t>EnergyConvTech</t>
  </si>
  <si>
    <t>TABLE 1.1 REGION-WISE/STATE-WISE STATUS OF HYDRO-ELECTRIC CAPACITY
(In terms of Installed Capacity-above 25 MW as on 31.03.2019)</t>
  </si>
  <si>
    <t>Chhattisgarh</t>
  </si>
  <si>
    <t>NR</t>
  </si>
  <si>
    <t>WR</t>
  </si>
  <si>
    <t>SR</t>
  </si>
  <si>
    <t>West Bengal</t>
  </si>
  <si>
    <t xml:space="preserve">JH </t>
  </si>
  <si>
    <t>NER</t>
  </si>
  <si>
    <t>Total (MW)</t>
  </si>
  <si>
    <t>Above 25MW</t>
  </si>
  <si>
    <t>(%)</t>
  </si>
  <si>
    <t>Identified
Capacity as per
reassessment
study (MW)</t>
  </si>
  <si>
    <t>Capacity
Developed</t>
  </si>
  <si>
    <t>Capacity
Under
construction</t>
  </si>
  <si>
    <t>Capacity yet to be
developed</t>
  </si>
  <si>
    <t>Likely capacity addition: Due to Covid realities, we have moved project completion by one year. Given the average durations being 18-24 months, we have allocated  capacities in the three FYs</t>
  </si>
  <si>
    <t>EG_LH</t>
  </si>
  <si>
    <t>S.No.</t>
  </si>
  <si>
    <t>Project</t>
  </si>
  <si>
    <t>Capacity (MWe)</t>
  </si>
  <si>
    <t>Expected Date of Commercial Operation</t>
  </si>
  <si>
    <t>Kakrapar Atomic Power Project - 3&amp;4</t>
  </si>
  <si>
    <t>2 x 700</t>
  </si>
  <si>
    <t>Unit 3 – Mar-2021</t>
  </si>
  <si>
    <t>Unit 4 – Under Review</t>
  </si>
  <si>
    <t>Rajasthan Atomic Power Project - 7&amp;8</t>
  </si>
  <si>
    <t>Unit 7 – Under Review</t>
  </si>
  <si>
    <t>Unit 8 – Under Review</t>
  </si>
  <si>
    <t>Kudankulam Nuclear Power Project - 3&amp;4</t>
  </si>
  <si>
    <t>2 x 1000</t>
  </si>
  <si>
    <t>Unit 3 – Mar-2023 </t>
  </si>
  <si>
    <t>Unit 4 – Nov-2023</t>
  </si>
  <si>
    <t xml:space="preserve">https://www.npcil.nic.in/content/297_1_ProjectConstructionStatus.aspx </t>
  </si>
  <si>
    <t>Accessed on 30/04/2021</t>
  </si>
  <si>
    <t>EG_PHWR</t>
  </si>
  <si>
    <t xml:space="preserve">EG_CCGT </t>
  </si>
  <si>
    <t>EG_CCGT</t>
  </si>
  <si>
    <t>2024</t>
  </si>
  <si>
    <t>2025</t>
  </si>
  <si>
    <t>2026</t>
  </si>
  <si>
    <t>2027</t>
  </si>
  <si>
    <t>2028</t>
  </si>
  <si>
    <t>2029</t>
  </si>
  <si>
    <t>2030</t>
  </si>
  <si>
    <t>2031</t>
  </si>
  <si>
    <t>Annex 9.6 State-wise list of Hydro RMU&amp;LE schemes programmed for completion during 2017-22</t>
  </si>
  <si>
    <t>Sl. No</t>
  </si>
  <si>
    <t>Name of Project, Agency  Inst. Cap. (No. x MW)</t>
  </si>
  <si>
    <t>CS/ SS</t>
  </si>
  <si>
    <t>Capacity Covered Under RMU&amp;LE (No.x MW)</t>
  </si>
  <si>
    <t>Est. Cost (Rs. Cr)</t>
  </si>
  <si>
    <t>Actual Exp. (Rs. Cr)</t>
  </si>
  <si>
    <t>Benefits    (MW)</t>
  </si>
  <si>
    <t>LE</t>
  </si>
  <si>
    <t>U</t>
  </si>
  <si>
    <t>Category</t>
  </si>
  <si>
    <t>Year of Completion</t>
  </si>
  <si>
    <t xml:space="preserve">State </t>
  </si>
  <si>
    <t>STAGE</t>
  </si>
  <si>
    <t>Ganguwal
(1x29.25+2x24.2)  &amp;
Kotla (1x29.25+2x24.2), BBMB</t>
  </si>
  <si>
    <t>CS</t>
  </si>
  <si>
    <t>1x24.2   (U-2)
1x24.2   (U-3)</t>
  </si>
  <si>
    <t>48.4 (LE)</t>
  </si>
  <si>
    <t>RM&amp;LE</t>
  </si>
  <si>
    <t>2017-18</t>
  </si>
  <si>
    <t>A. Completed Schemes</t>
  </si>
  <si>
    <t>Dehar Power House (Unit-3),    BBMB
(6x165)</t>
  </si>
  <si>
    <t>1x165</t>
  </si>
  <si>
    <t>R&amp;M</t>
  </si>
  <si>
    <t>Salal, NHPC
(6x115)</t>
  </si>
  <si>
    <t>5x115</t>
  </si>
  <si>
    <t>2019-20</t>
  </si>
  <si>
    <t>B. Ongoing Schemes – Under Implementation</t>
  </si>
  <si>
    <t>Bhakra LB, BBMB
(5x108)</t>
  </si>
  <si>
    <t>5x108</t>
  </si>
  <si>
    <t>540.00(LE)+ 90.00 (U)</t>
  </si>
  <si>
    <t>RMU&amp;LE</t>
  </si>
  <si>
    <t>2020-21</t>
  </si>
  <si>
    <t>Baira Siul, NHPC (3x60)</t>
  </si>
  <si>
    <t>3x60</t>
  </si>
  <si>
    <t>180 (LE)</t>
  </si>
  <si>
    <t>Pong Power House, HPSEB
(6x66)</t>
  </si>
  <si>
    <t>6x66</t>
  </si>
  <si>
    <t>396 (LE)</t>
  </si>
  <si>
    <t>Bhaba Power House, HPSEB
(3x40)</t>
  </si>
  <si>
    <t>SS</t>
  </si>
  <si>
    <t>3x40</t>
  </si>
  <si>
    <t>166.17@</t>
  </si>
  <si>
    <t>120 (LE)</t>
  </si>
  <si>
    <t>Chenani,
J&amp;KSPDC (5x4.66)</t>
  </si>
  <si>
    <t>5x4.66</t>
  </si>
  <si>
    <t>23.30 (LE)</t>
  </si>
  <si>
    <t>Ganderbal, J&amp;KSPDC
(2x3+2x4.5)</t>
  </si>
  <si>
    <t>2x4.5</t>
  </si>
  <si>
    <t>9.00 (LE)</t>
  </si>
  <si>
    <t>Tiloth, UJVNL
(3x30)</t>
  </si>
  <si>
    <t>3x30</t>
  </si>
  <si>
    <t>90 (LE)</t>
  </si>
  <si>
    <t>2021-22</t>
  </si>
  <si>
    <t>Dhalipur,
UJVNL (3x17)</t>
  </si>
  <si>
    <t>3x17</t>
  </si>
  <si>
    <t>51 (LE)</t>
  </si>
  <si>
    <t>Rihand, UPJVNL
(6x50)</t>
  </si>
  <si>
    <t>6x50</t>
  </si>
  <si>
    <t>300 (LE)</t>
  </si>
  <si>
    <t>Obra,
UPJVNL (3x33)</t>
  </si>
  <si>
    <t>3x33</t>
  </si>
  <si>
    <t>99 (LE)</t>
  </si>
  <si>
    <t>Ukai, GSECL
(4x75)</t>
  </si>
  <si>
    <t>3x75 (U-1,2,&amp;4)</t>
  </si>
  <si>
    <t>Kadana PSS, GSECL
(4x60)</t>
  </si>
  <si>
    <t>4x60</t>
  </si>
  <si>
    <t>Nagarjuna Sagar Ph- II works, TSGENCO (1x110+7x100.8)</t>
  </si>
  <si>
    <t>1x110+7x100.8</t>
  </si>
  <si>
    <t>Nagarjuna Sagar Left Canal Power House, TSGENCO
(2x30.6)</t>
  </si>
  <si>
    <t>2x30.6</t>
  </si>
  <si>
    <t>Bhadra River      Bed units,  KPCL
(2x12)</t>
  </si>
  <si>
    <t>2x12</t>
  </si>
  <si>
    <t>Munirabad Dam Power House, KPCL
(2x9 + 1x10)</t>
  </si>
  <si>
    <t>2x9 + 1x10</t>
  </si>
  <si>
    <t>Nagjhari
KPCL (3x150)</t>
  </si>
  <si>
    <t>3x150   (U-1 to
3)</t>
  </si>
  <si>
    <t>Shivasamudram,
KPCL (6x3+4x6)</t>
  </si>
  <si>
    <t>6x3+4x6</t>
  </si>
  <si>
    <t>42 (LE)</t>
  </si>
  <si>
    <t>Sholayar, KSEB (3x18)</t>
  </si>
  <si>
    <t>3x18</t>
  </si>
  <si>
    <t>54 (LE)</t>
  </si>
  <si>
    <t>Idukki 1st stage, KSEB
(3x130)</t>
  </si>
  <si>
    <t>3x130</t>
  </si>
  <si>
    <t>Sholayar-I, TANGEDCO
(2x35)</t>
  </si>
  <si>
    <t>2x35</t>
  </si>
  <si>
    <t>70 (LE) +  14(U)</t>
  </si>
  <si>
    <t>Gandhi Sagar, MPPGCL
(5x23)</t>
  </si>
  <si>
    <t>5x23</t>
  </si>
  <si>
    <t>Bargi,
MPPGCL (2x45)</t>
  </si>
  <si>
    <t>2x45</t>
  </si>
  <si>
    <t>Pench, MPPGCL
(2x80)</t>
  </si>
  <si>
    <t>2x80</t>
  </si>
  <si>
    <t>Bansagar Ton-I,
MPPGCL (3x105)</t>
  </si>
  <si>
    <t>3x105</t>
  </si>
  <si>
    <t>Hirakud-I OHPC (2x37.5)</t>
  </si>
  <si>
    <t>2x37.5 (U5&amp;6)</t>
  </si>
  <si>
    <t>75.00 (LE) + 12.2 (U)</t>
  </si>
  <si>
    <t>Hirakud-II (Chiplima), OHPC
(3x24)</t>
  </si>
  <si>
    <t>1x24     (U-3)</t>
  </si>
  <si>
    <t>24.00 (LE)</t>
  </si>
  <si>
    <t>Balimela, OHPC
(6x60)</t>
  </si>
  <si>
    <t>6x60</t>
  </si>
  <si>
    <t>360(LE)</t>
  </si>
  <si>
    <t>Giri,
HPSEB (2x30)</t>
  </si>
  <si>
    <t>2x30</t>
  </si>
  <si>
    <t>60.00 (LE)</t>
  </si>
  <si>
    <t>C. Ongoing Schemes – Under Tendering</t>
  </si>
  <si>
    <t>Dehar Power House
(Unit-3), BBMB (1x165)</t>
  </si>
  <si>
    <t>Mukerin St.I, St.II, St.III &amp; St.IV, PSPCL
(3x15,  3x15,
3x19.5&amp;3x19.5)</t>
  </si>
  <si>
    <t>3x15,  3x15,
3x19.5&amp; 3x19.5</t>
  </si>
  <si>
    <t>Ranjit Sagar Dam, PSPCL
(4x150)</t>
  </si>
  <si>
    <t>4x150</t>
  </si>
  <si>
    <t>Shanan HEP, PSPCL (1x50+4x15)</t>
  </si>
  <si>
    <t>1x50+      4x15</t>
  </si>
  <si>
    <t>UBDC St.I &amp; St.II, PSPCL
(3x15+3x15.45)</t>
  </si>
  <si>
    <t>3x15+  3x15.45</t>
  </si>
  <si>
    <t>Anandpur Sahib Hydel Project, PSPCL (4x33.5)</t>
  </si>
  <si>
    <t>4x33.5</t>
  </si>
  <si>
    <t>Chilla Ph B UJVNL (4x36)</t>
  </si>
  <si>
    <t>4x36</t>
  </si>
  <si>
    <t>144(LE)+  12(U)</t>
  </si>
  <si>
    <t>Ramganaga, UJVNL (3x66)</t>
  </si>
  <si>
    <t>3x66</t>
  </si>
  <si>
    <t>198(LE)</t>
  </si>
  <si>
    <t>Dhakrani, UJVNL
(3x11.25)</t>
  </si>
  <si>
    <t>3x11.25</t>
  </si>
  <si>
    <t>33.75 (LE)</t>
  </si>
  <si>
    <t>Kadra Dam Power House,
KPCL
(3x50)</t>
  </si>
  <si>
    <t>3x50</t>
  </si>
  <si>
    <t>150 (LE)</t>
  </si>
  <si>
    <t>Kodasalli Dam Power House,     KPCL (3x40)</t>
  </si>
  <si>
    <t>Linganamakki Dam Power House, KPCL
(2x27.5)</t>
  </si>
  <si>
    <t>2x27.5</t>
  </si>
  <si>
    <t>55 (LE)</t>
  </si>
  <si>
    <t>Gerusoppa Dam Power House (Sharavathy Tail Race), KPCL (4x60)</t>
  </si>
  <si>
    <t>240 (LE)</t>
  </si>
  <si>
    <t>Kuttiyadi, KSEB (3x25)</t>
  </si>
  <si>
    <t>3x25</t>
  </si>
  <si>
    <t>75.00 (LE)  + 7.5 (U)</t>
  </si>
  <si>
    <t>Panchet, DVC (2x40)</t>
  </si>
  <si>
    <t>1x40        (U-1)</t>
  </si>
  <si>
    <t>40(LE)+           8(U)</t>
  </si>
  <si>
    <t>Umium St.III, (Kyrdemkulai) MePGCL
(2x30)</t>
  </si>
  <si>
    <t>60(LE) + 6(U)</t>
  </si>
  <si>
    <t>MGHE,  KPCL
(4x21.6+4x13.2)</t>
  </si>
  <si>
    <t>4x21.6+ 4x13.2</t>
  </si>
  <si>
    <t>139.2 (LE)</t>
  </si>
  <si>
    <t>D. Ongoing Schemes – Under DPR Preparation/ Finalisation/ Approval</t>
  </si>
  <si>
    <t>Supa Dam Power House, KPCL (2x50)</t>
  </si>
  <si>
    <t>2x50</t>
  </si>
  <si>
    <t>100 (LE)</t>
  </si>
  <si>
    <t>Sharavathy Generating Station, KPCL
(10x103.5)</t>
  </si>
  <si>
    <t>10x103.5</t>
  </si>
  <si>
    <t>1035 (LE)</t>
  </si>
  <si>
    <t>Maithon,  DVC
(2x20+1x23.2)</t>
  </si>
  <si>
    <t>2x20           (U-
1&amp;3)</t>
  </si>
  <si>
    <t>40.00 (LE)</t>
  </si>
  <si>
    <t>Khandong Power Station, NEEPCO
(2x25)</t>
  </si>
  <si>
    <t>2x25</t>
  </si>
  <si>
    <t>50 (LE)</t>
  </si>
  <si>
    <t>Annex 9.7 State-wise list of Hydro RMU&amp;LE schemes programmed for completion during 2022-27</t>
  </si>
  <si>
    <t>Moyar PH, TANGEDCO (3x12)</t>
  </si>
  <si>
    <t>3x12</t>
  </si>
  <si>
    <t>36(LE)+ 6(U)</t>
  </si>
  <si>
    <t>2023-24</t>
  </si>
  <si>
    <t>A. Ongoing Schemes – Under Tendering</t>
  </si>
  <si>
    <t>Kodayar PH-I, TANGEDCO (1x60)</t>
  </si>
  <si>
    <t>1x60</t>
  </si>
  <si>
    <t>60 (LE)+ 10 (U)</t>
  </si>
  <si>
    <t>2022-24</t>
  </si>
  <si>
    <t>Lower Jehlum HEP,   J&amp;KSPDC (3x35)</t>
  </si>
  <si>
    <t>3x35</t>
  </si>
  <si>
    <t>105 (LE)+ 27 (U)</t>
  </si>
  <si>
    <t>2022-27</t>
  </si>
  <si>
    <t>B. Ongoing Schemes – Under DPR Preparation/ Finalisation/ Approval</t>
  </si>
  <si>
    <t>USHP-II Kangan, J&amp;KSPDC   (3x35)</t>
  </si>
  <si>
    <t>105 (LE)</t>
  </si>
  <si>
    <t>Chibro,  UJVNL
(4x60)</t>
  </si>
  <si>
    <t>240(LE)</t>
  </si>
  <si>
    <t>2025-26</t>
  </si>
  <si>
    <t>Khodri PH-II UJVNL   (4x30)</t>
  </si>
  <si>
    <t>4x30</t>
  </si>
  <si>
    <t>120(LE)</t>
  </si>
  <si>
    <t>Kulhal, UJVNL
(3x10)</t>
  </si>
  <si>
    <t>3x10</t>
  </si>
  <si>
    <t>30(LE)</t>
  </si>
  <si>
    <t>Machkund St.I &amp; St.II, APGENCO (3x17+3x23)</t>
  </si>
  <si>
    <t>3x17+ 3x23</t>
  </si>
  <si>
    <t>120 (LE) +     9 (U)</t>
  </si>
  <si>
    <t>Kodayar PH-II, TANGEDCO (1x40 )</t>
  </si>
  <si>
    <t>1x40</t>
  </si>
  <si>
    <t>40.0(LE)+   6(U)</t>
  </si>
  <si>
    <t>Loktak,   NHPC (3x35)</t>
  </si>
  <si>
    <t>2022-23</t>
  </si>
  <si>
    <t>Kundah-I, TANGEDCO
(3x20)</t>
  </si>
  <si>
    <t>3x20</t>
  </si>
  <si>
    <t>60 (LE)</t>
  </si>
  <si>
    <t>C. Ongoing Schemes – Under RLA Studies</t>
  </si>
  <si>
    <t>Kundah-II, TANGEDCO
(5x35)</t>
  </si>
  <si>
    <t>5x35</t>
  </si>
  <si>
    <t>175 (LE)</t>
  </si>
  <si>
    <t>Kundah-III, TANGEDCO (3x60)</t>
  </si>
  <si>
    <t>Kundah-IV, TANGEDCO (2x50)</t>
  </si>
  <si>
    <t>Kundah-V, TANGEDCO (2x20)</t>
  </si>
  <si>
    <t>2x20</t>
  </si>
  <si>
    <t>40 (LE)</t>
  </si>
  <si>
    <t>Mettur Tunnel, TANGEDCO (4x50)</t>
  </si>
  <si>
    <t>4x50</t>
  </si>
  <si>
    <t>200 (LE)</t>
  </si>
  <si>
    <t>Sarkarpathy, TANGEDCO (1x30)</t>
  </si>
  <si>
    <t>1x30</t>
  </si>
  <si>
    <t>30 (LE)</t>
  </si>
  <si>
    <t>Sholayar-II, TANGEDCO (1x25)</t>
  </si>
  <si>
    <t>1x25</t>
  </si>
  <si>
    <t>25 (LE)</t>
  </si>
  <si>
    <t>Suruliyar, TANGEDCO (1x35)</t>
  </si>
  <si>
    <t>1x35</t>
  </si>
  <si>
    <t>35 (LE)</t>
  </si>
  <si>
    <t>Kadamparai,   PH
TANGEDCO (4x100)</t>
  </si>
  <si>
    <t>4x100</t>
  </si>
  <si>
    <t>400 (LE)</t>
  </si>
  <si>
    <t>Aliyar, TANGEDCO (1x60)</t>
  </si>
  <si>
    <t>Idukki 2nd stage, KSEB (3x130)</t>
  </si>
  <si>
    <t>390 (LE)</t>
  </si>
  <si>
    <t>Tungabhadra Dam, APGENCO      (4x9)</t>
  </si>
  <si>
    <t>4x9</t>
  </si>
  <si>
    <t>36 (LE)</t>
  </si>
  <si>
    <t>Hampi Canal    PH, APGENCO      (4x9)</t>
  </si>
  <si>
    <t>Umiam-umtru Stage-
IV,    MePGCL (2x30)</t>
  </si>
  <si>
    <t>http://karnatakapower.com/wp-content/uploads/2019/12/kpcl_annual_report_2018_19.pdf?x86893</t>
  </si>
  <si>
    <t>pp 22: Completion date  Sep 2021</t>
  </si>
  <si>
    <t>https://cea.nic.in/wp-content/uploads/thermal_broad/2021/02/broad_status.pdf</t>
  </si>
  <si>
    <t xml:space="preserve">PP21: CEA Broad status monitoring COD date Sep 2021 </t>
  </si>
  <si>
    <t>https://cea.nic.in/wp-content/uploads/2020/04/nep_jan_2018.pdf</t>
  </si>
  <si>
    <t xml:space="preserve">5.2 Annexure 5.2
</t>
  </si>
  <si>
    <t>Source: https://cea.nic.in/wp-content/uploads/2020/03/hydro_review-2018.pdf</t>
  </si>
  <si>
    <t>HYDRO</t>
  </si>
  <si>
    <t>2018-19</t>
  </si>
  <si>
    <t>ONGC</t>
  </si>
  <si>
    <t>TRIPURA</t>
  </si>
  <si>
    <t>NAGALAND</t>
  </si>
  <si>
    <t>MIZORAM</t>
  </si>
  <si>
    <t>MEGHALAYA</t>
  </si>
  <si>
    <t>MANIPUR</t>
  </si>
  <si>
    <t>ASSAM</t>
  </si>
  <si>
    <t>ARUNACHAL PRADESH</t>
  </si>
  <si>
    <t>SAGARDIGHI TPS</t>
  </si>
  <si>
    <t>WEST BENGAL</t>
  </si>
  <si>
    <t>SIKKIM</t>
  </si>
  <si>
    <t>ODISHA</t>
  </si>
  <si>
    <t>JHARKHAND</t>
  </si>
  <si>
    <t>BIHAR</t>
  </si>
  <si>
    <t>TELANGANA</t>
  </si>
  <si>
    <t>TAMIL NADU</t>
  </si>
  <si>
    <t>PUDUCHERRY</t>
  </si>
  <si>
    <t>KERALA</t>
  </si>
  <si>
    <t>KARNATAKA</t>
  </si>
  <si>
    <t>ANDHRA PRADESH</t>
  </si>
  <si>
    <t>MAHARASHTRA</t>
  </si>
  <si>
    <t>MADHYA PRADESH</t>
  </si>
  <si>
    <t>UKAI TPS</t>
  </si>
  <si>
    <t>GUJARAT</t>
  </si>
  <si>
    <t>GOA</t>
  </si>
  <si>
    <t>UTTAR PRADESH</t>
  </si>
  <si>
    <t>UTTARAKHAND</t>
  </si>
  <si>
    <t>RAJASTHAN</t>
  </si>
  <si>
    <t>PUNJAB</t>
  </si>
  <si>
    <t>LADAKH</t>
  </si>
  <si>
    <t>HIMACHAL PRADESH</t>
  </si>
  <si>
    <t>HARYANA</t>
  </si>
  <si>
    <t>DELHI</t>
  </si>
  <si>
    <t>Capacity comissioned in FY21 (March 2021)</t>
  </si>
  <si>
    <t>MaxCapacity</t>
  </si>
  <si>
    <t xml:space="preserve">Potential </t>
  </si>
  <si>
    <t>Remaining Potential after FY26</t>
  </si>
  <si>
    <t>Based on available data of the progress, we consider that it takes at least 11 years from the time of first concrete pour. Therefore, we assume Kakrapar-3 gets commissioned in FY22. That is 11 years after first pour of concrete and 3 years after erection of feeders, and Kakrapur 4 in FY24. Similarly we add RAPS (Rawatbhata) units are assummed to be commissioned in FY23 and FY25. And since Kundankulam-3&amp;4 seem to be well behind, we push them out into FY27 and FY28.</t>
  </si>
  <si>
    <t xml:space="preserve">Assumed FY </t>
  </si>
  <si>
    <t>UnderConstruction as per CEA (August 2020)</t>
  </si>
  <si>
    <t>`</t>
  </si>
  <si>
    <t xml:space="preserve">Balance Pipeline </t>
  </si>
  <si>
    <t xml:space="preserve">Allocate the balance in these proportions </t>
  </si>
  <si>
    <t>RENEWABLE</t>
  </si>
  <si>
    <t>SOLAR</t>
  </si>
  <si>
    <t>BIOMASS</t>
  </si>
  <si>
    <t>SMALL HYDRO</t>
  </si>
  <si>
    <t>WIND</t>
  </si>
  <si>
    <t>NON-RENEWABLE</t>
  </si>
  <si>
    <t>OTHERS</t>
  </si>
  <si>
    <t>IN</t>
  </si>
  <si>
    <t>WASTE</t>
  </si>
  <si>
    <t>CHANDIGARH</t>
  </si>
  <si>
    <t>LAKSHADWEEP</t>
  </si>
  <si>
    <t>A &amp; N ISLANDS</t>
  </si>
  <si>
    <t>ER</t>
  </si>
  <si>
    <t>COGENERATION-BAGASSE</t>
  </si>
  <si>
    <t>TAMILNADU</t>
  </si>
  <si>
    <t>JAMMU &amp; KASHMIR</t>
  </si>
  <si>
    <t>CHHATTISGARH</t>
  </si>
  <si>
    <t>CapacityIdentified_MW</t>
  </si>
  <si>
    <t>YearValue</t>
  </si>
  <si>
    <t>EnergySourceType</t>
  </si>
  <si>
    <t>EnergySource</t>
  </si>
  <si>
    <t>Region</t>
  </si>
  <si>
    <t>.</t>
  </si>
  <si>
    <t>Detail Data For Electricity Potential by Energy Source Having Year : 2020 Region : ALL</t>
  </si>
  <si>
    <t xml:space="preserve">NITI Ayog EDM Portal </t>
  </si>
  <si>
    <t xml:space="preserve">STATE </t>
  </si>
  <si>
    <t>Code</t>
  </si>
  <si>
    <t>MaxCpacity</t>
  </si>
  <si>
    <t>Source: CEA Broad Status Monitoring Report Apr 2020 (for plants under construction)</t>
  </si>
  <si>
    <t>Boom &amp; Bust coal tracker database of Jan 2020 (for plants that are in permit or pre-permit stage)</t>
  </si>
  <si>
    <t>5.0       THERMAL POWER PROJECTS UNDER CONSTRUCTION IN THE COUNTRY</t>
  </si>
  <si>
    <t>State code</t>
  </si>
  <si>
    <t>Project Name / Impl. Agency/ EPC or BTG</t>
  </si>
  <si>
    <t>LOA Date/</t>
  </si>
  <si>
    <t>Unit No</t>
  </si>
  <si>
    <t>Cap. (MW)</t>
  </si>
  <si>
    <t>Org. Comm.
Sched.</t>
  </si>
  <si>
    <t>Ant. Comm.
Sched.</t>
  </si>
  <si>
    <t>Ant.
Trial Run / COD</t>
  </si>
  <si>
    <t>Exp. In crores.</t>
  </si>
  <si>
    <t>Till Date</t>
  </si>
  <si>
    <t>COD FY</t>
  </si>
  <si>
    <t>Adj COD FY</t>
  </si>
  <si>
    <t>Barh STPP-I /NTPC/Others</t>
  </si>
  <si>
    <t>Mar-05</t>
  </si>
  <si>
    <t>U-1</t>
  </si>
  <si>
    <t>May-17</t>
  </si>
  <si>
    <t>Oct-20</t>
  </si>
  <si>
    <t>Nov-20</t>
  </si>
  <si>
    <t>Apr-20</t>
  </si>
  <si>
    <t>U-2</t>
  </si>
  <si>
    <t>Nov-17</t>
  </si>
  <si>
    <t>Mar-21</t>
  </si>
  <si>
    <t>Apr-21</t>
  </si>
  <si>
    <t>U-3</t>
  </si>
  <si>
    <t>May-18</t>
  </si>
  <si>
    <t>Sep-21</t>
  </si>
  <si>
    <t>Oct-21</t>
  </si>
  <si>
    <t>Nabi Nagar  TPP  / JV of NTPC
&amp; Rlys/BHEL</t>
  </si>
  <si>
    <t>Jan-08</t>
  </si>
  <si>
    <t>U-4</t>
  </si>
  <si>
    <t>Nov-13</t>
  </si>
  <si>
    <t>Dec-20</t>
  </si>
  <si>
    <t>Feb-21</t>
  </si>
  <si>
    <t>New Nabi Nagar TPP  / JV of NTPC &amp; BSPGCL /TG-
Alstom &amp; Bharat Forge, SG-BHEL</t>
  </si>
  <si>
    <t>Jan-13</t>
  </si>
  <si>
    <t>Jul-17</t>
  </si>
  <si>
    <t>Jan-21</t>
  </si>
  <si>
    <t>Jan-18</t>
  </si>
  <si>
    <t>Jul-21</t>
  </si>
  <si>
    <t>Aug-21</t>
  </si>
  <si>
    <t>Buxar TPP</t>
  </si>
  <si>
    <t>Jun-19</t>
  </si>
  <si>
    <t>Jul-23</t>
  </si>
  <si>
    <t>Jun-23</t>
  </si>
  <si>
    <t>Mar-20</t>
  </si>
  <si>
    <t>Jan-24</t>
  </si>
  <si>
    <t>Lara STPP / NTPC / SG-
Dooson TG-BGR Hitachi</t>
  </si>
  <si>
    <t>Dec-12</t>
  </si>
  <si>
    <t>Jul-20</t>
  </si>
  <si>
    <t>Aug-20</t>
  </si>
  <si>
    <t>North Karanpura STPP/ NTPC / BHEL</t>
  </si>
  <si>
    <t>Feb-14</t>
  </si>
  <si>
    <t>Feb-18</t>
  </si>
  <si>
    <t>May-21</t>
  </si>
  <si>
    <t>Jun-21</t>
  </si>
  <si>
    <t>Aug-18</t>
  </si>
  <si>
    <t>Nov-21</t>
  </si>
  <si>
    <t>Dec-21</t>
  </si>
  <si>
    <t>Feb-19</t>
  </si>
  <si>
    <t>May-22</t>
  </si>
  <si>
    <t>Jun-22</t>
  </si>
  <si>
    <t>Gadarwara  STPP / NTPC / BTG-BHEL</t>
  </si>
  <si>
    <t>Mar-13</t>
  </si>
  <si>
    <t>Sep-17</t>
  </si>
  <si>
    <t>Sep-20</t>
  </si>
  <si>
    <t>Darlipalli STPP / NTPC / SG- BHEL TG-JSW &amp;
Toshiba</t>
  </si>
  <si>
    <t>Jun-18</t>
  </si>
  <si>
    <t>Barsingar TPP ext / NLC /
Reliance Infra</t>
  </si>
  <si>
    <t>Nov-16</t>
  </si>
  <si>
    <t>May-20</t>
  </si>
  <si>
    <t>Hold</t>
  </si>
  <si>
    <t>Bithnok TPP / NLC /
Reliance Infra</t>
  </si>
  <si>
    <t>Telangana STPP St- I / NTPC / SG- BHEL, TG-
Alstom &amp; Bharatforge</t>
  </si>
  <si>
    <t>Feb-16</t>
  </si>
  <si>
    <t>Jan-20</t>
  </si>
  <si>
    <t>Neyveli New TPP / NLC /
BHEL</t>
  </si>
  <si>
    <t>Dec-13</t>
  </si>
  <si>
    <t>Mar-18</t>
  </si>
  <si>
    <t>Meja STPP / JV of NTPC &amp; UPRVUNL / SG-BGR, TG-
Toshiba</t>
  </si>
  <si>
    <t>Apr-12</t>
  </si>
  <si>
    <t>Dec-16</t>
  </si>
  <si>
    <t>Ghatampur TPP / JV of NLC &amp; UPRVUNL / MHPS Boiler Pvt. Ltd.</t>
  </si>
  <si>
    <t>Aug-16</t>
  </si>
  <si>
    <t>Feb-20</t>
  </si>
  <si>
    <t>Jan-22</t>
  </si>
  <si>
    <t>Mar-22</t>
  </si>
  <si>
    <t>Tanda TPP St II / NTPC  / SG:
L&amp;T /  TG: Alstom</t>
  </si>
  <si>
    <t>Sep-14</t>
  </si>
  <si>
    <t>U-6</t>
  </si>
  <si>
    <t>Khurja SCTPP</t>
  </si>
  <si>
    <t>Mar-19</t>
  </si>
  <si>
    <t>Mar-23</t>
  </si>
  <si>
    <t>Apr-23</t>
  </si>
  <si>
    <t>Sep-23</t>
  </si>
  <si>
    <t>Jharkand</t>
  </si>
  <si>
    <t>Patratu STPP / JV of NTPC &amp; Jharkhand Bidyut Vitran Nigam Ltd.</t>
  </si>
  <si>
    <t>Sep-22</t>
  </si>
  <si>
    <t>Rourkela PP-II Expansion / NTPC-Sail Power Co Ltd (NSPCL) (JV of NTPC &amp;
SAIL) / BHEL</t>
  </si>
  <si>
    <t>May-16</t>
  </si>
  <si>
    <t>Dec-18</t>
  </si>
  <si>
    <t>A.P</t>
  </si>
  <si>
    <t>Dr.Narla Tata Rao TPS   St- V / APGENCO / BTG-
BHEL</t>
  </si>
  <si>
    <t>Oct-15</t>
  </si>
  <si>
    <t>Sept-19</t>
  </si>
  <si>
    <t>Sri Damodaran Sanjeevaiah TPP St-II / APGENCO
/BTG- BHEL</t>
  </si>
  <si>
    <t>Nov-15</t>
  </si>
  <si>
    <t>Yelahanka CCPP BY KPCL</t>
  </si>
  <si>
    <t>GT+ST</t>
  </si>
  <si>
    <t>April-20</t>
  </si>
  <si>
    <t>Bhusawal TPS/MAHAGENCO</t>
  </si>
  <si>
    <t>Apr-22</t>
  </si>
  <si>
    <t>Suratgarh SCTPP/ RRVUNL
/ BHEL</t>
  </si>
  <si>
    <t>May-13</t>
  </si>
  <si>
    <t>U-8</t>
  </si>
  <si>
    <t>June-20</t>
  </si>
  <si>
    <t>Bhadradri TPP / TSGENCO/ BHEL</t>
  </si>
  <si>
    <t>Mar-15</t>
  </si>
  <si>
    <t>Mar-17</t>
  </si>
  <si>
    <t>Jun-20</t>
  </si>
  <si>
    <t>Mar-20 18.04.2020)</t>
  </si>
  <si>
    <t>Ennore exp. SCTPP (Lanco) / TANGEDCO  / BTG-BGR
(Lanco – Terminated)</t>
  </si>
  <si>
    <t>May-14 Dec -19</t>
  </si>
  <si>
    <t>Sep-19</t>
  </si>
  <si>
    <t>Dec-17</t>
  </si>
  <si>
    <t>Ennore SCTPP / TANGEDCO/ BHEL</t>
  </si>
  <si>
    <t>North Chennai TPP St-III
TANGEDCO/BHEL</t>
  </si>
  <si>
    <t>Jan-16</t>
  </si>
  <si>
    <t>Udangudi STPP Stage I/ TANGEDCO,  EPC- BHEL</t>
  </si>
  <si>
    <t>Jan-23</t>
  </si>
  <si>
    <t>Uppur Super Critical TPP TANGEDCO /BHEL</t>
  </si>
  <si>
    <t>Oct-19</t>
  </si>
  <si>
    <t>Harduaganj TPS Exp-II   /
UPRVUNL/ Toshiba JSW</t>
  </si>
  <si>
    <t>Sep-15</t>
  </si>
  <si>
    <t>Sept-20</t>
  </si>
  <si>
    <t>Nov-19</t>
  </si>
  <si>
    <t>Yadadri TPS/TSGENCO/BHEL</t>
  </si>
  <si>
    <t>Oct-17</t>
  </si>
  <si>
    <t>Oct-23</t>
  </si>
  <si>
    <t>May-23</t>
  </si>
  <si>
    <t>U-5</t>
  </si>
  <si>
    <t>Jawaharpur STPP/
UPRVUNL/ Doosan</t>
  </si>
  <si>
    <t>Panki TPS Extn./ URVUNL</t>
  </si>
  <si>
    <t>Apr-18</t>
  </si>
  <si>
    <t>Obra-C STPP/  UPRVUNL/
Doosan</t>
  </si>
  <si>
    <t>Dec-19</t>
  </si>
  <si>
    <t>Bhavanapadu TPP Ph-I / East Coast Energy Ltd./   BTG-
Chinese</t>
  </si>
  <si>
    <t>Sep-09</t>
  </si>
  <si>
    <t>Oct-13</t>
  </si>
  <si>
    <t>Uncertain*</t>
  </si>
  <si>
    <t>Mar-14</t>
  </si>
  <si>
    <t>Thamminapatnam TPP stage
-II / Meenakshi Energy Pvt. Ltd.                        SG-Cether
vessels  TG-Chinese</t>
  </si>
  <si>
    <t>Dec-09</t>
  </si>
  <si>
    <t>May-12</t>
  </si>
  <si>
    <t>Stressed</t>
  </si>
  <si>
    <t>Aug-12</t>
  </si>
  <si>
    <t>Siriya TPP (Jas Infra. TPP) / JICPL /  BTG-Chinese</t>
  </si>
  <si>
    <t>Mar-11</t>
  </si>
  <si>
    <t>Aug-14</t>
  </si>
  <si>
    <t>Dec-14</t>
  </si>
  <si>
    <t>Apr-15</t>
  </si>
  <si>
    <t>Aug-15</t>
  </si>
  <si>
    <t>Akaltara TPP   (Naiyara) / KSK Mahandi Power Company Ltd./    Chinese</t>
  </si>
  <si>
    <t>Apr-09</t>
  </si>
  <si>
    <t>Apr-13</t>
  </si>
  <si>
    <t>Aug-13</t>
  </si>
  <si>
    <t>Uncertain</t>
  </si>
  <si>
    <t>Binjkote TPP/ SKS Power Generation (Chhattisgarh) Ltd. SG-Cethar Vessels TG-Harbin
China</t>
  </si>
  <si>
    <t>Jun-15</t>
  </si>
  <si>
    <t>Jun-14</t>
  </si>
  <si>
    <t>Lanco Amarkantak TPP-II/
LAP Pvt. Ltd. BTG-DEC</t>
  </si>
  <si>
    <t>Nov-09</t>
  </si>
  <si>
    <t>Jan-12</t>
  </si>
  <si>
    <t>Mar-12</t>
  </si>
  <si>
    <t>Singhitarai TPP / Athena
Chhattisgarh Power Ltd./ BTG -DECL</t>
  </si>
  <si>
    <t>Nov-14</t>
  </si>
  <si>
    <t>Feb-15</t>
  </si>
  <si>
    <t>Salora TPP / Vandana
Vidyut/ BTG-Cether Vessles</t>
  </si>
  <si>
    <t>Sep-11</t>
  </si>
  <si>
    <t>Deveri (Visa)  TPP / Visa
Power Ltd. BTG-BHEL</t>
  </si>
  <si>
    <t>Jun-10</t>
  </si>
  <si>
    <t>Matrishri Usha TPP Ph-I / Corporate Power Ltd. /EPC-
BHEL</t>
  </si>
  <si>
    <t>Nov-12</t>
  </si>
  <si>
    <t>Matrishri Usha TPP Ph-II / Corporate Power Ltd. / EPC-
BHEL</t>
  </si>
  <si>
    <t>Oct-12</t>
  </si>
  <si>
    <t>Sep-12</t>
  </si>
  <si>
    <t>Tori TPP Ph-I / Essar Power
Ltd. / BTG-China</t>
  </si>
  <si>
    <t>Aug-08</t>
  </si>
  <si>
    <t>Jul-12</t>
  </si>
  <si>
    <t>Jun-17</t>
  </si>
  <si>
    <t>Tori TPP Ph-II / Essar Power Ltd.</t>
  </si>
  <si>
    <t>Dec-15</t>
  </si>
  <si>
    <t>Amravati TPP Ph-II / Ratan India Power Pvt. Ltd.   / BTG-BHEL</t>
  </si>
  <si>
    <t>Oct-10</t>
  </si>
  <si>
    <t>Jul-14</t>
  </si>
  <si>
    <t>Jan-15</t>
  </si>
  <si>
    <t>Lanco  Vidarbha  TPP / LVP
Pvt. Ltd.  /EPC-LANCO</t>
  </si>
  <si>
    <t>Apr-17</t>
  </si>
  <si>
    <t>Nasik  TPP Ph-II / Ratan India Nasik Power Pvt. Ltd. BTG-BHEL</t>
  </si>
  <si>
    <t>Jun-13</t>
  </si>
  <si>
    <t>Bijora Ghanmukh TPP /
Jinbhuvish Power Generation Pvt. Ltd. /  BTG-Chinese</t>
  </si>
  <si>
    <t>Shirpur TPP   ,Shirpur Power
Pvt. Ltd.-BHEL</t>
  </si>
  <si>
    <t>Nov-11</t>
  </si>
  <si>
    <t>Gorgi TPP   / D.B. Power
(MP) Ltd.  BTG-BHEL</t>
  </si>
  <si>
    <t>Ind Barath TPP (Odisha) /
Ind Barath /BTG-Cethar Vessels</t>
  </si>
  <si>
    <t>May-09</t>
  </si>
  <si>
    <t>Dec-11</t>
  </si>
  <si>
    <t>KVK Nilanchal TPP/ KVK Nilanchal / BTG- Harbin China</t>
  </si>
  <si>
    <t>Feb-12</t>
  </si>
  <si>
    <t>Lanco Babandh  TPP / LBP Ltd./ BTG-Chinese</t>
  </si>
  <si>
    <t>Malibrahmani TPP / MPCL/
BTG-BHEL</t>
  </si>
  <si>
    <t>Feb-13</t>
  </si>
  <si>
    <t>Tuticorin TPP (Ind- Barath) /
IBPIL /  BTG-Chinese</t>
  </si>
  <si>
    <t>May-10</t>
  </si>
  <si>
    <t>May-15</t>
  </si>
  <si>
    <t>Tuticorin TPP  St-IV / SEPC/
EPC-MEIL (BTG-BHEL)</t>
  </si>
  <si>
    <t>Jan-14</t>
  </si>
  <si>
    <t>Sep-18</t>
  </si>
  <si>
    <t>Hiranmaye Energy Ltd (India Power corporation (Haldia) TPP /  Haldia Energy Ltd/ BTG-BHEL.</t>
  </si>
  <si>
    <t>Sep-10</t>
  </si>
  <si>
    <t>These rows are from the Boom &amp; Bust January 2020 database from endcoal.org. Units with status permitted or pre-permitted have been included</t>
  </si>
  <si>
    <t xml:space="preserve">PATARATU JSEB TPP PHASE II </t>
  </si>
  <si>
    <t>PERMITTED</t>
  </si>
  <si>
    <t>TALCHER POWER STATION STAGE II</t>
  </si>
  <si>
    <t>KATWA SUPER TPP</t>
  </si>
  <si>
    <t>PRE-PERMIT</t>
  </si>
  <si>
    <t xml:space="preserve">LARA INTEGRATED TPP </t>
  </si>
  <si>
    <t>SINGRAULI SUPER TPP</t>
  </si>
  <si>
    <t>SIPAT POWER STATION (RAJIV GANDHI POWER STATION)</t>
  </si>
  <si>
    <t>NEYVELI TPS STATION II</t>
  </si>
  <si>
    <t>PANKI TPS</t>
  </si>
  <si>
    <t>MP AMARKANTAK TPS</t>
  </si>
  <si>
    <t>BUXAR TPS</t>
  </si>
  <si>
    <t>JSW BARMER JALIP KAPURDI TPS</t>
  </si>
  <si>
    <t>BHUBANESHWAR JASPER TPS</t>
  </si>
  <si>
    <t>Kadapa Steel power station</t>
  </si>
  <si>
    <t>Udupi power station</t>
  </si>
  <si>
    <t>Kamakhyanagar power station</t>
  </si>
  <si>
    <t>Kamalanga</t>
  </si>
  <si>
    <t>Shriram Rayons power station</t>
  </si>
  <si>
    <t>Pegadapalli (Jaipur Mandal) power station</t>
  </si>
  <si>
    <t>Pedaveedu power station</t>
  </si>
  <si>
    <t>Khurja power station</t>
  </si>
  <si>
    <t>* Presently work at site is on hold.</t>
  </si>
  <si>
    <t>Sum - Cap. (MW)</t>
  </si>
  <si>
    <t>Data</t>
  </si>
  <si>
    <t>UNCERTAIN</t>
  </si>
  <si>
    <t>Above is the summary of the coal plant status as gleaned from CEA’s Broad Status Monitoring Report Apr 2020 and Boom &amp; Bust coal tracker database of Jan 2020.</t>
  </si>
  <si>
    <t>MW coal capacity in pipeline</t>
  </si>
  <si>
    <t xml:space="preserve">MinCapacity </t>
  </si>
  <si>
    <t xml:space="preserve">MaxCapacity </t>
  </si>
  <si>
    <t>EG_COAL</t>
  </si>
  <si>
    <t>ModelGeography</t>
  </si>
  <si>
    <t>SubGeography1</t>
  </si>
  <si>
    <t>INDIA</t>
  </si>
  <si>
    <t>Share of potential</t>
  </si>
  <si>
    <t xml:space="preserve">Share </t>
  </si>
  <si>
    <t>MW</t>
  </si>
  <si>
    <t>2020</t>
  </si>
  <si>
    <t>Unit</t>
  </si>
  <si>
    <t>Remarks</t>
  </si>
  <si>
    <t>Solar</t>
  </si>
  <si>
    <t>EG_OCGT</t>
  </si>
  <si>
    <t>EG_SH</t>
  </si>
  <si>
    <t>EG_BIOMASS</t>
  </si>
  <si>
    <t>EG_SPV</t>
  </si>
  <si>
    <t>MaxCapacity (MW)</t>
  </si>
  <si>
    <t>MinCapacity (MW)</t>
  </si>
  <si>
    <t xml:space="preserve">Maximum allowed Capacity </t>
  </si>
  <si>
    <t>Maximum capacity allowed</t>
  </si>
  <si>
    <t xml:space="preserve">Maximum allowed Capacity  </t>
  </si>
  <si>
    <t>Note:- In addition, 9 PSS of 4785.60 MW capacity are in operation, 3 PSS of 1205 MW capacity are under</t>
  </si>
  <si>
    <t>construction, 1 PSS of 1000 MW capacity is concurred by CEA, 5 PSS of 3820 MW capacity are under</t>
  </si>
  <si>
    <t>S&amp;I and 1 PSS of 660 MW capacity is under held-up list .</t>
  </si>
  <si>
    <t xml:space="preserve">EG_OCGT </t>
  </si>
  <si>
    <t>ECT_LegacyCapacity</t>
  </si>
  <si>
    <t xml:space="preserve">ECT_LegacyCapacity </t>
  </si>
  <si>
    <t xml:space="preserve">State share </t>
  </si>
  <si>
    <t xml:space="preserve">DL </t>
  </si>
  <si>
    <t>Dadra &amp; Nagar Naveli</t>
  </si>
  <si>
    <t xml:space="preserve">Installed Capacity at the end of FY19,20,21 respectively. Source: CEA </t>
  </si>
  <si>
    <t xml:space="preserve">Capacity added </t>
  </si>
  <si>
    <t xml:space="preserve">Capacity Installed </t>
  </si>
  <si>
    <t>RF_LPG</t>
  </si>
  <si>
    <t>India plans to nearly double oil refining capacity by 2030: Pradhan</t>
  </si>
  <si>
    <t>https://energy.economictimes.indiatimes.com/news/oil-and-gas/india-plans-to-nearly-double-oil-refining-capacity-by-2030-pradhan/76402815</t>
  </si>
  <si>
    <t>The refining capacity of 249.9 million tonnes exceeded the fuel demand of 213.7 million tonnes in 2019-20, but the demand is likely to rise to 335 million tonnes by 2030 and 472 million tonnes by 2040</t>
  </si>
  <si>
    <t>RF_MS</t>
  </si>
  <si>
    <t>MoPNG press release : Refining Capacity of Oil Refineries</t>
  </si>
  <si>
    <t>https://pib.gov.in/PressReleasePage.aspx?PRID=1576808</t>
  </si>
  <si>
    <t xml:space="preserve">Unconfirmed Capacity given in Business Standard article </t>
  </si>
  <si>
    <t>https://www.business-standard.com/article/companies/ioc-to-invest-rs-70-000-cr-to-expand-refining-capacity-118021800151_1.html</t>
  </si>
  <si>
    <t xml:space="preserve">Existing - </t>
  </si>
  <si>
    <t>PSU / JV / Private</t>
  </si>
  <si>
    <t>Sr.no.</t>
  </si>
  <si>
    <t>Name of Refinery</t>
  </si>
  <si>
    <t>Present capacity MMTPA 2020</t>
  </si>
  <si>
    <t>Expansion MMTPA</t>
  </si>
  <si>
    <t>Final Capacity MMTPA</t>
  </si>
  <si>
    <t>Indian Oil</t>
  </si>
  <si>
    <t>Digboi, Assam</t>
  </si>
  <si>
    <t>Guwahati, Assam</t>
  </si>
  <si>
    <t>Barauni, Bihar</t>
  </si>
  <si>
    <t>Note-1</t>
  </si>
  <si>
    <t>Koyali, Vadodara, Gujarat</t>
  </si>
  <si>
    <t>Bongaigaon, Assam</t>
  </si>
  <si>
    <t>Haldia, West Bengal</t>
  </si>
  <si>
    <t>RF_ATF</t>
  </si>
  <si>
    <t>Mathura, UP</t>
  </si>
  <si>
    <t>Panipat, Haryana</t>
  </si>
  <si>
    <t>Note-2</t>
  </si>
  <si>
    <t>Paradip, Odisha</t>
  </si>
  <si>
    <t>HPCL</t>
  </si>
  <si>
    <t>Mumbai, Maharashtra</t>
  </si>
  <si>
    <t>Visakhapatnam, AP</t>
  </si>
  <si>
    <t>BPCL</t>
  </si>
  <si>
    <t>Kochi, Kerala</t>
  </si>
  <si>
    <t>CPCL / IOCL</t>
  </si>
  <si>
    <t>Manali, TN</t>
  </si>
  <si>
    <t>Nagapattinam, TN</t>
  </si>
  <si>
    <t>NRL</t>
  </si>
  <si>
    <t>Numaligarh, Assam</t>
  </si>
  <si>
    <t>Note-3</t>
  </si>
  <si>
    <t>MRPL</t>
  </si>
  <si>
    <t>Mangalore, Karnataka</t>
  </si>
  <si>
    <t>Tatipaka, AP</t>
  </si>
  <si>
    <t>RF_HSD</t>
  </si>
  <si>
    <t>Joint Venture</t>
  </si>
  <si>
    <t>Bharat Oman Ref, Bina, MP</t>
  </si>
  <si>
    <t>HPCL Mittal Energy, Bhatinda</t>
  </si>
  <si>
    <t>Private</t>
  </si>
  <si>
    <t>Reliance, DTA-Jamnagar</t>
  </si>
  <si>
    <t>Reliance, SEZ-Jamnagar</t>
  </si>
  <si>
    <t>Nayara Energy, Vadinar</t>
  </si>
  <si>
    <t>HPCL Rajasthan Ref, Barmer</t>
  </si>
  <si>
    <t>IOC/HP/BP</t>
  </si>
  <si>
    <t>West coast Refinery</t>
  </si>
  <si>
    <t>W/O unconfirmed expansion</t>
  </si>
  <si>
    <t>Confirmed capacity expansion planned</t>
  </si>
  <si>
    <t>Notes -</t>
  </si>
  <si>
    <t>Unconfirmed capacity expansion/new</t>
  </si>
  <si>
    <t>RF_OTHERPP</t>
  </si>
  <si>
    <t>Enviro clearance, Financial closure achieved</t>
  </si>
  <si>
    <t xml:space="preserve">Expansion from 0.3 m bpd refining to 0.5 m bpd </t>
  </si>
  <si>
    <t>Contract awarded for License technology to Chevron Lummus &amp; EPCM contract to TKIS</t>
  </si>
  <si>
    <t>Planned Expansion / greenfield addition</t>
  </si>
  <si>
    <t>ALL Petro Products</t>
  </si>
  <si>
    <t>LPG</t>
  </si>
  <si>
    <t>MS</t>
  </si>
  <si>
    <t>ATF</t>
  </si>
  <si>
    <t>HSD</t>
  </si>
  <si>
    <t>Other non-energy PP MTPA</t>
  </si>
  <si>
    <t>Other non-energy PP % share</t>
  </si>
  <si>
    <t>Product-wise Max capacity</t>
  </si>
  <si>
    <t>Cumulative Expansion / greenfield addition</t>
  </si>
  <si>
    <t>Product-wise Capacity</t>
  </si>
  <si>
    <t>Present  MMTPA 2020</t>
  </si>
  <si>
    <t>Expansion - MMTPA</t>
  </si>
  <si>
    <t>Final - MMTPA</t>
  </si>
  <si>
    <t>Other non-energy PP</t>
  </si>
  <si>
    <t>Max Capacity addition till date</t>
  </si>
  <si>
    <t>MMTPA</t>
  </si>
  <si>
    <t xml:space="preserve">PSU is Indian Oil - Paradip </t>
  </si>
  <si>
    <t>Private sector - RIL Jamnagar</t>
  </si>
  <si>
    <t>Planned in Model period(2025)</t>
  </si>
  <si>
    <t>Actual consumption figures</t>
  </si>
  <si>
    <t>Projected consumption figures for all Petroleum products</t>
  </si>
  <si>
    <t>Assumed GR</t>
  </si>
  <si>
    <t>Consumption of PP till 2020</t>
  </si>
  <si>
    <t>in Million tonnes</t>
  </si>
  <si>
    <t>Consumption figures have historically increased till 2020 at a CAGR of 5.2%. Assuming the same growth rate, consumption is likely to be 372 MTPA by 2031.</t>
  </si>
  <si>
    <t xml:space="preserve">As per present capacity India has been producing more PP than current demand and has been exporting finished PP. India produced 250MT and consumed 214 MT in 2020. </t>
  </si>
  <si>
    <t>This scenario is likely to change by 2028, going by present plans of expansion in refining capacity.</t>
  </si>
  <si>
    <t>Production of Petroleum products-Fin year-wise, TMT</t>
  </si>
  <si>
    <t>% share of total</t>
  </si>
  <si>
    <t xml:space="preserve">Average </t>
  </si>
  <si>
    <t>CAGR over</t>
  </si>
  <si>
    <t>Products</t>
  </si>
  <si>
    <t>2013-14</t>
  </si>
  <si>
    <t>2014-15</t>
  </si>
  <si>
    <t>2015-16</t>
  </si>
  <si>
    <t>2016-17</t>
  </si>
  <si>
    <t>% share</t>
  </si>
  <si>
    <t>6 years</t>
  </si>
  <si>
    <t>Motor Spirit(MS)</t>
  </si>
  <si>
    <t>LDO</t>
  </si>
  <si>
    <t>Naphtha</t>
  </si>
  <si>
    <t>Kerosene</t>
  </si>
  <si>
    <t>Fuel Oils(FO/LSHS/RFO)</t>
  </si>
  <si>
    <t>Lube oils</t>
  </si>
  <si>
    <t>Bitumen</t>
  </si>
  <si>
    <t>Petroleum coke</t>
  </si>
  <si>
    <t>Paraffin wax</t>
  </si>
  <si>
    <t>Other Petro Products (total)</t>
  </si>
  <si>
    <t>TOTAL (All Petro products)</t>
  </si>
  <si>
    <t>Refinery fuel &amp; losses</t>
  </si>
  <si>
    <t>Consumption figures</t>
  </si>
  <si>
    <t>CAGR</t>
  </si>
  <si>
    <t>Table V.3 (Total PP figures)</t>
  </si>
  <si>
    <t>Max and Min Capacity units in MTPA (Million Tonne per annum)</t>
  </si>
  <si>
    <t>Please note that all units in Final CSVs are GW and MTPA (million tonne per annnum)</t>
  </si>
  <si>
    <t>Potential</t>
  </si>
  <si>
    <t>Max of Min and Max</t>
  </si>
  <si>
    <t>We spread this out till 2027</t>
  </si>
  <si>
    <t>Capacity Added  in FY21</t>
  </si>
  <si>
    <t>State-wise installed capacity of Grid Interactive Renewable Power as on 28.02.2021.</t>
  </si>
  <si>
    <t xml:space="preserve">Wind </t>
  </si>
  <si>
    <t xml:space="preserve">Biomass </t>
  </si>
  <si>
    <t xml:space="preserve">Small Hydro </t>
  </si>
  <si>
    <t>Capacity added in FY21 (Till Feb 2021)</t>
  </si>
  <si>
    <t xml:space="preserve"> ALL INDIA  INSTALLED CAPACITY (IN MW) OF POWER STATIONS 
LOCATED IN THE  REGIONS OF MAIN LAND AND ISLANDS </t>
  </si>
  <si>
    <t>(As on 31.03.2021)</t>
  </si>
  <si>
    <t>(UTILITIES)</t>
  </si>
  <si>
    <t>Ownership/ Sector</t>
  </si>
  <si>
    <t xml:space="preserve"> Mode wise breakup</t>
  </si>
  <si>
    <t>Grand Total</t>
  </si>
  <si>
    <t>Thermal</t>
  </si>
  <si>
    <t>Nuclear</t>
  </si>
  <si>
    <t xml:space="preserve">Hydro </t>
  </si>
  <si>
    <t>RES *  (MNRE)</t>
  </si>
  <si>
    <t>AS on 31.03.2020</t>
  </si>
  <si>
    <t>Coal</t>
  </si>
  <si>
    <t>Lignite</t>
  </si>
  <si>
    <t>Gas</t>
  </si>
  <si>
    <t>Diesel</t>
  </si>
  <si>
    <t>Northern Region</t>
  </si>
  <si>
    <t>Central</t>
  </si>
  <si>
    <t>Sub Total</t>
  </si>
  <si>
    <t>Western Region</t>
  </si>
  <si>
    <t>Southern Region</t>
  </si>
  <si>
    <t>Eastern Region</t>
  </si>
  <si>
    <t>North Eastern 
Region</t>
  </si>
  <si>
    <t>Islands</t>
  </si>
  <si>
    <t>ALL INDIA</t>
  </si>
  <si>
    <t xml:space="preserve">Figures at decimal may not tally due to rounding off </t>
  </si>
  <si>
    <t xml:space="preserve">     Abbreviation:-</t>
  </si>
  <si>
    <t>SHP=Small Hydro Project (≤ 25 MW), BP=Biomass Power, U&amp;I=Urban &amp; Industrial Waste Power, RES=Renewable Energy Sources</t>
  </si>
  <si>
    <t xml:space="preserve">     Note : -   </t>
  </si>
  <si>
    <t>1. RES include SHP, BP, U&amp;I, Solar  and  Wind  Energy. Installed capacity in respect of RES (MNRE) as on 31.03.2021</t>
  </si>
  <si>
    <t xml:space="preserve">  (As per latest information available with MNRE)</t>
  </si>
  <si>
    <t>*Break up of RES all India as on 31.03.2021 is given below  (in MW) :</t>
  </si>
  <si>
    <t xml:space="preserve"> </t>
  </si>
  <si>
    <t>Small 
Hydro Power</t>
  </si>
  <si>
    <t>Bio-Power</t>
  </si>
  <si>
    <t>Total 
Capacity</t>
  </si>
  <si>
    <t>BM Power/Cogen.</t>
  </si>
  <si>
    <t xml:space="preserve">     A.  </t>
  </si>
  <si>
    <t xml:space="preserve">Capacity       Added       during </t>
  </si>
  <si>
    <t>March., 2021</t>
  </si>
  <si>
    <t>1590 MW</t>
  </si>
  <si>
    <t>1. Unit-3 (270 MW) of BHADRADRI TPP has been commissioned and added to state sector of Telangana.</t>
  </si>
  <si>
    <t>2. Unit-2 (660 MW) of NABINAGAR STPP has been commissioned and added to central sector of ER &amp; NR states as per their allocation.</t>
  </si>
  <si>
    <t>3. Unit-6 (660 MW) of TANDA TPS has been commissioned and added to central sector of NR states as per their allocation.</t>
  </si>
  <si>
    <t xml:space="preserve">     B.  </t>
  </si>
  <si>
    <t xml:space="preserve">Capacity      Retired       during </t>
  </si>
  <si>
    <t>32.5 MW</t>
  </si>
  <si>
    <t>1. Unit-1,2&amp;3 (2*5 + 1*6.5 = 16.5 MW) of BARAMURA GT  has been retired from state sector of Tripura.</t>
  </si>
  <si>
    <t>2. Unit-1&amp;2 (2x8 = 16 MW) of ROKHIA GT has been retired from state sector of Tripura.</t>
  </si>
  <si>
    <t xml:space="preserve">     C.  </t>
  </si>
  <si>
    <t>Capacity removed due to change from Conventional to RES during</t>
  </si>
  <si>
    <t>0 MW</t>
  </si>
  <si>
    <t xml:space="preserve">     D.  </t>
  </si>
  <si>
    <t xml:space="preserve">Net Conv. Capacity Added during </t>
  </si>
  <si>
    <t>A-B+C</t>
  </si>
  <si>
    <t>1557.5 MW</t>
  </si>
  <si>
    <t>*</t>
  </si>
  <si>
    <t>Sector wise breakup of RES capacity as shown is provisional.</t>
  </si>
  <si>
    <t>Allocation from central sector stations has been updated till 28.02.2021.</t>
  </si>
  <si>
    <t>Share of Railway (750 MW) from NABI NAGAR TPP (750 MW) is included in central sector of Bihar.</t>
  </si>
  <si>
    <t>Share from private sector generating stations has been updated as per latest information available.</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</si>
  <si>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NORTHERN REGION</t>
    </r>
    <r>
      <rPr>
        <b/>
        <sz val="14"/>
        <rFont val="Arial Black"/>
        <family val="2"/>
      </rPr>
      <t xml:space="preserve"> </t>
    </r>
  </si>
  <si>
    <t xml:space="preserve">INCLUDING ALLOCATED SHARES IN JOINT &amp; CENTRAL SECTOR UTILITIES </t>
  </si>
  <si>
    <t xml:space="preserve">  </t>
  </si>
  <si>
    <t>Hydro</t>
  </si>
  <si>
    <t>RES   (MNRE)</t>
  </si>
  <si>
    <t>Sub-Total</t>
  </si>
  <si>
    <t xml:space="preserve">Himachal Pradesh </t>
  </si>
  <si>
    <t>Jammu &amp; Kashmir and 
Ladakh</t>
  </si>
  <si>
    <t>Central - Unallocated</t>
  </si>
  <si>
    <t>Total (Northern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</si>
  <si>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WESTERN REGION</t>
    </r>
    <r>
      <rPr>
        <b/>
        <sz val="14"/>
        <rFont val="Arial Black"/>
        <family val="2"/>
      </rPr>
      <t xml:space="preserve"> </t>
    </r>
  </si>
  <si>
    <t>Total (Western Region)</t>
  </si>
  <si>
    <r>
      <rPr>
        <b/>
        <sz val="16"/>
        <color rgb="FF002060"/>
        <rFont val="Arial Black"/>
        <family val="2"/>
      </rPr>
      <t xml:space="preserve">INSTALLED CAPACITY (IN MW) OF POWER UTILITIES IN THE STATES/UTS LOCATED IN </t>
    </r>
    <r>
      <rPr>
        <b/>
        <sz val="16"/>
        <color theme="8" tint="-0.499984740745262"/>
        <rFont val="Arial Black"/>
        <family val="2"/>
      </rPr>
      <t xml:space="preserve">
</t>
    </r>
    <r>
      <rPr>
        <b/>
        <sz val="16"/>
        <rFont val="Arial Black"/>
        <family val="2"/>
      </rPr>
      <t xml:space="preserve"> SOUTHERN REGION</t>
    </r>
    <r>
      <rPr>
        <b/>
        <sz val="14"/>
        <rFont val="Arial Black"/>
        <family val="2"/>
      </rPr>
      <t xml:space="preserve"> </t>
    </r>
  </si>
  <si>
    <t>NLC</t>
  </si>
  <si>
    <t>Puducherry</t>
  </si>
  <si>
    <t>Total (Southern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</si>
  <si>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EASTERN REGION</t>
    </r>
    <r>
      <rPr>
        <b/>
        <sz val="14"/>
        <rFont val="Arial Black"/>
        <family val="2"/>
      </rPr>
      <t xml:space="preserve"> </t>
    </r>
  </si>
  <si>
    <t>DVC</t>
  </si>
  <si>
    <t>Total (Eastern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</si>
  <si>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NORTH-EASTERN REGION</t>
    </r>
    <r>
      <rPr>
        <b/>
        <sz val="14"/>
        <rFont val="Arial Black"/>
        <family val="2"/>
      </rPr>
      <t xml:space="preserve"> </t>
    </r>
  </si>
  <si>
    <t>Total (North- Eastern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</si>
  <si>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ISLANDS </t>
    </r>
  </si>
  <si>
    <t>Andaman  &amp; Nicobar</t>
  </si>
  <si>
    <t>Lakshadweep</t>
  </si>
  <si>
    <t>Total (Islands)</t>
  </si>
  <si>
    <t xml:space="preserve">Source: CEA Monthly Capacity Installed  reports </t>
  </si>
  <si>
    <t>MW BIOMASS capacity in pipeline</t>
  </si>
  <si>
    <t>MW SMALL HYDRO capacity in pipeline</t>
  </si>
  <si>
    <t xml:space="preserve">Capacity  added </t>
  </si>
  <si>
    <t>COAL</t>
  </si>
  <si>
    <t xml:space="preserve">LIGNITE </t>
  </si>
  <si>
    <t xml:space="preserve">GAS </t>
  </si>
  <si>
    <t xml:space="preserve">Capacity report </t>
  </si>
  <si>
    <t xml:space="preserve">THERMAL </t>
  </si>
  <si>
    <t>Central Unallocated</t>
  </si>
  <si>
    <t>Generation report (OPM)</t>
  </si>
  <si>
    <t>Other PP w/o Naphtha, Lubes, bitumen, wax &amp; Others</t>
  </si>
  <si>
    <t>Other Petroproducts w/o Naphtha, lubes, wax, bitumen &amp; Others</t>
  </si>
  <si>
    <t>Other Petroproducts w/o Naphtha, LWB &amp; Others</t>
  </si>
  <si>
    <t>CHAPTER-11</t>
  </si>
  <si>
    <t>DETAILS OF UNDER DEVELOPMENT HYDRO ELECTRIC PROJECTS (ABOVE 25 MW)</t>
  </si>
  <si>
    <t>HAVING TIME/COST OVERRUN-State Wise</t>
  </si>
  <si>
    <t>Project Name/(I.C.)/ Executing Agency</t>
  </si>
  <si>
    <t>UnitNo.</t>
  </si>
  <si>
    <t>Org. Comm. Sched.</t>
  </si>
  <si>
    <t>Ant. Comm. Sched.</t>
  </si>
  <si>
    <t>Time over run (months)</t>
  </si>
  <si>
    <t>Org. Cost (Rs. in Crores)(Price Level)</t>
  </si>
  <si>
    <t>Latest/Ant.Cost(Rs. in Crores) (Price Level)</t>
  </si>
  <si>
    <t>Cost over run (Rs. in Crores) (%)</t>
  </si>
  <si>
    <t>Reasons for time and cost over run</t>
  </si>
  <si>
    <t>Count (0- PSS)</t>
  </si>
  <si>
    <t>1*</t>
  </si>
  <si>
    <t>Polavaram</t>
  </si>
  <si>
    <t>2024-25</t>
  </si>
  <si>
    <r>
      <t></t>
    </r>
    <r>
      <rPr>
        <sz val="9"/>
        <color indexed="8"/>
        <rFont val="Times New Roman"/>
        <family val="2"/>
      </rPr>
      <t xml:space="preserve"> 'Works stalled since 19.07.2019 as APGENCO asked contractor M/s Navayuga Engineering Company Ltd. (NECL) to stop all works and termination of contract issued on 14.08.2019. The writ petition filed by NECL was disposed by Hon'ble High Court   on 14.12.2020. Agreement is to be concluded with new contactor M/s MEIL for commencement of Works. Works are yet to be started..</t>
    </r>
  </si>
  <si>
    <t>(12x80 = 960 MW)</t>
  </si>
  <si>
    <t>(2010-11 PL)</t>
  </si>
  <si>
    <t>(2016-17 PL)</t>
  </si>
  <si>
    <t>APGENCO / Irr.</t>
  </si>
  <si>
    <t>(Power</t>
  </si>
  <si>
    <t>(Power Component)</t>
  </si>
  <si>
    <t>Deptt.,</t>
  </si>
  <si>
    <t>Component)</t>
  </si>
  <si>
    <t>A.P.</t>
  </si>
  <si>
    <t>(Mar’18)</t>
  </si>
  <si>
    <t>(Nov,25)</t>
  </si>
  <si>
    <t>(subject to</t>
  </si>
  <si>
    <t>re-start of</t>
  </si>
  <si>
    <t>works)</t>
  </si>
  <si>
    <t>Subansiri Lower</t>
  </si>
  <si>
    <t>2009-11</t>
  </si>
  <si>
    <r>
      <t></t>
    </r>
    <r>
      <rPr>
        <sz val="9"/>
        <color indexed="8"/>
        <rFont val="Times New Roman"/>
        <family val="2"/>
      </rPr>
      <t xml:space="preserve">  Delay in transfer of forest land.</t>
    </r>
    <r>
      <rPr>
        <sz val="9"/>
        <color indexed="8"/>
        <rFont val="Wingdings"/>
        <family val="2"/>
      </rPr>
      <t></t>
    </r>
    <r>
      <rPr>
        <sz val="9"/>
        <color indexed="8"/>
        <rFont val="Times New Roman"/>
        <family val="2"/>
      </rPr>
      <t xml:space="preserve">  Disruption of works by locals in Ar. Pradesh side.</t>
    </r>
    <r>
      <rPr>
        <sz val="9"/>
        <color indexed="8"/>
        <rFont val="Wingdings"/>
        <family val="2"/>
      </rPr>
      <t></t>
    </r>
    <r>
      <rPr>
        <sz val="9"/>
        <color indexed="8"/>
        <rFont val="Times New Roman"/>
        <family val="2"/>
      </rPr>
      <t xml:space="preserve">  Slope failure in Power House in Jan, 2008.</t>
    </r>
    <r>
      <rPr>
        <sz val="9"/>
        <color indexed="8"/>
        <rFont val="Wingdings"/>
        <family val="2"/>
      </rPr>
      <t></t>
    </r>
    <r>
      <rPr>
        <sz val="9"/>
        <color indexed="8"/>
        <rFont val="Times New Roman"/>
        <family val="2"/>
      </rPr>
      <t xml:space="preserve"> </t>
    </r>
    <r>
      <rPr>
        <b/>
        <sz val="9"/>
        <color indexed="8"/>
        <rFont val="Times New Roman"/>
        <family val="2"/>
      </rPr>
      <t>All works except safety works were stalled from December, 2011 to October, 2019 due to agitation launched by Anti Dam activists in Assam against construction   of   Project.   Work   restarted   w.e.f.15.10.2019.</t>
    </r>
  </si>
  <si>
    <t>(8x250 = 2000 MW)</t>
  </si>
  <si>
    <t>(12/02)</t>
  </si>
  <si>
    <t>(04/17)</t>
  </si>
  <si>
    <t>NHPC</t>
  </si>
  <si>
    <t>(Sep’10)</t>
  </si>
  <si>
    <t>(Aug’23)</t>
  </si>
  <si>
    <t>Parbati - II</t>
  </si>
  <si>
    <t>2009-10</t>
  </si>
  <si>
    <r>
      <t></t>
    </r>
    <r>
      <rPr>
        <sz val="9"/>
        <color indexed="8"/>
        <rFont val="Times New Roman"/>
        <family val="2"/>
      </rPr>
      <t xml:space="preserve">  Delay in revised forest clearance.</t>
    </r>
    <r>
      <rPr>
        <sz val="9"/>
        <color indexed="8"/>
        <rFont val="Wingdings"/>
        <family val="2"/>
      </rPr>
      <t></t>
    </r>
    <r>
      <rPr>
        <sz val="9"/>
        <color indexed="8"/>
        <rFont val="Times New Roman"/>
        <family val="2"/>
      </rPr>
      <t xml:space="preserve">  TBM suffered extensive damage due to heavy ingress of water and slush in TBM face in Nov, 2006. Due to poor geology.</t>
    </r>
    <r>
      <rPr>
        <sz val="9"/>
        <color indexed="8"/>
        <rFont val="Wingdings"/>
        <family val="2"/>
      </rPr>
      <t></t>
    </r>
    <r>
      <rPr>
        <sz val="9"/>
        <color indexed="8"/>
        <rFont val="Times New Roman"/>
        <family val="2"/>
      </rPr>
      <t xml:space="preserve">  Flash flood in 2004,2005,2010 and 2011.</t>
    </r>
  </si>
  <si>
    <t>(4x200 = 800 MW)</t>
  </si>
  <si>
    <t>(12/01)</t>
  </si>
  <si>
    <t>(04/18)</t>
  </si>
  <si>
    <t>(Sept’09)</t>
  </si>
  <si>
    <t>(July,22)</t>
  </si>
  <si>
    <r>
      <t></t>
    </r>
    <r>
      <rPr>
        <sz val="9"/>
        <color indexed="8"/>
        <rFont val="Times New Roman"/>
        <family val="2"/>
      </rPr>
      <t xml:space="preserve">  Contractual issues.</t>
    </r>
    <r>
      <rPr>
        <sz val="9"/>
        <color indexed="8"/>
        <rFont val="Wingdings"/>
        <family val="2"/>
      </rPr>
      <t></t>
    </r>
    <r>
      <rPr>
        <sz val="9"/>
        <color indexed="8"/>
        <rFont val="Times New Roman"/>
        <family val="2"/>
      </rPr>
      <t xml:space="preserve">  Cash flow issues with civil contractors.</t>
    </r>
  </si>
  <si>
    <t>Uhl-III</t>
  </si>
  <si>
    <t>2006-07</t>
  </si>
  <si>
    <r>
      <t></t>
    </r>
    <r>
      <rPr>
        <sz val="9"/>
        <color indexed="8"/>
        <rFont val="Times New Roman"/>
        <family val="2"/>
      </rPr>
      <t xml:space="preserve">  Delay in transfer of forest land.</t>
    </r>
    <r>
      <rPr>
        <sz val="9"/>
        <color indexed="8"/>
        <rFont val="Wingdings"/>
        <family val="2"/>
      </rPr>
      <t></t>
    </r>
    <r>
      <rPr>
        <sz val="9"/>
        <color indexed="8"/>
        <rFont val="Times New Roman"/>
        <family val="2"/>
      </rPr>
      <t xml:space="preserve">  Delay in acquisition of private land</t>
    </r>
    <r>
      <rPr>
        <sz val="9"/>
        <color indexed="8"/>
        <rFont val="Wingdings"/>
        <family val="2"/>
      </rPr>
      <t></t>
    </r>
    <r>
      <rPr>
        <sz val="9"/>
        <color indexed="8"/>
        <rFont val="Times New Roman"/>
        <family val="2"/>
      </rPr>
      <t xml:space="preserve">  Delay in transfer of quarry sites.</t>
    </r>
    <r>
      <rPr>
        <sz val="9"/>
        <color indexed="8"/>
        <rFont val="Wingdings"/>
        <family val="2"/>
      </rPr>
      <t></t>
    </r>
    <r>
      <rPr>
        <sz val="9"/>
        <color indexed="8"/>
        <rFont val="Times New Roman"/>
        <family val="2"/>
      </rPr>
      <t xml:space="preserve">  Contract  for construction of HRT rescinded  twice i.e. during April, 2008 &amp; July, 2010 due to slow progress and non-performance by the contractor.</t>
    </r>
    <r>
      <rPr>
        <sz val="9"/>
        <color indexed="8"/>
        <rFont val="Wingdings"/>
        <family val="2"/>
      </rPr>
      <t></t>
    </r>
    <r>
      <rPr>
        <sz val="9"/>
        <color indexed="8"/>
        <rFont val="Times New Roman"/>
        <family val="2"/>
      </rPr>
      <t xml:space="preserve">  Poor geology in HRT.</t>
    </r>
    <r>
      <rPr>
        <sz val="9"/>
        <color indexed="8"/>
        <rFont val="Wingdings"/>
        <family val="2"/>
      </rPr>
      <t></t>
    </r>
    <r>
      <rPr>
        <sz val="9"/>
        <color indexed="8"/>
        <rFont val="Times New Roman"/>
        <family val="2"/>
      </rPr>
      <t xml:space="preserve">  Leakage  in  Penstock  in  July,2018  and  Rupture  inMay,2020</t>
    </r>
  </si>
  <si>
    <t>(3x33.33 = 100 MW)</t>
  </si>
  <si>
    <t>(09/02)</t>
  </si>
  <si>
    <t>(12/12)</t>
  </si>
  <si>
    <t>BVPCL</t>
  </si>
  <si>
    <t>(Mar’07)</t>
  </si>
  <si>
    <t>(Dec,22)</t>
  </si>
  <si>
    <t>Shongtom Karcham</t>
  </si>
  <si>
    <t>Nil</t>
  </si>
  <si>
    <r>
      <t></t>
    </r>
    <r>
      <rPr>
        <sz val="9"/>
        <color indexed="8"/>
        <rFont val="Times New Roman"/>
        <family val="2"/>
      </rPr>
      <t xml:space="preserve">  Shifting of Army Ammunition Depot.</t>
    </r>
    <r>
      <rPr>
        <sz val="9"/>
        <color indexed="8"/>
        <rFont val="Wingdings"/>
        <family val="2"/>
      </rPr>
      <t></t>
    </r>
    <r>
      <rPr>
        <sz val="9"/>
        <color indexed="8"/>
        <rFont val="Times New Roman"/>
        <family val="2"/>
      </rPr>
      <t xml:space="preserve">  Disruption of works by local people.</t>
    </r>
  </si>
  <si>
    <t>(3x150 = 450 MW)</t>
  </si>
  <si>
    <t>(07/11)</t>
  </si>
  <si>
    <t>HPPCL</t>
  </si>
  <si>
    <t>(Mar’17)</t>
  </si>
  <si>
    <t>(Mar,25)</t>
  </si>
  <si>
    <t>Bajoli Holi</t>
  </si>
  <si>
    <r>
      <t></t>
    </r>
    <r>
      <rPr>
        <sz val="9"/>
        <color indexed="8"/>
        <rFont val="Times New Roman"/>
        <family val="2"/>
      </rPr>
      <t xml:space="preserve"> Slow   progress   due   to   poor   approach   to   project components.</t>
    </r>
  </si>
  <si>
    <t>3x60= 180 MW</t>
  </si>
  <si>
    <t>(12/11)</t>
  </si>
  <si>
    <t>(5/20)</t>
  </si>
  <si>
    <t>M/s GMR Bajoli Holi</t>
  </si>
  <si>
    <t>(May’18)</t>
  </si>
  <si>
    <t>(June ,21)</t>
  </si>
  <si>
    <t>Sorang</t>
  </si>
  <si>
    <t>2011-12</t>
  </si>
  <si>
    <t>N.A.</t>
  </si>
  <si>
    <r>
      <t></t>
    </r>
    <r>
      <rPr>
        <sz val="9"/>
        <color indexed="8"/>
        <rFont val="Times New Roman"/>
        <family val="2"/>
      </rPr>
      <t xml:space="preserve">  Poor geology.</t>
    </r>
    <r>
      <rPr>
        <sz val="9"/>
        <color indexed="8"/>
        <rFont val="Wingdings"/>
        <family val="2"/>
      </rPr>
      <t></t>
    </r>
    <r>
      <rPr>
        <sz val="9"/>
        <color indexed="8"/>
        <rFont val="Times New Roman"/>
        <family val="2"/>
      </rPr>
      <t xml:space="preserve">  Penstock cracks / leakage during filling of Waterconductor System in Nov ’13 and Rupture in Nov-15 during trial run.</t>
    </r>
    <r>
      <rPr>
        <sz val="9"/>
        <color indexed="8"/>
        <rFont val="Wingdings"/>
        <family val="2"/>
      </rPr>
      <t></t>
    </r>
    <r>
      <rPr>
        <sz val="9"/>
        <color indexed="8"/>
        <rFont val="Times New Roman"/>
        <family val="2"/>
      </rPr>
      <t xml:space="preserve">  Funds constraints with developer.</t>
    </r>
  </si>
  <si>
    <t>(2x50 = 100 MW),</t>
  </si>
  <si>
    <t>(04/2005)</t>
  </si>
  <si>
    <t>HSPPL</t>
  </si>
  <si>
    <t>(Nov’11)</t>
  </si>
  <si>
    <t>(June ’21)</t>
  </si>
  <si>
    <t>8*</t>
  </si>
  <si>
    <t>Tangnu Romai-I</t>
  </si>
  <si>
    <r>
      <t></t>
    </r>
    <r>
      <rPr>
        <sz val="9"/>
        <color indexed="8"/>
        <rFont val="Times New Roman"/>
        <family val="2"/>
      </rPr>
      <t xml:space="preserve">  Works are stalled since January, 2015 due to fund constraints with developer.</t>
    </r>
  </si>
  <si>
    <t>(2x22 = 44 MW)</t>
  </si>
  <si>
    <t>(01/07)</t>
  </si>
  <si>
    <t>TRPGPL</t>
  </si>
  <si>
    <t>(Jun’14)</t>
  </si>
  <si>
    <t>works(4</t>
  </si>
  <si>
    <t>years))</t>
  </si>
  <si>
    <t>Tidong-I</t>
  </si>
  <si>
    <r>
      <t></t>
    </r>
    <r>
      <rPr>
        <sz val="9"/>
        <color indexed="8"/>
        <rFont val="Times New Roman"/>
        <family val="2"/>
      </rPr>
      <t xml:space="preserve">  Delay in NOC by Projects affected Panchayats.</t>
    </r>
    <r>
      <rPr>
        <sz val="9"/>
        <color indexed="8"/>
        <rFont val="Wingdings"/>
        <family val="2"/>
      </rPr>
      <t></t>
    </r>
    <r>
      <rPr>
        <sz val="9"/>
        <color indexed="8"/>
        <rFont val="Times New Roman"/>
        <family val="2"/>
      </rPr>
      <t xml:space="preserve">  Suspension of works by Govt. for one year.</t>
    </r>
    <r>
      <rPr>
        <sz val="9"/>
        <color indexed="8"/>
        <rFont val="Wingdings"/>
        <family val="2"/>
      </rPr>
      <t></t>
    </r>
    <r>
      <rPr>
        <sz val="9"/>
        <color indexed="8"/>
        <rFont val="Times New Roman"/>
        <family val="2"/>
      </rPr>
      <t xml:space="preserve">  Funds constraints with the developer</t>
    </r>
  </si>
  <si>
    <t>2x50 =100 MW</t>
  </si>
  <si>
    <t>(06/18)</t>
  </si>
  <si>
    <t>NSL Tidong</t>
  </si>
  <si>
    <t>(Dec’13)</t>
  </si>
  <si>
    <t>(Jun 22)</t>
  </si>
  <si>
    <t>(w.e.f. 04.09.2018</t>
  </si>
  <si>
    <t>Statkraft India Pvt.Ltd. Has acquired the100% equity in the project)</t>
  </si>
  <si>
    <t>Kutehr</t>
  </si>
  <si>
    <r>
      <t></t>
    </r>
    <r>
      <rPr>
        <sz val="9"/>
        <color indexed="8"/>
        <rFont val="Times New Roman"/>
        <family val="2"/>
      </rPr>
      <t xml:space="preserve">  Slow mobilization due to Covid-19 Lockdown.</t>
    </r>
  </si>
  <si>
    <t>3x80=240 MW</t>
  </si>
  <si>
    <t>(09/2011)</t>
  </si>
  <si>
    <t>JSW Energy (Kutehr)</t>
  </si>
  <si>
    <t>Ltd</t>
  </si>
  <si>
    <t>(Nov’24)</t>
  </si>
  <si>
    <t>(Nov’25)</t>
  </si>
  <si>
    <t>Govt. of UT of J&amp;K</t>
  </si>
  <si>
    <t>Pakal Dul</t>
  </si>
  <si>
    <r>
      <t></t>
    </r>
    <r>
      <rPr>
        <sz val="9"/>
        <color indexed="8"/>
        <rFont val="Times New Roman"/>
        <family val="2"/>
      </rPr>
      <t xml:space="preserve">  Delay in award of works due to higher bids.</t>
    </r>
  </si>
  <si>
    <t>(4x250= 1000 MW)</t>
  </si>
  <si>
    <t>(03/13)</t>
  </si>
  <si>
    <t>CVPPL</t>
  </si>
  <si>
    <t>(Apr’20)</t>
  </si>
  <si>
    <t>(July’25)</t>
  </si>
  <si>
    <t>Parnai</t>
  </si>
  <si>
    <r>
      <t></t>
    </r>
    <r>
      <rPr>
        <sz val="9"/>
        <color indexed="8"/>
        <rFont val="Times New Roman"/>
        <family val="2"/>
      </rPr>
      <t xml:space="preserve">  Delay in Land acquisition.</t>
    </r>
  </si>
  <si>
    <t>3x12.5= 37.5 MW</t>
  </si>
  <si>
    <t>(Completion</t>
  </si>
  <si>
    <t>(Completion cost)</t>
  </si>
  <si>
    <t>JKSPDC</t>
  </si>
  <si>
    <t>cost)</t>
  </si>
  <si>
    <t>(Jan’18)</t>
  </si>
  <si>
    <t>(Mar,23)</t>
  </si>
  <si>
    <t>13*</t>
  </si>
  <si>
    <t>Lower Kalnai</t>
  </si>
  <si>
    <r>
      <t></t>
    </r>
    <r>
      <rPr>
        <sz val="9"/>
        <color indexed="8"/>
        <rFont val="Times New Roman"/>
        <family val="2"/>
      </rPr>
      <t xml:space="preserve">    Works on all fronts at Dam and Power House site are</t>
    </r>
  </si>
  <si>
    <t>2x24= 48 MW</t>
  </si>
  <si>
    <t>stalled since 24.01.2018 due to payment dispute with</t>
  </si>
  <si>
    <t>(Sep’17)</t>
  </si>
  <si>
    <t>subcontractors and due to non-settlement of extension of</t>
  </si>
  <si>
    <t>time of the contract by the JKSPDC.The contract with</t>
  </si>
  <si>
    <t>works (4</t>
  </si>
  <si>
    <t>M/s. Coastal Projects Ltd. has been terminated and re-tendering for selection of EPC contractor is under process.</t>
  </si>
  <si>
    <t>Kiru</t>
  </si>
  <si>
    <r>
      <t></t>
    </r>
    <r>
      <rPr>
        <sz val="9"/>
        <color indexed="8"/>
        <rFont val="Times New Roman"/>
        <family val="2"/>
      </rPr>
      <t xml:space="preserve">    Slow mobilization due to Covid-19 lockdown</t>
    </r>
  </si>
  <si>
    <t>(4x156=624 MW)</t>
  </si>
  <si>
    <t>(09/14)</t>
  </si>
  <si>
    <t>(Aug,23)</t>
  </si>
  <si>
    <t>(Aug,24)</t>
  </si>
  <si>
    <t>15*</t>
  </si>
  <si>
    <t>Ratle</t>
  </si>
  <si>
    <t>NIL</t>
  </si>
  <si>
    <r>
      <t></t>
    </r>
    <r>
      <rPr>
        <sz val="9"/>
        <color indexed="8"/>
        <rFont val="Times New Roman"/>
        <family val="2"/>
      </rPr>
      <t xml:space="preserve">  Project was stalled since 11.07.2014 due to various issues viz. R&amp;R issues, Local issues, Law &amp; order problem etc.   Earlier, it was under execution by private sector</t>
    </r>
  </si>
  <si>
    <t>(4x205+1x30) = 850</t>
  </si>
  <si>
    <t>(11/18)</t>
  </si>
  <si>
    <t>RHPPL / NHPC</t>
  </si>
  <si>
    <t>developer  and  some  works  already  have  been  done. There is no progress since 11th July, 2014. JV of Govt. of UT of J&amp;K and NHPC has been formed. CCEA clearance received. Award of works is to be done.</t>
  </si>
  <si>
    <t>(Jan,18)</t>
  </si>
  <si>
    <t>works(5</t>
  </si>
  <si>
    <t>Pallivasal</t>
  </si>
  <si>
    <t>2010-11</t>
  </si>
  <si>
    <r>
      <t></t>
    </r>
    <r>
      <rPr>
        <sz val="9"/>
        <color indexed="8"/>
        <rFont val="Times New Roman"/>
        <family val="2"/>
      </rPr>
      <t xml:space="preserve">  Delay in land acquisition.</t>
    </r>
    <r>
      <rPr>
        <sz val="9"/>
        <color indexed="8"/>
        <rFont val="Wingdings"/>
        <family val="2"/>
      </rPr>
      <t></t>
    </r>
    <r>
      <rPr>
        <sz val="9"/>
        <color indexed="8"/>
        <rFont val="Times New Roman"/>
        <family val="2"/>
      </rPr>
      <t xml:space="preserve">  Poor geology strata in HRT.</t>
    </r>
    <r>
      <rPr>
        <sz val="9"/>
        <color indexed="8"/>
        <rFont val="Wingdings"/>
        <family val="2"/>
      </rPr>
      <t></t>
    </r>
    <r>
      <rPr>
        <sz val="9"/>
        <color indexed="8"/>
        <rFont val="Times New Roman"/>
        <family val="2"/>
      </rPr>
      <t xml:space="preserve">  Works stopped by contractor since 28.1.15 to 11.04.2017 due to contractual issues. Contract terminated on13.09.2018 and re-awarded in August, 2019.</t>
    </r>
  </si>
  <si>
    <t>2x30 = 60 MW</t>
  </si>
  <si>
    <t>KSEB</t>
  </si>
  <si>
    <t>(Mar’11)</t>
  </si>
  <si>
    <t>(Dec,21)</t>
  </si>
  <si>
    <t>Thottiyar</t>
  </si>
  <si>
    <t>2012-13</t>
  </si>
  <si>
    <r>
      <t></t>
    </r>
    <r>
      <rPr>
        <sz val="9"/>
        <color indexed="8"/>
        <rFont val="Times New Roman"/>
        <family val="2"/>
      </rPr>
      <t xml:space="preserve">  Land acquisition issue.</t>
    </r>
    <r>
      <rPr>
        <sz val="9"/>
        <color indexed="8"/>
        <rFont val="Wingdings"/>
        <family val="2"/>
      </rPr>
      <t></t>
    </r>
    <r>
      <rPr>
        <sz val="9"/>
        <color indexed="8"/>
        <rFont val="Times New Roman"/>
        <family val="2"/>
      </rPr>
      <t xml:space="preserve">  The works of weir and approach channel stopped from2010 to 2012 by local people.</t>
    </r>
    <r>
      <rPr>
        <sz val="9"/>
        <color indexed="8"/>
        <rFont val="Wingdings"/>
        <family val="2"/>
      </rPr>
      <t></t>
    </r>
    <r>
      <rPr>
        <sz val="9"/>
        <color indexed="8"/>
        <rFont val="Times New Roman"/>
        <family val="2"/>
      </rPr>
      <t xml:space="preserve">  </t>
    </r>
    <r>
      <rPr>
        <b/>
        <sz val="9"/>
        <color indexed="8"/>
        <rFont val="Times New Roman"/>
        <family val="2"/>
      </rPr>
      <t>The work stopped by Court from 12.12.2012 to April-2013.</t>
    </r>
    <r>
      <rPr>
        <sz val="9"/>
        <color indexed="8"/>
        <rFont val="Wingdings"/>
        <family val="2"/>
      </rPr>
      <t></t>
    </r>
    <r>
      <rPr>
        <sz val="9"/>
        <color indexed="8"/>
        <rFont val="Times New Roman"/>
        <family val="2"/>
      </rPr>
      <t xml:space="preserve">  Financial crunch with contractor leading to foreclosure ofcontract in April,2017 and balance works re-awarded inJanuary, 2018.</t>
    </r>
  </si>
  <si>
    <t>(1x30+1x10)= 40MW</t>
  </si>
  <si>
    <t>(Apr’12)</t>
  </si>
  <si>
    <t>18*</t>
  </si>
  <si>
    <t>Maheshwar</t>
  </si>
  <si>
    <t>2001-02</t>
  </si>
  <si>
    <r>
      <t></t>
    </r>
    <r>
      <rPr>
        <sz val="9"/>
        <color indexed="8"/>
        <rFont val="Times New Roman"/>
        <family val="2"/>
      </rPr>
      <t xml:space="preserve">   Works   suspended   since   Nov-11   due  to   cash   flow problem with developer. M.P. Power Management Company Ltd. has terminated the Power Purchase Agreement with SMHPCL on 18.04.2020.</t>
    </r>
  </si>
  <si>
    <t>(10x40 = 400 MW)</t>
  </si>
  <si>
    <t>(96-97)</t>
  </si>
  <si>
    <t>(2016-17)</t>
  </si>
  <si>
    <t>SMHPCL</t>
  </si>
  <si>
    <t>works(Two</t>
  </si>
  <si>
    <t>years)</t>
  </si>
  <si>
    <t>(Mar’02)</t>
  </si>
  <si>
    <t>19*</t>
  </si>
  <si>
    <t>Koyna Left Bank PSS2x40 = 80 MW WRD, Maha</t>
  </si>
  <si>
    <r>
      <t></t>
    </r>
    <r>
      <rPr>
        <sz val="9"/>
        <color indexed="8"/>
        <rFont val="Times New Roman"/>
        <family val="2"/>
      </rPr>
      <t xml:space="preserve">  Project stalled since July, 2015. The current expenditure on the project has already reached to almost original administrative approved cost level. Proposal for revival of the  project is submitted to the Govt. of Maharashtra.</t>
    </r>
  </si>
  <si>
    <t>(Oct’14)</t>
  </si>
  <si>
    <t>Shahpurkandi</t>
  </si>
  <si>
    <r>
      <t></t>
    </r>
    <r>
      <rPr>
        <sz val="9"/>
        <color indexed="8"/>
        <rFont val="Times New Roman"/>
        <family val="2"/>
      </rPr>
      <t xml:space="preserve">  Works of Dam stopped since 29.08.2014 due to inter- state dispute between states of J&amp;K &amp; Punjab on sharing of waters of river Ravi and Tariff.</t>
    </r>
  </si>
  <si>
    <t>3x33+3x33+1x8</t>
  </si>
  <si>
    <t>(04/08)</t>
  </si>
  <si>
    <t>(02/18)</t>
  </si>
  <si>
    <t>=206 MW, Irrigation</t>
  </si>
  <si>
    <t>Deptt. &amp;PSPCL</t>
  </si>
  <si>
    <t>(Dec, 24)</t>
  </si>
  <si>
    <t>Teesta Stage VI (4x125 = 500 MW) Lanco Teesta Hydro Power Ltd. (LTHPL) (Project taken over by NHPC w.e.f.08.03.2019)</t>
  </si>
  <si>
    <r>
      <t></t>
    </r>
    <r>
      <rPr>
        <sz val="9"/>
        <color indexed="8"/>
        <rFont val="Times New Roman"/>
        <family val="2"/>
      </rPr>
      <t xml:space="preserve">  Poor geology.</t>
    </r>
  </si>
  <si>
    <t>(07/2018)</t>
  </si>
  <si>
    <r>
      <t></t>
    </r>
    <r>
      <rPr>
        <sz val="9"/>
        <color indexed="8"/>
        <rFont val="Times New Roman"/>
        <family val="2"/>
      </rPr>
      <t xml:space="preserve">  Land acquisition.</t>
    </r>
  </si>
  <si>
    <r>
      <t></t>
    </r>
    <r>
      <rPr>
        <sz val="9"/>
        <color indexed="8"/>
        <rFont val="Times New Roman"/>
        <family val="2"/>
      </rPr>
      <t xml:space="preserve">  Contractual issues</t>
    </r>
  </si>
  <si>
    <r>
      <t></t>
    </r>
    <r>
      <rPr>
        <sz val="9"/>
        <color indexed="8"/>
        <rFont val="Times New Roman"/>
        <family val="2"/>
      </rPr>
      <t xml:space="preserve">  Funds constraints with  developer (Private) and  stalled</t>
    </r>
  </si>
  <si>
    <t>(Jul’12)</t>
  </si>
  <si>
    <t>(Mar,24)</t>
  </si>
  <si>
    <r>
      <t>from April, 2014 to October, 2019</t>
    </r>
    <r>
      <rPr>
        <sz val="12"/>
        <color indexed="8"/>
        <rFont val="Wingdings"/>
        <family val="2"/>
      </rPr>
      <t></t>
    </r>
    <r>
      <rPr>
        <sz val="12"/>
        <color indexed="8"/>
        <rFont val="Times New Roman"/>
        <family val="2"/>
      </rPr>
      <t xml:space="preserve"> </t>
    </r>
    <r>
      <rPr>
        <b/>
        <sz val="9"/>
        <color indexed="8"/>
        <rFont val="Times New Roman"/>
        <family val="2"/>
      </rPr>
      <t>M/s.   LTHPL   came   under   Corporate   Insolvency</t>
    </r>
  </si>
  <si>
    <t>Resolution  Process.    NHPC  Ltd.  emerged  as  H1</t>
  </si>
  <si>
    <t>bidder. CCEA approval was accorded to NHPC on</t>
  </si>
  <si>
    <t>08.03.2019.     NCLT     on     26.07.2019     approved</t>
  </si>
  <si>
    <r>
      <t>resolution plan of NHPC for acquisition of LTHPL.</t>
    </r>
    <r>
      <rPr>
        <sz val="9"/>
        <color indexed="8"/>
        <rFont val="Wingdings"/>
        <family val="2"/>
      </rPr>
      <t></t>
    </r>
    <r>
      <rPr>
        <sz val="9"/>
        <color indexed="8"/>
        <rFont val="Times New Roman"/>
        <family val="2"/>
      </rPr>
      <t xml:space="preserve">    </t>
    </r>
    <r>
      <rPr>
        <b/>
        <sz val="9"/>
        <color indexed="8"/>
        <rFont val="Times New Roman"/>
        <family val="2"/>
      </rPr>
      <t>Taking over along with all assets and documents as‘Going concern’ completed on 09.10.2019.</t>
    </r>
  </si>
  <si>
    <t>22*</t>
  </si>
  <si>
    <t>Bhasmey</t>
  </si>
  <si>
    <r>
      <t></t>
    </r>
    <r>
      <rPr>
        <sz val="9"/>
        <color indexed="8"/>
        <rFont val="Times New Roman"/>
        <family val="2"/>
      </rPr>
      <t xml:space="preserve">  Works   are   stalled   since   Sept.,   2016   due   to   funds constraints with developer</t>
    </r>
    <r>
      <rPr>
        <sz val="9"/>
        <color indexed="8"/>
        <rFont val="Wingdings"/>
        <family val="2"/>
      </rPr>
      <t></t>
    </r>
    <r>
      <rPr>
        <sz val="9"/>
        <color indexed="8"/>
        <rFont val="Times New Roman"/>
        <family val="2"/>
      </rPr>
      <t xml:space="preserve">  .</t>
    </r>
  </si>
  <si>
    <t>(2x25.5 =51 MW)</t>
  </si>
  <si>
    <t>(2012-13)</t>
  </si>
  <si>
    <t>(03/18)</t>
  </si>
  <si>
    <t>Gati Infrastructure</t>
  </si>
  <si>
    <t>(Jun’12)</t>
  </si>
  <si>
    <t>works(3</t>
  </si>
  <si>
    <t>23*</t>
  </si>
  <si>
    <t>Rangit-IV HE Project (3X40 = 120 MW) JPCL</t>
  </si>
  <si>
    <t>Project   is   stalled   since   October,   2013   due   to   funds</t>
  </si>
  <si>
    <t>(2011-12)</t>
  </si>
  <si>
    <t>(06/16)</t>
  </si>
  <si>
    <t>constraints                 with                 the                 developer.</t>
  </si>
  <si>
    <t>The project is under NCLT process since 9th April, 2019.</t>
  </si>
  <si>
    <t>(Jan’12)</t>
  </si>
  <si>
    <t>NHPC submitted EOI on  08.07.2019  and  was shortlisted</t>
  </si>
  <si>
    <t>under  final  list  of  Prospective  Resolution  Applicants  on</t>
  </si>
  <si>
    <t>works(3-½</t>
  </si>
  <si>
    <t>dated 23.08.2019.The Resolution Plan submitted by NHPC</t>
  </si>
  <si>
    <t>year)</t>
  </si>
  <si>
    <t>on 04.12.2019. The Resolution Plan Approval Applicationwas   listed   for   hearing   on   17.02.2020   before   NCLT,Hyderabad   (“Tribunal”).   Final   hearing   was   held   on31.07.2020. Investment approval for acquisition of M/s JalPower Corporation Ltd. and construction of balance works</t>
  </si>
  <si>
    <r>
      <t>of Rangit-IV by NHPC was conveyed to NHPC by MoP on30.03.2021.   The project has been awarded to NHPC andAward of works is under pro</t>
    </r>
    <r>
      <rPr>
        <sz val="9"/>
        <color indexed="10"/>
        <rFont val="Times New Roman"/>
        <family val="2"/>
      </rPr>
      <t>cess.</t>
    </r>
  </si>
  <si>
    <t>24*</t>
  </si>
  <si>
    <t>Rangit-II</t>
  </si>
  <si>
    <r>
      <t></t>
    </r>
    <r>
      <rPr>
        <sz val="9"/>
        <color indexed="8"/>
        <rFont val="Times New Roman"/>
        <family val="2"/>
      </rPr>
      <t xml:space="preserve">  Works are stalled  since December, 2017 due to  funds</t>
    </r>
  </si>
  <si>
    <t>2x33= 66 MW</t>
  </si>
  <si>
    <t>constraints                        with                        developer.</t>
  </si>
  <si>
    <t>Sikkim Hydro Power</t>
  </si>
  <si>
    <t>(Apr’15)</t>
  </si>
  <si>
    <t>Project       is       in       NCLT       since       30.07.2020.</t>
  </si>
  <si>
    <t>Ltd.</t>
  </si>
  <si>
    <t>works(2-½</t>
  </si>
  <si>
    <t>Rongnichu</t>
  </si>
  <si>
    <r>
      <t></t>
    </r>
    <r>
      <rPr>
        <sz val="9"/>
        <color indexed="8"/>
        <rFont val="Times New Roman"/>
        <family val="2"/>
      </rPr>
      <t xml:space="preserve">  Land Acquisition</t>
    </r>
    <r>
      <rPr>
        <sz val="9"/>
        <color indexed="8"/>
        <rFont val="Wingdings"/>
        <family val="2"/>
      </rPr>
      <t></t>
    </r>
    <r>
      <rPr>
        <sz val="9"/>
        <color indexed="8"/>
        <rFont val="Times New Roman"/>
        <family val="2"/>
      </rPr>
      <t xml:space="preserve">  Poor geology.</t>
    </r>
  </si>
  <si>
    <t>(2x56.5 =113 MW)</t>
  </si>
  <si>
    <t>Madhya Bharat Pvt.Ltd.</t>
  </si>
  <si>
    <t>(Jul’14)</t>
  </si>
  <si>
    <t>(May,21)</t>
  </si>
  <si>
    <t>26*</t>
  </si>
  <si>
    <t>Panan</t>
  </si>
  <si>
    <r>
      <t></t>
    </r>
    <r>
      <rPr>
        <sz val="9"/>
        <color indexed="8"/>
        <rFont val="Times New Roman"/>
        <family val="2"/>
      </rPr>
      <t xml:space="preserve"> Issue of construction of bridge on Mantham Lake for accessebility of site is under discussion with the State Govt of Sikkim..</t>
    </r>
  </si>
  <si>
    <t>4x75= 300 MW</t>
  </si>
  <si>
    <t>Himagiri Hydro</t>
  </si>
  <si>
    <t>Energy Pvt. Ltd.</t>
  </si>
  <si>
    <t>works(4-½</t>
  </si>
  <si>
    <t>Kundah PSP  (Phase- I, Phase-II &amp; Phase- III)(4x125=500 MW) TANGEDCO</t>
  </si>
  <si>
    <t>614..7</t>
  </si>
  <si>
    <r>
      <t></t>
    </r>
    <r>
      <rPr>
        <sz val="9"/>
        <color indexed="8"/>
        <rFont val="Times New Roman"/>
        <family val="2"/>
      </rPr>
      <t xml:space="preserve">  Civil &amp; HM works have been taken up from 05/2018 only</t>
    </r>
  </si>
  <si>
    <t>(2007-08)</t>
  </si>
  <si>
    <t>(Aug,21)</t>
  </si>
  <si>
    <t>(May,23)</t>
  </si>
  <si>
    <t>Uttartakhand</t>
  </si>
  <si>
    <t>28*</t>
  </si>
  <si>
    <t>Lata Tapovan</t>
  </si>
  <si>
    <t>would be calculated when works re- start.</t>
  </si>
  <si>
    <t>Subsequent  to  the  Uttarakhand  disaster  in  June,  2013, Hon’ble Supreme Court gave the judgment on 13.08.2013 that “MoEF as well as State of Uttarakhand not to grant any further environmental clearance or forest clearance for any hydroelectric power project in the State of Uttarakhand, until further  orders”.  Therefore,  the  construction  work  stopped.The matter is sub-judice.</t>
  </si>
  <si>
    <t>(3x57 = 171 MW)</t>
  </si>
  <si>
    <t>(07/12)</t>
  </si>
  <si>
    <t>(Aug’17)</t>
  </si>
  <si>
    <t>Tapovan Vishnughad</t>
  </si>
  <si>
    <r>
      <t></t>
    </r>
    <r>
      <rPr>
        <sz val="9"/>
        <color indexed="8"/>
        <rFont val="Times New Roman"/>
        <family val="2"/>
      </rPr>
      <t xml:space="preserve">  On 07.02.2021, there was a sudden flash flood in Dhauli</t>
    </r>
  </si>
  <si>
    <t>(4x130 = 520 MW)</t>
  </si>
  <si>
    <t>(03/04)</t>
  </si>
  <si>
    <t>(04/19)</t>
  </si>
  <si>
    <r>
      <t>Ganga  river  due  to  an  avalanche  resulting  in  part damage to NTPC hydro power plant. A detailed analysis is  to  be  done  to  assess  the  extent  of  physical  and financial damage to the project. A team of Expert(TOE) from CWC, CEA, GSI, CSMRS and NTPC have been constituted for preparing action plan for restoration of project</t>
    </r>
    <r>
      <rPr>
        <sz val="9"/>
        <color indexed="10"/>
        <rFont val="Times New Roman"/>
        <family val="2"/>
      </rPr>
      <t>.</t>
    </r>
  </si>
  <si>
    <t>(Mar’13)</t>
  </si>
  <si>
    <t>(Dec’23)</t>
  </si>
  <si>
    <t>Tehri PSS</t>
  </si>
  <si>
    <r>
      <t></t>
    </r>
    <r>
      <rPr>
        <sz val="9"/>
        <color indexed="8"/>
        <rFont val="Times New Roman"/>
        <family val="2"/>
      </rPr>
      <t xml:space="preserve">  Poor geology.</t>
    </r>
    <r>
      <rPr>
        <sz val="9"/>
        <color indexed="8"/>
        <rFont val="Wingdings"/>
        <family val="2"/>
      </rPr>
      <t></t>
    </r>
    <r>
      <rPr>
        <sz val="9"/>
        <color indexed="8"/>
        <rFont val="Times New Roman"/>
        <family val="2"/>
      </rPr>
      <t xml:space="preserve">  Local agitation at Asena Quarry / muck disposal area.</t>
    </r>
    <r>
      <rPr>
        <sz val="9"/>
        <color indexed="8"/>
        <rFont val="Wingdings"/>
        <family val="2"/>
      </rPr>
      <t></t>
    </r>
    <r>
      <rPr>
        <sz val="9"/>
        <color indexed="8"/>
        <rFont val="Times New Roman"/>
        <family val="2"/>
      </rPr>
      <t xml:space="preserve">  Revision of Lay out of machine hall due to poor geology.</t>
    </r>
    <r>
      <rPr>
        <sz val="9"/>
        <color indexed="8"/>
        <rFont val="Wingdings"/>
        <family val="2"/>
      </rPr>
      <t></t>
    </r>
    <r>
      <rPr>
        <sz val="9"/>
        <color indexed="8"/>
        <rFont val="Times New Roman"/>
        <family val="2"/>
      </rPr>
      <t xml:space="preserve">  Funds constraints with contractor.</t>
    </r>
  </si>
  <si>
    <t>(4x250 = 1000 MW)</t>
  </si>
  <si>
    <t>(12/05)</t>
  </si>
  <si>
    <t>(02/19)</t>
  </si>
  <si>
    <t>THDC</t>
  </si>
  <si>
    <t>(July’10)</t>
  </si>
  <si>
    <t>(Dec’22)</t>
  </si>
  <si>
    <t>Vishnugad Pipalkoti</t>
  </si>
  <si>
    <r>
      <t></t>
    </r>
    <r>
      <rPr>
        <sz val="9"/>
        <color indexed="8"/>
        <rFont val="Times New Roman"/>
        <family val="2"/>
      </rPr>
      <t xml:space="preserve"> CCEA approval in Aug-2008 but works could not be awarded due to Forest clearance/diversion of forest land. Forest land was acquired in January-14 and subsequently works awarded in January-2014.</t>
    </r>
    <r>
      <rPr>
        <sz val="9"/>
        <color indexed="8"/>
        <rFont val="Wingdings"/>
        <family val="2"/>
      </rPr>
      <t></t>
    </r>
    <r>
      <rPr>
        <sz val="9"/>
        <color indexed="8"/>
        <rFont val="Times New Roman"/>
        <family val="2"/>
      </rPr>
      <t xml:space="preserve">  Disruption of works by local people.</t>
    </r>
    <r>
      <rPr>
        <sz val="9"/>
        <color indexed="8"/>
        <rFont val="Wingdings"/>
        <family val="2"/>
      </rPr>
      <t></t>
    </r>
    <r>
      <rPr>
        <sz val="9"/>
        <color indexed="8"/>
        <rFont val="Times New Roman"/>
        <family val="2"/>
      </rPr>
      <t xml:space="preserve">  Cash flow problem with contractor.</t>
    </r>
  </si>
  <si>
    <t>(4x111 = 444 MW)</t>
  </si>
  <si>
    <t>(03/08)</t>
  </si>
  <si>
    <t>(Jun’13)</t>
  </si>
  <si>
    <t>Naitwar Mori (2x30 =60 MW), SJVNL</t>
  </si>
  <si>
    <r>
      <t></t>
    </r>
    <r>
      <rPr>
        <sz val="9"/>
        <color indexed="8"/>
        <rFont val="Times New Roman"/>
        <family val="2"/>
      </rPr>
      <t xml:space="preserve">  COVID pandemic</t>
    </r>
  </si>
  <si>
    <t>(10/2016)</t>
  </si>
  <si>
    <t>(Dec’21)</t>
  </si>
  <si>
    <t>(June'22)</t>
  </si>
  <si>
    <t></t>
  </si>
  <si>
    <t>Vyasi</t>
  </si>
  <si>
    <r>
      <t></t>
    </r>
    <r>
      <rPr>
        <sz val="9"/>
        <color indexed="8"/>
        <rFont val="Times New Roman"/>
        <family val="2"/>
      </rPr>
      <t xml:space="preserve">  Delay in award of works.</t>
    </r>
    <r>
      <rPr>
        <sz val="9"/>
        <color indexed="8"/>
        <rFont val="Wingdings"/>
        <family val="2"/>
      </rPr>
      <t></t>
    </r>
    <r>
      <rPr>
        <sz val="9"/>
        <color indexed="8"/>
        <rFont val="Times New Roman"/>
        <family val="2"/>
      </rPr>
      <t xml:space="preserve">  Agitation by Local people.</t>
    </r>
  </si>
  <si>
    <t>2x60=120 MW,</t>
  </si>
  <si>
    <t>(02/10)</t>
  </si>
  <si>
    <t>UJVNL</t>
  </si>
  <si>
    <t>(Dec’14)</t>
  </si>
  <si>
    <t>(Apr,22)</t>
  </si>
  <si>
    <t>34*</t>
  </si>
  <si>
    <t>Phata Byung</t>
  </si>
  <si>
    <r>
      <t></t>
    </r>
    <r>
      <rPr>
        <sz val="9"/>
        <color indexed="8"/>
        <rFont val="Times New Roman"/>
        <family val="2"/>
      </rPr>
      <t xml:space="preserve">  Works stalled since July, 2017 due to Financial crunch with the contractor / developer.The company is undergoing a corporate insolvency resolution process initiated under IBC for resolution and revival of the project since June 2020. Under this process, the resolution professional appointed by the NCLT has initiated the process for inviting prospective investors for the project.</t>
    </r>
  </si>
  <si>
    <t>(2x38 = 76 MW),</t>
  </si>
  <si>
    <t>(2013-14)</t>
  </si>
  <si>
    <t>(09/16)</t>
  </si>
  <si>
    <t>LANCO</t>
  </si>
  <si>
    <t>Rammam-III</t>
  </si>
  <si>
    <r>
      <t></t>
    </r>
    <r>
      <rPr>
        <sz val="9"/>
        <color indexed="8"/>
        <rFont val="Times New Roman"/>
        <family val="2"/>
      </rPr>
      <t xml:space="preserve">   Delay in getting permission for tree felling from Govt. ofWest Bengal for Access road from Adit-1 to Adit-2.</t>
    </r>
    <r>
      <rPr>
        <sz val="9"/>
        <color indexed="8"/>
        <rFont val="Wingdings"/>
        <family val="2"/>
      </rPr>
      <t></t>
    </r>
    <r>
      <rPr>
        <sz val="9"/>
        <color indexed="8"/>
        <rFont val="Times New Roman"/>
        <family val="2"/>
      </rPr>
      <t xml:space="preserve">   Cash flow issues with civil contractors.</t>
    </r>
    <r>
      <rPr>
        <sz val="9"/>
        <color indexed="8"/>
        <rFont val="Wingdings"/>
        <family val="2"/>
      </rPr>
      <t></t>
    </r>
    <r>
      <rPr>
        <sz val="9"/>
        <color indexed="8"/>
        <rFont val="Times New Roman"/>
        <family val="2"/>
      </rPr>
      <t xml:space="preserve">   Strike / bandh during Gorkhaland agitation in 2017.</t>
    </r>
  </si>
  <si>
    <t>(3x40= 120 MW)</t>
  </si>
  <si>
    <t>(Sep’19)</t>
  </si>
  <si>
    <t>(Nov,22)</t>
  </si>
  <si>
    <t>Parbati St. II (NHPC)</t>
  </si>
  <si>
    <t>Tapovan Vishnugad (NTPC)</t>
  </si>
  <si>
    <t>Subansiri Lower (NHPC)</t>
  </si>
  <si>
    <t>Tehri PSS (THDC)</t>
  </si>
  <si>
    <t>Vishnugad Pipalkoti (THDC)</t>
  </si>
  <si>
    <t>Naitwar Mori (SJVN)</t>
  </si>
  <si>
    <t>Ramam-III (NTPC)</t>
  </si>
  <si>
    <t>Teesta St. VI (NHPC)</t>
  </si>
  <si>
    <t>Ratle (Ratle Hydro) #</t>
  </si>
  <si>
    <t>Kiru (CVPPL)</t>
  </si>
  <si>
    <t>Rangit-IV (NHPC)</t>
  </si>
  <si>
    <t>Luhri -I (SJVN)</t>
  </si>
  <si>
    <r>
      <t xml:space="preserve">Chapter 5 </t>
    </r>
    <r>
      <rPr>
        <b/>
        <sz val="8"/>
        <color rgb="FF000000"/>
        <rFont val="Arial"/>
        <family val="2"/>
      </rPr>
      <t>Sanctioned Hydro Electric Projects for Construction (Excluding projects under Ministry of New &amp; Renewable Energy)</t>
    </r>
  </si>
  <si>
    <t>Name of Scheme</t>
  </si>
  <si>
    <t>I.C.</t>
  </si>
  <si>
    <t>Benefits</t>
  </si>
  <si>
    <t>Date of Approval</t>
  </si>
  <si>
    <t>Commissioned/ Commissioning</t>
  </si>
  <si>
    <t>Non PSS (Since we have counted PSS in EST_CapAddBounds)</t>
  </si>
  <si>
    <t>(No. x MW)</t>
  </si>
  <si>
    <r>
      <t>C</t>
    </r>
    <r>
      <rPr>
        <b/>
        <sz val="8"/>
        <color rgb="FF000000"/>
        <rFont val="Arial"/>
        <family val="2"/>
      </rPr>
      <t>entral</t>
    </r>
    <r>
      <rPr>
        <b/>
        <sz val="8"/>
        <color rgb="FF000000"/>
        <rFont val="Times New Roman"/>
        <family val="1"/>
      </rPr>
      <t xml:space="preserve"> </t>
    </r>
    <r>
      <rPr>
        <b/>
        <sz val="8"/>
        <color rgb="FF000000"/>
        <rFont val="Arial"/>
        <family val="2"/>
      </rPr>
      <t>Sector</t>
    </r>
  </si>
  <si>
    <r>
      <rPr>
        <sz val="8"/>
        <color rgb="FF000000"/>
        <rFont val="Arial"/>
        <family val="2"/>
      </rPr>
      <t>P</t>
    </r>
    <r>
      <rPr>
        <sz val="8"/>
        <color rgb="FF000000"/>
        <rFont val="Arial"/>
        <family val="2"/>
      </rPr>
      <t>a</t>
    </r>
    <r>
      <rPr>
        <sz val="8"/>
        <color rgb="FF000000"/>
        <rFont val="Arial"/>
        <family val="2"/>
      </rPr>
      <t>k</t>
    </r>
    <r>
      <rPr>
        <sz val="8"/>
        <color rgb="FF000000"/>
        <rFont val="Arial"/>
        <family val="2"/>
      </rPr>
      <t>a</t>
    </r>
    <r>
      <rPr>
        <sz val="8"/>
        <color rgb="FF000000"/>
        <rFont val="Arial"/>
        <family val="2"/>
      </rPr>
      <t>l</t>
    </r>
    <r>
      <rPr>
        <sz val="8"/>
        <color rgb="FF000000"/>
        <rFont val="Arial"/>
        <family val="2"/>
      </rPr>
      <t xml:space="preserve"> </t>
    </r>
    <r>
      <rPr>
        <sz val="8"/>
        <color rgb="FF000000"/>
        <rFont val="Arial"/>
        <family val="2"/>
      </rPr>
      <t>D</t>
    </r>
    <r>
      <rPr>
        <sz val="8"/>
        <color rgb="FF000000"/>
        <rFont val="Arial"/>
        <family val="2"/>
      </rPr>
      <t>u</t>
    </r>
    <r>
      <rPr>
        <sz val="8"/>
        <color rgb="FF000000"/>
        <rFont val="Arial"/>
        <family val="2"/>
      </rPr>
      <t>l</t>
    </r>
    <r>
      <rPr>
        <sz val="8"/>
        <color rgb="FF000000"/>
        <rFont val="Arial"/>
        <family val="2"/>
      </rPr>
      <t xml:space="preserve"> </t>
    </r>
    <r>
      <rPr>
        <sz val="7.5"/>
        <color rgb="FF000000"/>
        <rFont val="Arial"/>
        <family val="2"/>
      </rPr>
      <t>(</t>
    </r>
    <r>
      <rPr>
        <sz val="7.5"/>
        <color rgb="FF000000"/>
        <rFont val="Arial"/>
        <family val="2"/>
      </rPr>
      <t>C</t>
    </r>
    <r>
      <rPr>
        <sz val="7.5"/>
        <color rgb="FF000000"/>
        <rFont val="Arial"/>
        <family val="2"/>
      </rPr>
      <t>V</t>
    </r>
    <r>
      <rPr>
        <sz val="7.5"/>
        <color rgb="FF000000"/>
        <rFont val="Arial"/>
        <family val="2"/>
      </rPr>
      <t>P</t>
    </r>
    <r>
      <rPr>
        <sz val="7.5"/>
        <color rgb="FF000000"/>
        <rFont val="Arial"/>
        <family val="2"/>
      </rPr>
      <t>P</t>
    </r>
    <r>
      <rPr>
        <sz val="7.5"/>
        <color rgb="FF000000"/>
        <rFont val="Arial"/>
        <family val="2"/>
      </rPr>
      <t>L</t>
    </r>
    <r>
      <rPr>
        <sz val="7.5"/>
        <color rgb="FF000000"/>
        <rFont val="Arial"/>
        <family val="2"/>
      </rPr>
      <t>)</t>
    </r>
  </si>
  <si>
    <t>J&amp;K</t>
  </si>
  <si>
    <t>4x250</t>
  </si>
  <si>
    <t>28.10.14</t>
  </si>
  <si>
    <t>H.P.</t>
  </si>
  <si>
    <t>4x200</t>
  </si>
  <si>
    <t>11.09.02</t>
  </si>
  <si>
    <t>4x130</t>
  </si>
  <si>
    <t>11/2006</t>
  </si>
  <si>
    <t>Ar. Pr./Assam</t>
  </si>
  <si>
    <t>8x250</t>
  </si>
  <si>
    <t>09.09.03</t>
  </si>
  <si>
    <t>18.07.06</t>
  </si>
  <si>
    <t>Lata Tapovan  (NTPC)</t>
  </si>
  <si>
    <t>3x57</t>
  </si>
  <si>
    <t>17.07.12</t>
  </si>
  <si>
    <t>2025-26*</t>
  </si>
  <si>
    <t>4x111</t>
  </si>
  <si>
    <t>21.08.08</t>
  </si>
  <si>
    <t>16.10.17</t>
  </si>
  <si>
    <t>10.09.14</t>
  </si>
  <si>
    <t>4x125</t>
  </si>
  <si>
    <t>08.03.19</t>
  </si>
  <si>
    <t>4x205+1x30</t>
  </si>
  <si>
    <t>19.12.12</t>
  </si>
  <si>
    <t>4x156</t>
  </si>
  <si>
    <t>06.07.07</t>
  </si>
  <si>
    <t>2024-25*</t>
  </si>
  <si>
    <t>2x80+2x25</t>
  </si>
  <si>
    <t>01.05.2018</t>
  </si>
  <si>
    <r>
      <rPr>
        <b/>
        <u/>
        <sz val="8"/>
        <color rgb="FF000000"/>
        <rFont val="Arial"/>
        <family val="2"/>
      </rPr>
      <t>S</t>
    </r>
    <r>
      <rPr>
        <b/>
        <sz val="8"/>
        <color rgb="FF000000"/>
        <rFont val="Arial"/>
        <family val="2"/>
      </rPr>
      <t>tate</t>
    </r>
    <r>
      <rPr>
        <b/>
        <sz val="8"/>
        <color rgb="FF000000"/>
        <rFont val="Times New Roman"/>
        <family val="1"/>
      </rPr>
      <t xml:space="preserve"> </t>
    </r>
    <r>
      <rPr>
        <b/>
        <sz val="8"/>
        <color rgb="FF000000"/>
        <rFont val="Arial"/>
        <family val="2"/>
      </rPr>
      <t>Sector</t>
    </r>
  </si>
  <si>
    <t>Parnai (JKSPDC)</t>
  </si>
  <si>
    <t>3x12.5</t>
  </si>
  <si>
    <t>21.10.13</t>
  </si>
  <si>
    <t>Lower Kalnai (JKSPDC)</t>
  </si>
  <si>
    <t>2x24</t>
  </si>
  <si>
    <t>16.08.13</t>
  </si>
  <si>
    <t>Uhl-III (BVPCL)</t>
  </si>
  <si>
    <t>3x33.33</t>
  </si>
  <si>
    <t>19.09.02</t>
  </si>
  <si>
    <t>Shongtom Karcham (HPPCL)</t>
  </si>
  <si>
    <t>3x150</t>
  </si>
  <si>
    <t>16.08.12</t>
  </si>
  <si>
    <t>Vyasi (UJVNL)</t>
  </si>
  <si>
    <t>2x60</t>
  </si>
  <si>
    <t>25.10.11</t>
  </si>
  <si>
    <t>Shahpurkandi (PSPCL)</t>
  </si>
  <si>
    <t>04.05.11</t>
  </si>
  <si>
    <t>Koyna Left Bank (WRDMah)</t>
  </si>
  <si>
    <t>2x40</t>
  </si>
  <si>
    <t>20.02.04</t>
  </si>
  <si>
    <t>Indrasagar Polavaram (PPA)</t>
  </si>
  <si>
    <t>12x80</t>
  </si>
  <si>
    <t>25.02.09</t>
  </si>
  <si>
    <t>2024-26*</t>
  </si>
  <si>
    <t>Pallivasal (KSEB)</t>
  </si>
  <si>
    <t>Jan., 07</t>
  </si>
  <si>
    <t>Thottiyar (KSEB)</t>
  </si>
  <si>
    <t>1x30+1x10</t>
  </si>
  <si>
    <t>05.06.08</t>
  </si>
  <si>
    <t>Kundah Pumped Storage-I (TANGENDCO)</t>
  </si>
  <si>
    <t>15.02.18</t>
  </si>
  <si>
    <t>Private Sector</t>
  </si>
  <si>
    <t>Sorang (Himachal Sorang Power)</t>
  </si>
  <si>
    <t>09.06.06</t>
  </si>
  <si>
    <t>Tidong-I (Statkraft India Pvt. Ltd.)</t>
  </si>
  <si>
    <t>28.07.06</t>
  </si>
  <si>
    <r>
      <rPr>
        <sz val="8"/>
        <color rgb="FF000000"/>
        <rFont val="Arial"/>
        <family val="2"/>
      </rPr>
      <t>T</t>
    </r>
    <r>
      <rPr>
        <sz val="8"/>
        <color rgb="FF000000"/>
        <rFont val="Arial"/>
        <family val="2"/>
      </rPr>
      <t>a</t>
    </r>
    <r>
      <rPr>
        <sz val="8"/>
        <color rgb="FF000000"/>
        <rFont val="Arial"/>
        <family val="2"/>
      </rPr>
      <t>n</t>
    </r>
    <r>
      <rPr>
        <sz val="8"/>
        <color rgb="FF000000"/>
        <rFont val="Arial"/>
        <family val="2"/>
      </rPr>
      <t>g</t>
    </r>
    <r>
      <rPr>
        <sz val="8"/>
        <color rgb="FF000000"/>
        <rFont val="Arial"/>
        <family val="2"/>
      </rPr>
      <t>n</t>
    </r>
    <r>
      <rPr>
        <sz val="8"/>
        <color rgb="FF000000"/>
        <rFont val="Arial"/>
        <family val="2"/>
      </rPr>
      <t>u</t>
    </r>
    <r>
      <rPr>
        <sz val="8"/>
        <color rgb="FF000000"/>
        <rFont val="Arial"/>
        <family val="2"/>
      </rPr>
      <t xml:space="preserve"> </t>
    </r>
    <r>
      <rPr>
        <sz val="8"/>
        <color rgb="FF000000"/>
        <rFont val="Arial"/>
        <family val="2"/>
      </rPr>
      <t>R</t>
    </r>
    <r>
      <rPr>
        <sz val="8"/>
        <color rgb="FF000000"/>
        <rFont val="Arial"/>
        <family val="2"/>
      </rPr>
      <t>o</t>
    </r>
    <r>
      <rPr>
        <sz val="8"/>
        <color rgb="FF000000"/>
        <rFont val="Arial"/>
        <family val="2"/>
      </rPr>
      <t>m</t>
    </r>
    <r>
      <rPr>
        <sz val="8"/>
        <color rgb="FF000000"/>
        <rFont val="Arial"/>
        <family val="2"/>
      </rPr>
      <t>a</t>
    </r>
    <r>
      <rPr>
        <sz val="8"/>
        <color rgb="FF000000"/>
        <rFont val="Arial"/>
        <family val="2"/>
      </rPr>
      <t>i</t>
    </r>
    <r>
      <rPr>
        <sz val="8"/>
        <color rgb="FF000000"/>
        <rFont val="Arial"/>
        <family val="2"/>
      </rPr>
      <t>-</t>
    </r>
    <r>
      <rPr>
        <sz val="8"/>
        <color rgb="FF000000"/>
        <rFont val="Arial"/>
        <family val="2"/>
      </rPr>
      <t xml:space="preserve"> </t>
    </r>
    <r>
      <rPr>
        <sz val="8"/>
        <color rgb="FF000000"/>
        <rFont val="Arial"/>
        <family val="2"/>
      </rPr>
      <t>I</t>
    </r>
    <r>
      <rPr>
        <sz val="8"/>
        <color rgb="FF000000"/>
        <rFont val="Arial"/>
        <family val="2"/>
      </rPr>
      <t xml:space="preserve"> </t>
    </r>
    <r>
      <rPr>
        <sz val="7.5"/>
        <color rgb="FF000000"/>
        <rFont val="Arial"/>
        <family val="2"/>
      </rPr>
      <t>(</t>
    </r>
    <r>
      <rPr>
        <sz val="7.5"/>
        <color rgb="FF000000"/>
        <rFont val="Arial"/>
        <family val="2"/>
      </rPr>
      <t>T</t>
    </r>
    <r>
      <rPr>
        <sz val="7.5"/>
        <color rgb="FF000000"/>
        <rFont val="Arial"/>
        <family val="2"/>
      </rPr>
      <t>a</t>
    </r>
    <r>
      <rPr>
        <sz val="7.5"/>
        <color rgb="FF000000"/>
        <rFont val="Arial"/>
        <family val="2"/>
      </rPr>
      <t>n</t>
    </r>
    <r>
      <rPr>
        <sz val="7.5"/>
        <color rgb="FF000000"/>
        <rFont val="Arial"/>
        <family val="2"/>
      </rPr>
      <t>g</t>
    </r>
    <r>
      <rPr>
        <sz val="7.5"/>
        <color rgb="FF000000"/>
        <rFont val="Arial"/>
        <family val="2"/>
      </rPr>
      <t>u</t>
    </r>
    <r>
      <rPr>
        <sz val="7.5"/>
        <color rgb="FF000000"/>
        <rFont val="Arial"/>
        <family val="2"/>
      </rPr>
      <t xml:space="preserve"> </t>
    </r>
    <r>
      <rPr>
        <sz val="7.5"/>
        <color rgb="FF000000"/>
        <rFont val="Arial"/>
        <family val="2"/>
      </rPr>
      <t>R</t>
    </r>
    <r>
      <rPr>
        <sz val="7.5"/>
        <color rgb="FF000000"/>
        <rFont val="Arial"/>
        <family val="2"/>
      </rPr>
      <t>o</t>
    </r>
    <r>
      <rPr>
        <sz val="7.5"/>
        <color rgb="FF000000"/>
        <rFont val="Arial"/>
        <family val="2"/>
      </rPr>
      <t>m</t>
    </r>
    <r>
      <rPr>
        <sz val="7.5"/>
        <color rgb="FF000000"/>
        <rFont val="Arial"/>
        <family val="2"/>
      </rPr>
      <t>a</t>
    </r>
    <r>
      <rPr>
        <sz val="7.5"/>
        <color rgb="FF000000"/>
        <rFont val="Arial"/>
        <family val="2"/>
      </rPr>
      <t>i</t>
    </r>
    <r>
      <rPr>
        <sz val="7.5"/>
        <color rgb="FF000000"/>
        <rFont val="Arial"/>
        <family val="2"/>
      </rPr>
      <t xml:space="preserve"> </t>
    </r>
    <r>
      <rPr>
        <sz val="7.5"/>
        <color rgb="FF000000"/>
        <rFont val="Arial"/>
        <family val="2"/>
      </rPr>
      <t>P</t>
    </r>
    <r>
      <rPr>
        <sz val="7.5"/>
        <color rgb="FF000000"/>
        <rFont val="Arial"/>
        <family val="2"/>
      </rPr>
      <t>o</t>
    </r>
    <r>
      <rPr>
        <sz val="7.5"/>
        <color rgb="FF000000"/>
        <rFont val="Arial"/>
        <family val="2"/>
      </rPr>
      <t>w</t>
    </r>
    <r>
      <rPr>
        <sz val="7.5"/>
        <color rgb="FF000000"/>
        <rFont val="Arial"/>
        <family val="2"/>
      </rPr>
      <t>e</t>
    </r>
    <r>
      <rPr>
        <sz val="7.5"/>
        <color rgb="FF000000"/>
        <rFont val="Arial"/>
        <family val="2"/>
      </rPr>
      <t>r</t>
    </r>
    <r>
      <rPr>
        <sz val="7.5"/>
        <color rgb="FF000000"/>
        <rFont val="Arial"/>
        <family val="2"/>
      </rPr>
      <t xml:space="preserve"> </t>
    </r>
    <r>
      <rPr>
        <sz val="7.5"/>
        <color rgb="FF000000"/>
        <rFont val="Arial"/>
        <family val="2"/>
      </rPr>
      <t xml:space="preserve"> </t>
    </r>
    <r>
      <rPr>
        <sz val="7.5"/>
        <color rgb="FF000000"/>
        <rFont val="Arial"/>
        <family val="2"/>
      </rPr>
      <t>G</t>
    </r>
    <r>
      <rPr>
        <sz val="7.5"/>
        <color rgb="FF000000"/>
        <rFont val="Arial"/>
        <family val="2"/>
      </rPr>
      <t>e</t>
    </r>
    <r>
      <rPr>
        <sz val="7.5"/>
        <color rgb="FF000000"/>
        <rFont val="Arial"/>
        <family val="2"/>
      </rPr>
      <t>n</t>
    </r>
    <r>
      <rPr>
        <sz val="7.5"/>
        <color rgb="FF000000"/>
        <rFont val="Arial"/>
        <family val="2"/>
      </rPr>
      <t>r</t>
    </r>
    <r>
      <rPr>
        <sz val="7.5"/>
        <color rgb="FF000000"/>
        <rFont val="Arial"/>
        <family val="2"/>
      </rPr>
      <t>ea</t>
    </r>
    <r>
      <rPr>
        <sz val="7.5"/>
        <color rgb="FF000000"/>
        <rFont val="Arial"/>
        <family val="2"/>
      </rPr>
      <t>t</t>
    </r>
    <r>
      <rPr>
        <sz val="7.5"/>
        <color rgb="FF000000"/>
        <rFont val="Arial"/>
        <family val="2"/>
      </rPr>
      <t>i</t>
    </r>
    <r>
      <rPr>
        <sz val="7.5"/>
        <color rgb="FF000000"/>
        <rFont val="Arial"/>
        <family val="2"/>
      </rPr>
      <t>o</t>
    </r>
    <r>
      <rPr>
        <sz val="7.5"/>
        <color rgb="FF000000"/>
        <rFont val="Arial"/>
        <family val="2"/>
      </rPr>
      <t>n</t>
    </r>
    <r>
      <rPr>
        <sz val="7.5"/>
        <color rgb="FF000000"/>
        <rFont val="Arial"/>
        <family val="2"/>
      </rPr>
      <t>.</t>
    </r>
    <r>
      <rPr>
        <sz val="7.5"/>
        <color rgb="FF000000"/>
        <rFont val="Arial"/>
        <family val="2"/>
      </rPr>
      <t>)</t>
    </r>
  </si>
  <si>
    <t>2x22</t>
  </si>
  <si>
    <t>30.11.07</t>
  </si>
  <si>
    <t>Bajoli  Holi (GMR)</t>
  </si>
  <si>
    <t>30.12.11</t>
  </si>
  <si>
    <t>Phata Byung (LANCO)</t>
  </si>
  <si>
    <t>2x38</t>
  </si>
  <si>
    <t>06.10.08</t>
  </si>
  <si>
    <r>
      <rPr>
        <sz val="8"/>
        <color rgb="FF000000"/>
        <rFont val="Arial"/>
        <family val="2"/>
      </rPr>
      <t>M</t>
    </r>
    <r>
      <rPr>
        <sz val="8"/>
        <color rgb="FF000000"/>
        <rFont val="Arial"/>
        <family val="2"/>
      </rPr>
      <t>a</t>
    </r>
    <r>
      <rPr>
        <sz val="8"/>
        <color rgb="FF000000"/>
        <rFont val="Arial"/>
        <family val="2"/>
      </rPr>
      <t>h</t>
    </r>
    <r>
      <rPr>
        <sz val="8"/>
        <color rgb="FF000000"/>
        <rFont val="Arial"/>
        <family val="2"/>
      </rPr>
      <t>e</t>
    </r>
    <r>
      <rPr>
        <sz val="8"/>
        <color rgb="FF000000"/>
        <rFont val="Arial"/>
        <family val="2"/>
      </rPr>
      <t>s</t>
    </r>
    <r>
      <rPr>
        <sz val="8"/>
        <color rgb="FF000000"/>
        <rFont val="Arial"/>
        <family val="2"/>
      </rPr>
      <t>h</t>
    </r>
    <r>
      <rPr>
        <sz val="8"/>
        <color rgb="FF000000"/>
        <rFont val="Arial"/>
        <family val="2"/>
      </rPr>
      <t>w</t>
    </r>
    <r>
      <rPr>
        <sz val="8"/>
        <color rgb="FF000000"/>
        <rFont val="Arial"/>
        <family val="2"/>
      </rPr>
      <t>a</t>
    </r>
    <r>
      <rPr>
        <sz val="8"/>
        <color rgb="FF000000"/>
        <rFont val="Arial"/>
        <family val="2"/>
      </rPr>
      <t>r</t>
    </r>
    <r>
      <rPr>
        <sz val="8"/>
        <color rgb="FF000000"/>
        <rFont val="Arial"/>
        <family val="2"/>
      </rPr>
      <t xml:space="preserve"> </t>
    </r>
    <r>
      <rPr>
        <sz val="8"/>
        <color rgb="FF000000"/>
        <rFont val="Arial"/>
        <family val="2"/>
      </rPr>
      <t>(</t>
    </r>
    <r>
      <rPr>
        <sz val="8"/>
        <color rgb="FF000000"/>
        <rFont val="Arial"/>
        <family val="2"/>
      </rPr>
      <t>S</t>
    </r>
    <r>
      <rPr>
        <sz val="8"/>
        <color rgb="FF000000"/>
        <rFont val="Arial"/>
        <family val="2"/>
      </rPr>
      <t>M</t>
    </r>
    <r>
      <rPr>
        <sz val="8"/>
        <color rgb="FF000000"/>
        <rFont val="Arial"/>
        <family val="2"/>
      </rPr>
      <t>H</t>
    </r>
    <r>
      <rPr>
        <sz val="8"/>
        <color rgb="FF000000"/>
        <rFont val="Arial"/>
        <family val="2"/>
      </rPr>
      <t>P</t>
    </r>
    <r>
      <rPr>
        <sz val="8"/>
        <color rgb="FF000000"/>
        <rFont val="Arial"/>
        <family val="2"/>
      </rPr>
      <t>C</t>
    </r>
    <r>
      <rPr>
        <sz val="8"/>
        <color rgb="FF000000"/>
        <rFont val="Arial"/>
        <family val="2"/>
      </rPr>
      <t>L</t>
    </r>
    <r>
      <rPr>
        <sz val="8"/>
        <color rgb="FF000000"/>
        <rFont val="Arial"/>
        <family val="2"/>
      </rPr>
      <t>)</t>
    </r>
    <r>
      <rPr>
        <sz val="8"/>
        <color rgb="FF000000"/>
        <rFont val="Arial"/>
        <family val="2"/>
      </rPr>
      <t xml:space="preserve">  </t>
    </r>
    <r>
      <rPr>
        <sz val="8"/>
        <color rgb="FF000000"/>
        <rFont val="Arial"/>
        <family val="2"/>
      </rPr>
      <t xml:space="preserve"> </t>
    </r>
    <r>
      <rPr>
        <sz val="8"/>
        <color rgb="FF000000"/>
        <rFont val="Arial"/>
        <family val="2"/>
      </rPr>
      <t>#</t>
    </r>
    <r>
      <rPr>
        <sz val="8"/>
        <color rgb="FF000000"/>
        <rFont val="Arial"/>
        <family val="2"/>
      </rPr>
      <t>#</t>
    </r>
  </si>
  <si>
    <t>M.P.</t>
  </si>
  <si>
    <t>10x40</t>
  </si>
  <si>
    <t>30.12.96</t>
  </si>
  <si>
    <t>2023-24*</t>
  </si>
  <si>
    <t>Bhasmey (GATI Infrstructure)</t>
  </si>
  <si>
    <t>2x25.5</t>
  </si>
  <si>
    <t>Dec-08</t>
  </si>
  <si>
    <t>Rangit-II (Sikkim Hydro Power)</t>
  </si>
  <si>
    <t>2x33</t>
  </si>
  <si>
    <t>10.02.10</t>
  </si>
  <si>
    <t>Rongnichu (Madhya Bharat Power)</t>
  </si>
  <si>
    <t>2x56.5</t>
  </si>
  <si>
    <t>01.10.08</t>
  </si>
  <si>
    <t>Panan (Himagiri Hydro Energy)</t>
  </si>
  <si>
    <t>4x75</t>
  </si>
  <si>
    <t>07.03.11</t>
  </si>
  <si>
    <t>Kutehr (JSW Energy (Kutehr)Ltd.</t>
  </si>
  <si>
    <t>3x80</t>
  </si>
  <si>
    <t>30.03.10</t>
  </si>
  <si>
    <r>
      <rPr>
        <sz val="7.5"/>
        <color rgb="FF000000"/>
        <rFont val="Arial"/>
        <family val="2"/>
      </rPr>
      <t>#</t>
    </r>
    <r>
      <rPr>
        <sz val="7.5"/>
        <color rgb="FF000000"/>
        <rFont val="Arial"/>
        <family val="2"/>
      </rPr>
      <t xml:space="preserve"> </t>
    </r>
    <r>
      <rPr>
        <sz val="7.5"/>
        <color rgb="FF000000"/>
        <rFont val="Arial"/>
        <family val="2"/>
      </rPr>
      <t>Go</t>
    </r>
    <r>
      <rPr>
        <sz val="7.5"/>
        <color rgb="FF000000"/>
        <rFont val="Arial"/>
        <family val="2"/>
      </rPr>
      <t>v</t>
    </r>
    <r>
      <rPr>
        <sz val="7.5"/>
        <color rgb="FF000000"/>
        <rFont val="Arial"/>
        <family val="2"/>
      </rPr>
      <t>t.</t>
    </r>
    <r>
      <rPr>
        <sz val="7.5"/>
        <color rgb="FF000000"/>
        <rFont val="Arial"/>
        <family val="2"/>
      </rPr>
      <t xml:space="preserve"> </t>
    </r>
    <r>
      <rPr>
        <sz val="7.5"/>
        <color rgb="FF000000"/>
        <rFont val="Arial"/>
        <family val="2"/>
      </rPr>
      <t>of</t>
    </r>
    <r>
      <rPr>
        <sz val="7.5"/>
        <color rgb="FF000000"/>
        <rFont val="Arial"/>
        <family val="2"/>
      </rPr>
      <t xml:space="preserve"> </t>
    </r>
    <r>
      <rPr>
        <sz val="7.5"/>
        <color rgb="FF000000"/>
        <rFont val="Arial"/>
        <family val="2"/>
      </rPr>
      <t>J</t>
    </r>
    <r>
      <rPr>
        <sz val="7.5"/>
        <color rgb="FF000000"/>
        <rFont val="Arial"/>
        <family val="2"/>
      </rPr>
      <t>&amp;</t>
    </r>
    <r>
      <rPr>
        <sz val="7.5"/>
        <color rgb="FF000000"/>
        <rFont val="Arial"/>
        <family val="2"/>
      </rPr>
      <t>K</t>
    </r>
    <r>
      <rPr>
        <sz val="7.5"/>
        <color rgb="FF000000"/>
        <rFont val="Arial"/>
        <family val="2"/>
      </rPr>
      <t>,</t>
    </r>
    <r>
      <rPr>
        <sz val="7.5"/>
        <color rgb="FF000000"/>
        <rFont val="Arial"/>
        <family val="2"/>
      </rPr>
      <t xml:space="preserve"> </t>
    </r>
    <r>
      <rPr>
        <sz val="7.5"/>
        <color rgb="FF000000"/>
        <rFont val="Arial"/>
        <family val="2"/>
      </rPr>
      <t>P</t>
    </r>
    <r>
      <rPr>
        <sz val="7.5"/>
        <color rgb="FF000000"/>
        <rFont val="Arial"/>
        <family val="2"/>
      </rPr>
      <t>DD</t>
    </r>
    <r>
      <rPr>
        <sz val="7.5"/>
        <color rgb="FF000000"/>
        <rFont val="Arial"/>
        <family val="2"/>
      </rPr>
      <t xml:space="preserve"> </t>
    </r>
    <r>
      <rPr>
        <sz val="7.5"/>
        <color rgb="FF000000"/>
        <rFont val="Arial"/>
        <family val="2"/>
      </rPr>
      <t>h</t>
    </r>
    <r>
      <rPr>
        <sz val="7.5"/>
        <color rgb="FF000000"/>
        <rFont val="Arial"/>
        <family val="2"/>
      </rPr>
      <t>a</t>
    </r>
    <r>
      <rPr>
        <sz val="7.5"/>
        <color rgb="FF000000"/>
        <rFont val="Arial"/>
        <family val="2"/>
      </rPr>
      <t>v</t>
    </r>
    <r>
      <rPr>
        <sz val="7.5"/>
        <color rgb="FF000000"/>
        <rFont val="Arial"/>
        <family val="2"/>
      </rPr>
      <t>e</t>
    </r>
    <r>
      <rPr>
        <sz val="7.5"/>
        <color rgb="FF000000"/>
        <rFont val="Arial"/>
        <family val="2"/>
      </rPr>
      <t xml:space="preserve"> </t>
    </r>
    <r>
      <rPr>
        <sz val="7.5"/>
        <color rgb="FF000000"/>
        <rFont val="Arial"/>
        <family val="2"/>
      </rPr>
      <t>ter</t>
    </r>
    <r>
      <rPr>
        <sz val="7.5"/>
        <color rgb="FF000000"/>
        <rFont val="Arial"/>
        <family val="2"/>
      </rPr>
      <t>m</t>
    </r>
    <r>
      <rPr>
        <sz val="7.5"/>
        <color rgb="FF000000"/>
        <rFont val="Arial"/>
        <family val="2"/>
      </rPr>
      <t>i</t>
    </r>
    <r>
      <rPr>
        <sz val="7.5"/>
        <color rgb="FF000000"/>
        <rFont val="Arial"/>
        <family val="2"/>
      </rPr>
      <t>nated</t>
    </r>
    <r>
      <rPr>
        <sz val="7.5"/>
        <color rgb="FF000000"/>
        <rFont val="Arial"/>
        <family val="2"/>
      </rPr>
      <t xml:space="preserve"> </t>
    </r>
    <r>
      <rPr>
        <sz val="7.5"/>
        <color rgb="FF000000"/>
        <rFont val="Arial"/>
        <family val="2"/>
      </rPr>
      <t>P</t>
    </r>
    <r>
      <rPr>
        <sz val="7.5"/>
        <color rgb="FF000000"/>
        <rFont val="Arial"/>
        <family val="2"/>
      </rPr>
      <t>P</t>
    </r>
    <r>
      <rPr>
        <sz val="7.5"/>
        <color rgb="FF000000"/>
        <rFont val="Arial"/>
        <family val="2"/>
      </rPr>
      <t>A</t>
    </r>
    <r>
      <rPr>
        <sz val="7.5"/>
        <color rgb="FF000000"/>
        <rFont val="Arial"/>
        <family val="2"/>
      </rPr>
      <t xml:space="preserve"> </t>
    </r>
    <r>
      <rPr>
        <sz val="7.5"/>
        <color rgb="FF000000"/>
        <rFont val="Arial"/>
        <family val="2"/>
      </rPr>
      <t>on</t>
    </r>
    <r>
      <rPr>
        <sz val="7.5"/>
        <color rgb="FF000000"/>
        <rFont val="Arial"/>
        <family val="2"/>
      </rPr>
      <t xml:space="preserve"> </t>
    </r>
    <r>
      <rPr>
        <sz val="7.5"/>
        <color rgb="FF000000"/>
        <rFont val="Arial"/>
        <family val="2"/>
      </rPr>
      <t>09.02</t>
    </r>
    <r>
      <rPr>
        <sz val="7.5"/>
        <color rgb="FF000000"/>
        <rFont val="Arial"/>
        <family val="2"/>
      </rPr>
      <t>.</t>
    </r>
    <r>
      <rPr>
        <sz val="7.5"/>
        <color rgb="FF000000"/>
        <rFont val="Arial"/>
        <family val="2"/>
      </rPr>
      <t>2</t>
    </r>
    <r>
      <rPr>
        <sz val="7.5"/>
        <color rgb="FF000000"/>
        <rFont val="Arial"/>
        <family val="2"/>
      </rPr>
      <t>017</t>
    </r>
    <r>
      <rPr>
        <sz val="7.5"/>
        <color rgb="FF000000"/>
        <rFont val="Arial"/>
        <family val="2"/>
      </rPr>
      <t xml:space="preserve"> </t>
    </r>
    <r>
      <rPr>
        <sz val="7.5"/>
        <color rgb="FF000000"/>
        <rFont val="Arial"/>
        <family val="2"/>
      </rPr>
      <t>and</t>
    </r>
    <r>
      <rPr>
        <sz val="7.5"/>
        <color rgb="FF000000"/>
        <rFont val="Arial"/>
        <family val="2"/>
      </rPr>
      <t xml:space="preserve"> </t>
    </r>
    <r>
      <rPr>
        <sz val="7.5"/>
        <color rgb="FF000000"/>
        <rFont val="Arial"/>
        <family val="2"/>
      </rPr>
      <t>d</t>
    </r>
    <r>
      <rPr>
        <sz val="7.5"/>
        <color rgb="FF000000"/>
        <rFont val="Arial"/>
        <family val="2"/>
      </rPr>
      <t>i</t>
    </r>
    <r>
      <rPr>
        <sz val="7.5"/>
        <color rgb="FF000000"/>
        <rFont val="Arial"/>
        <family val="2"/>
      </rPr>
      <t>r</t>
    </r>
    <r>
      <rPr>
        <sz val="7.5"/>
        <color rgb="FF000000"/>
        <rFont val="Arial"/>
        <family val="2"/>
      </rPr>
      <t>e</t>
    </r>
    <r>
      <rPr>
        <sz val="7.5"/>
        <color rgb="FF000000"/>
        <rFont val="Arial"/>
        <family val="2"/>
      </rPr>
      <t>c</t>
    </r>
    <r>
      <rPr>
        <sz val="7.5"/>
        <color rgb="FF000000"/>
        <rFont val="Arial"/>
        <family val="2"/>
      </rPr>
      <t>ted</t>
    </r>
    <r>
      <rPr>
        <sz val="7.5"/>
        <color rgb="FF000000"/>
        <rFont val="Arial"/>
        <family val="2"/>
      </rPr>
      <t xml:space="preserve"> </t>
    </r>
    <r>
      <rPr>
        <sz val="7.5"/>
        <color rgb="FF000000"/>
        <rFont val="Arial"/>
        <family val="2"/>
      </rPr>
      <t>J</t>
    </r>
    <r>
      <rPr>
        <sz val="7.5"/>
        <color rgb="FF000000"/>
        <rFont val="Arial"/>
        <family val="2"/>
      </rPr>
      <t>K</t>
    </r>
    <r>
      <rPr>
        <sz val="7.5"/>
        <color rgb="FF000000"/>
        <rFont val="Arial"/>
        <family val="2"/>
      </rPr>
      <t>S</t>
    </r>
    <r>
      <rPr>
        <sz val="7.5"/>
        <color rgb="FF000000"/>
        <rFont val="Arial"/>
        <family val="2"/>
      </rPr>
      <t>PDC</t>
    </r>
    <r>
      <rPr>
        <sz val="7.5"/>
        <color rgb="FF000000"/>
        <rFont val="Arial"/>
        <family val="2"/>
      </rPr>
      <t xml:space="preserve"> </t>
    </r>
    <r>
      <rPr>
        <sz val="7.5"/>
        <color rgb="FF000000"/>
        <rFont val="Arial"/>
        <family val="2"/>
      </rPr>
      <t>to</t>
    </r>
    <r>
      <rPr>
        <sz val="7.5"/>
        <color rgb="FF000000"/>
        <rFont val="Arial"/>
        <family val="2"/>
      </rPr>
      <t xml:space="preserve"> </t>
    </r>
    <r>
      <rPr>
        <sz val="7.5"/>
        <color rgb="FF000000"/>
        <rFont val="Arial"/>
        <family val="2"/>
      </rPr>
      <t>ta</t>
    </r>
    <r>
      <rPr>
        <sz val="7.5"/>
        <color rgb="FF000000"/>
        <rFont val="Arial"/>
        <family val="2"/>
      </rPr>
      <t>k</t>
    </r>
    <r>
      <rPr>
        <sz val="7.5"/>
        <color rgb="FF000000"/>
        <rFont val="Arial"/>
        <family val="2"/>
      </rPr>
      <t>e</t>
    </r>
    <r>
      <rPr>
        <sz val="7.5"/>
        <color rgb="FF000000"/>
        <rFont val="Arial"/>
        <family val="2"/>
      </rPr>
      <t xml:space="preserve"> </t>
    </r>
    <r>
      <rPr>
        <sz val="7.5"/>
        <color rgb="FF000000"/>
        <rFont val="Arial"/>
        <family val="2"/>
      </rPr>
      <t>o</t>
    </r>
    <r>
      <rPr>
        <sz val="7.5"/>
        <color rgb="FF000000"/>
        <rFont val="Arial"/>
        <family val="2"/>
      </rPr>
      <t>v</t>
    </r>
    <r>
      <rPr>
        <sz val="7.5"/>
        <color rgb="FF000000"/>
        <rFont val="Arial"/>
        <family val="2"/>
      </rPr>
      <t>er</t>
    </r>
    <r>
      <rPr>
        <sz val="7.5"/>
        <color rgb="FF000000"/>
        <rFont val="Arial"/>
        <family val="2"/>
      </rPr>
      <t xml:space="preserve"> </t>
    </r>
    <r>
      <rPr>
        <sz val="7.5"/>
        <color rgb="FF000000"/>
        <rFont val="Arial"/>
        <family val="2"/>
      </rPr>
      <t>the</t>
    </r>
    <r>
      <rPr>
        <sz val="7.5"/>
        <color rgb="FF000000"/>
        <rFont val="Arial"/>
        <family val="2"/>
      </rPr>
      <t xml:space="preserve"> </t>
    </r>
    <r>
      <rPr>
        <sz val="7.5"/>
        <color rgb="FF000000"/>
        <rFont val="Arial"/>
        <family val="2"/>
      </rPr>
      <t>pro</t>
    </r>
    <r>
      <rPr>
        <sz val="7.5"/>
        <color rgb="FF000000"/>
        <rFont val="Arial"/>
        <family val="2"/>
      </rPr>
      <t>j</t>
    </r>
    <r>
      <rPr>
        <sz val="7.5"/>
        <color rgb="FF000000"/>
        <rFont val="Arial"/>
        <family val="2"/>
      </rPr>
      <t>e</t>
    </r>
    <r>
      <rPr>
        <sz val="7.5"/>
        <color rgb="FF000000"/>
        <rFont val="Arial"/>
        <family val="2"/>
      </rPr>
      <t>c</t>
    </r>
    <r>
      <rPr>
        <sz val="7.5"/>
        <color rgb="FF000000"/>
        <rFont val="Arial"/>
        <family val="2"/>
      </rPr>
      <t>t.</t>
    </r>
    <r>
      <rPr>
        <sz val="7.5"/>
        <color rgb="FF000000"/>
        <rFont val="Arial"/>
        <family val="2"/>
      </rPr>
      <t xml:space="preserve"> </t>
    </r>
    <r>
      <rPr>
        <sz val="7.5"/>
        <color rgb="FF000000"/>
        <rFont val="Arial"/>
        <family val="2"/>
      </rPr>
      <t>M</t>
    </r>
    <r>
      <rPr>
        <sz val="7.5"/>
        <color rgb="FF000000"/>
        <rFont val="Arial"/>
        <family val="2"/>
      </rPr>
      <t>oU</t>
    </r>
    <r>
      <rPr>
        <sz val="7.5"/>
        <color rgb="FF000000"/>
        <rFont val="Arial"/>
        <family val="2"/>
      </rPr>
      <t xml:space="preserve"> </t>
    </r>
    <r>
      <rPr>
        <sz val="7.5"/>
        <color rgb="FF000000"/>
        <rFont val="Arial"/>
        <family val="2"/>
      </rPr>
      <t>be</t>
    </r>
    <r>
      <rPr>
        <sz val="7.5"/>
        <color rgb="FF000000"/>
        <rFont val="Arial"/>
        <family val="2"/>
      </rPr>
      <t>t</t>
    </r>
    <r>
      <rPr>
        <sz val="7.5"/>
        <color rgb="FF000000"/>
        <rFont val="Arial"/>
        <family val="2"/>
      </rPr>
      <t>w</t>
    </r>
    <r>
      <rPr>
        <sz val="7.5"/>
        <color rgb="FF000000"/>
        <rFont val="Arial"/>
        <family val="2"/>
      </rPr>
      <t>e</t>
    </r>
    <r>
      <rPr>
        <sz val="7.5"/>
        <color rgb="FF000000"/>
        <rFont val="Arial"/>
        <family val="2"/>
      </rPr>
      <t>en</t>
    </r>
    <r>
      <rPr>
        <sz val="7.5"/>
        <color rgb="FF000000"/>
        <rFont val="Arial"/>
        <family val="2"/>
      </rPr>
      <t xml:space="preserve"> </t>
    </r>
    <r>
      <rPr>
        <sz val="7.5"/>
        <color rgb="FF000000"/>
        <rFont val="Arial"/>
        <family val="2"/>
      </rPr>
      <t>NHPC</t>
    </r>
    <r>
      <rPr>
        <sz val="7.5"/>
        <color rgb="FF000000"/>
        <rFont val="Arial"/>
        <family val="2"/>
      </rPr>
      <t xml:space="preserve"> </t>
    </r>
    <r>
      <rPr>
        <sz val="7.5"/>
        <color rgb="FF000000"/>
        <rFont val="Arial"/>
        <family val="2"/>
      </rPr>
      <t>(</t>
    </r>
    <r>
      <rPr>
        <sz val="7.5"/>
        <color rgb="FF000000"/>
        <rFont val="Arial"/>
        <family val="2"/>
      </rPr>
      <t>5</t>
    </r>
    <r>
      <rPr>
        <sz val="7.5"/>
        <color rgb="FF000000"/>
        <rFont val="Arial"/>
        <family val="2"/>
      </rPr>
      <t xml:space="preserve">1%
</t>
    </r>
    <r>
      <rPr>
        <sz val="7.5"/>
        <color rgb="FF000000"/>
        <rFont val="Arial"/>
        <family val="2"/>
      </rPr>
      <t>s</t>
    </r>
    <r>
      <rPr>
        <sz val="7.5"/>
        <color rgb="FF000000"/>
        <rFont val="Arial"/>
        <family val="2"/>
      </rPr>
      <t>har</t>
    </r>
    <r>
      <rPr>
        <sz val="7.5"/>
        <color rgb="FF000000"/>
        <rFont val="Arial"/>
        <family val="2"/>
      </rPr>
      <t>e</t>
    </r>
    <r>
      <rPr>
        <sz val="7.5"/>
        <color rgb="FF000000"/>
        <rFont val="Arial"/>
        <family val="2"/>
      </rPr>
      <t>)</t>
    </r>
    <r>
      <rPr>
        <sz val="7.5"/>
        <color rgb="FF000000"/>
        <rFont val="Arial"/>
        <family val="2"/>
      </rPr>
      <t xml:space="preserve"> </t>
    </r>
    <r>
      <rPr>
        <sz val="7.5"/>
        <color rgb="FF000000"/>
        <rFont val="Arial"/>
        <family val="2"/>
      </rPr>
      <t>&amp;</t>
    </r>
    <r>
      <rPr>
        <sz val="7.5"/>
        <color rgb="FF000000"/>
        <rFont val="Arial"/>
        <family val="2"/>
      </rPr>
      <t xml:space="preserve"> </t>
    </r>
    <r>
      <rPr>
        <sz val="7.5"/>
        <color rgb="FF000000"/>
        <rFont val="Arial"/>
        <family val="2"/>
      </rPr>
      <t>J</t>
    </r>
    <r>
      <rPr>
        <sz val="7.5"/>
        <color rgb="FF000000"/>
        <rFont val="Arial"/>
        <family val="2"/>
      </rPr>
      <t>K</t>
    </r>
    <r>
      <rPr>
        <sz val="7.5"/>
        <color rgb="FF000000"/>
        <rFont val="Arial"/>
        <family val="2"/>
      </rPr>
      <t>S</t>
    </r>
    <r>
      <rPr>
        <sz val="7.5"/>
        <color rgb="FF000000"/>
        <rFont val="Arial"/>
        <family val="2"/>
      </rPr>
      <t>PDC</t>
    </r>
    <r>
      <rPr>
        <sz val="7.5"/>
        <color rgb="FF000000"/>
        <rFont val="Arial"/>
        <family val="2"/>
      </rPr>
      <t xml:space="preserve"> </t>
    </r>
    <r>
      <rPr>
        <sz val="7.5"/>
        <color rgb="FF000000"/>
        <rFont val="Arial"/>
        <family val="2"/>
      </rPr>
      <t>(49%</t>
    </r>
    <r>
      <rPr>
        <sz val="7.5"/>
        <color rgb="FF000000"/>
        <rFont val="Arial"/>
        <family val="2"/>
      </rPr>
      <t xml:space="preserve"> </t>
    </r>
    <r>
      <rPr>
        <sz val="7.5"/>
        <color rgb="FF000000"/>
        <rFont val="Arial"/>
        <family val="2"/>
      </rPr>
      <t>s</t>
    </r>
    <r>
      <rPr>
        <sz val="7.5"/>
        <color rgb="FF000000"/>
        <rFont val="Arial"/>
        <family val="2"/>
      </rPr>
      <t>har</t>
    </r>
    <r>
      <rPr>
        <sz val="7.5"/>
        <color rgb="FF000000"/>
        <rFont val="Arial"/>
        <family val="2"/>
      </rPr>
      <t>e</t>
    </r>
    <r>
      <rPr>
        <sz val="7.5"/>
        <color rgb="FF000000"/>
        <rFont val="Arial"/>
        <family val="2"/>
      </rPr>
      <t>)</t>
    </r>
    <r>
      <rPr>
        <sz val="7.5"/>
        <color rgb="FF000000"/>
        <rFont val="Arial"/>
        <family val="2"/>
      </rPr>
      <t xml:space="preserve"> </t>
    </r>
    <r>
      <rPr>
        <sz val="7.5"/>
        <color rgb="FF000000"/>
        <rFont val="Arial"/>
        <family val="2"/>
      </rPr>
      <t>s</t>
    </r>
    <r>
      <rPr>
        <sz val="7.5"/>
        <color rgb="FF000000"/>
        <rFont val="Arial"/>
        <family val="2"/>
      </rPr>
      <t>i</t>
    </r>
    <r>
      <rPr>
        <sz val="7.5"/>
        <color rgb="FF000000"/>
        <rFont val="Arial"/>
        <family val="2"/>
      </rPr>
      <t>gned</t>
    </r>
    <r>
      <rPr>
        <sz val="7.5"/>
        <color rgb="FF000000"/>
        <rFont val="Arial"/>
        <family val="2"/>
      </rPr>
      <t xml:space="preserve"> </t>
    </r>
    <r>
      <rPr>
        <sz val="7.5"/>
        <color rgb="FF000000"/>
        <rFont val="Arial"/>
        <family val="2"/>
      </rPr>
      <t>for</t>
    </r>
    <r>
      <rPr>
        <sz val="7.5"/>
        <color rgb="FF000000"/>
        <rFont val="Arial"/>
        <family val="2"/>
      </rPr>
      <t xml:space="preserve"> </t>
    </r>
    <r>
      <rPr>
        <sz val="7.5"/>
        <color rgb="FF000000"/>
        <rFont val="Arial"/>
        <family val="2"/>
      </rPr>
      <t>i</t>
    </r>
    <r>
      <rPr>
        <sz val="7.5"/>
        <color rgb="FF000000"/>
        <rFont val="Arial"/>
        <family val="2"/>
      </rPr>
      <t>m</t>
    </r>
    <r>
      <rPr>
        <sz val="7.5"/>
        <color rgb="FF000000"/>
        <rFont val="Arial"/>
        <family val="2"/>
      </rPr>
      <t>p</t>
    </r>
    <r>
      <rPr>
        <sz val="7.5"/>
        <color rgb="FF000000"/>
        <rFont val="Arial"/>
        <family val="2"/>
      </rPr>
      <t>l</t>
    </r>
    <r>
      <rPr>
        <sz val="7.5"/>
        <color rgb="FF000000"/>
        <rFont val="Arial"/>
        <family val="2"/>
      </rPr>
      <t>e</t>
    </r>
    <r>
      <rPr>
        <sz val="7.5"/>
        <color rgb="FF000000"/>
        <rFont val="Arial"/>
        <family val="2"/>
      </rPr>
      <t>m</t>
    </r>
    <r>
      <rPr>
        <sz val="7.5"/>
        <color rgb="FF000000"/>
        <rFont val="Arial"/>
        <family val="2"/>
      </rPr>
      <t>en</t>
    </r>
    <r>
      <rPr>
        <sz val="7.5"/>
        <color rgb="FF000000"/>
        <rFont val="Arial"/>
        <family val="2"/>
      </rPr>
      <t>t</t>
    </r>
    <r>
      <rPr>
        <sz val="7.5"/>
        <color rgb="FF000000"/>
        <rFont val="Arial"/>
        <family val="2"/>
      </rPr>
      <t>a</t>
    </r>
    <r>
      <rPr>
        <sz val="7.5"/>
        <color rgb="FF000000"/>
        <rFont val="Arial"/>
        <family val="2"/>
      </rPr>
      <t>t</t>
    </r>
    <r>
      <rPr>
        <sz val="7.5"/>
        <color rgb="FF000000"/>
        <rFont val="Arial"/>
        <family val="2"/>
      </rPr>
      <t>i</t>
    </r>
    <r>
      <rPr>
        <sz val="7.5"/>
        <color rgb="FF000000"/>
        <rFont val="Arial"/>
        <family val="2"/>
      </rPr>
      <t>on</t>
    </r>
    <r>
      <rPr>
        <sz val="7.5"/>
        <color rgb="FF000000"/>
        <rFont val="Arial"/>
        <family val="2"/>
      </rPr>
      <t xml:space="preserve"> </t>
    </r>
    <r>
      <rPr>
        <sz val="7.5"/>
        <color rgb="FF000000"/>
        <rFont val="Arial"/>
        <family val="2"/>
      </rPr>
      <t xml:space="preserve"> </t>
    </r>
    <r>
      <rPr>
        <sz val="7.5"/>
        <color rgb="FF000000"/>
        <rFont val="Arial"/>
        <family val="2"/>
      </rPr>
      <t>of</t>
    </r>
    <r>
      <rPr>
        <sz val="7.5"/>
        <color rgb="FF000000"/>
        <rFont val="Arial"/>
        <family val="2"/>
      </rPr>
      <t xml:space="preserve"> </t>
    </r>
    <r>
      <rPr>
        <sz val="7.5"/>
        <color rgb="FF000000"/>
        <rFont val="Arial"/>
        <family val="2"/>
      </rPr>
      <t>pro</t>
    </r>
    <r>
      <rPr>
        <sz val="7.5"/>
        <color rgb="FF000000"/>
        <rFont val="Arial"/>
        <family val="2"/>
      </rPr>
      <t>j</t>
    </r>
    <r>
      <rPr>
        <sz val="7.5"/>
        <color rgb="FF000000"/>
        <rFont val="Arial"/>
        <family val="2"/>
      </rPr>
      <t>e</t>
    </r>
    <r>
      <rPr>
        <sz val="7.5"/>
        <color rgb="FF000000"/>
        <rFont val="Arial"/>
        <family val="2"/>
      </rPr>
      <t>c</t>
    </r>
    <r>
      <rPr>
        <sz val="7.5"/>
        <color rgb="FF000000"/>
        <rFont val="Arial"/>
        <family val="2"/>
      </rPr>
      <t>t</t>
    </r>
    <r>
      <rPr>
        <sz val="7.5"/>
        <color rgb="FF000000"/>
        <rFont val="Arial"/>
        <family val="2"/>
      </rPr>
      <t xml:space="preserve"> </t>
    </r>
    <r>
      <rPr>
        <sz val="7.5"/>
        <color rgb="FF000000"/>
        <rFont val="Arial"/>
        <family val="2"/>
      </rPr>
      <t>i</t>
    </r>
    <r>
      <rPr>
        <sz val="7.5"/>
        <color rgb="FF000000"/>
        <rFont val="Arial"/>
        <family val="2"/>
      </rPr>
      <t>n</t>
    </r>
    <r>
      <rPr>
        <sz val="7.5"/>
        <color rgb="FF000000"/>
        <rFont val="Arial"/>
        <family val="2"/>
      </rPr>
      <t xml:space="preserve"> </t>
    </r>
    <r>
      <rPr>
        <sz val="7.5"/>
        <color rgb="FF000000"/>
        <rFont val="Arial"/>
        <family val="2"/>
      </rPr>
      <t>J</t>
    </r>
    <r>
      <rPr>
        <sz val="7.5"/>
        <color rgb="FF000000"/>
        <rFont val="Arial"/>
        <family val="2"/>
      </rPr>
      <t>V</t>
    </r>
    <r>
      <rPr>
        <sz val="7.5"/>
        <color rgb="FF000000"/>
        <rFont val="Arial"/>
        <family val="2"/>
      </rPr>
      <t xml:space="preserve"> </t>
    </r>
    <r>
      <rPr>
        <sz val="7.5"/>
        <color rgb="FF000000"/>
        <rFont val="Arial"/>
        <family val="2"/>
      </rPr>
      <t>m</t>
    </r>
    <r>
      <rPr>
        <sz val="7.5"/>
        <color rgb="FF000000"/>
        <rFont val="Arial"/>
        <family val="2"/>
      </rPr>
      <t>ode</t>
    </r>
    <r>
      <rPr>
        <sz val="7.5"/>
        <color rgb="FF000000"/>
        <rFont val="Arial"/>
        <family val="2"/>
      </rPr>
      <t xml:space="preserve"> </t>
    </r>
    <r>
      <rPr>
        <sz val="7.5"/>
        <color rgb="FF000000"/>
        <rFont val="Arial"/>
        <family val="2"/>
      </rPr>
      <t>on</t>
    </r>
    <r>
      <rPr>
        <sz val="7.5"/>
        <color rgb="FF000000"/>
        <rFont val="Arial"/>
        <family val="2"/>
      </rPr>
      <t xml:space="preserve"> </t>
    </r>
    <r>
      <rPr>
        <sz val="7.5"/>
        <color rgb="FF000000"/>
        <rFont val="Arial"/>
        <family val="2"/>
      </rPr>
      <t>03</t>
    </r>
    <r>
      <rPr>
        <sz val="7.5"/>
        <color rgb="FF000000"/>
        <rFont val="Arial"/>
        <family val="2"/>
      </rPr>
      <t>.</t>
    </r>
    <r>
      <rPr>
        <sz val="7.5"/>
        <color rgb="FF000000"/>
        <rFont val="Arial"/>
        <family val="2"/>
      </rPr>
      <t>0</t>
    </r>
    <r>
      <rPr>
        <sz val="7.5"/>
        <color rgb="FF000000"/>
        <rFont val="Arial"/>
        <family val="2"/>
      </rPr>
      <t>2.2</t>
    </r>
    <r>
      <rPr>
        <sz val="7.5"/>
        <color rgb="FF000000"/>
        <rFont val="Arial"/>
        <family val="2"/>
      </rPr>
      <t>0</t>
    </r>
    <r>
      <rPr>
        <sz val="7.5"/>
        <color rgb="FF000000"/>
        <rFont val="Arial"/>
        <family val="2"/>
      </rPr>
      <t>1</t>
    </r>
    <r>
      <rPr>
        <sz val="7.5"/>
        <color rgb="FF000000"/>
        <rFont val="Arial"/>
        <family val="2"/>
      </rPr>
      <t xml:space="preserve">9.
</t>
    </r>
    <r>
      <rPr>
        <sz val="7.5"/>
        <color rgb="FF000000"/>
        <rFont val="Arial"/>
        <family val="2"/>
      </rPr>
      <t>##</t>
    </r>
    <r>
      <rPr>
        <sz val="7.5"/>
        <color rgb="FF000000"/>
        <rFont val="Arial"/>
        <family val="2"/>
      </rPr>
      <t xml:space="preserve"> </t>
    </r>
    <r>
      <rPr>
        <sz val="7.5"/>
        <color rgb="FF000000"/>
        <rFont val="Arial"/>
        <family val="2"/>
      </rPr>
      <t>PFC</t>
    </r>
    <r>
      <rPr>
        <sz val="7.5"/>
        <color rgb="FF000000"/>
        <rFont val="Arial"/>
        <family val="2"/>
      </rPr>
      <t xml:space="preserve"> </t>
    </r>
    <r>
      <rPr>
        <sz val="7.5"/>
        <color rgb="FF000000"/>
        <rFont val="Arial"/>
        <family val="2"/>
      </rPr>
      <t>as</t>
    </r>
    <r>
      <rPr>
        <sz val="7.5"/>
        <color rgb="FF000000"/>
        <rFont val="Arial"/>
        <family val="2"/>
      </rPr>
      <t xml:space="preserve"> </t>
    </r>
    <r>
      <rPr>
        <sz val="7.5"/>
        <color rgb="FF000000"/>
        <rFont val="Arial"/>
        <family val="2"/>
      </rPr>
      <t>l</t>
    </r>
    <r>
      <rPr>
        <sz val="7.5"/>
        <color rgb="FF000000"/>
        <rFont val="Arial"/>
        <family val="2"/>
      </rPr>
      <t>ead</t>
    </r>
    <r>
      <rPr>
        <sz val="7.5"/>
        <color rgb="FF000000"/>
        <rFont val="Arial"/>
        <family val="2"/>
      </rPr>
      <t xml:space="preserve"> </t>
    </r>
    <r>
      <rPr>
        <sz val="7.5"/>
        <color rgb="FF000000"/>
        <rFont val="Arial"/>
        <family val="2"/>
      </rPr>
      <t>l</t>
    </r>
    <r>
      <rPr>
        <sz val="7.5"/>
        <color rgb="FF000000"/>
        <rFont val="Arial"/>
        <family val="2"/>
      </rPr>
      <t>ender</t>
    </r>
    <r>
      <rPr>
        <sz val="7.5"/>
        <color rgb="FF000000"/>
        <rFont val="Arial"/>
        <family val="2"/>
      </rPr>
      <t xml:space="preserve"> </t>
    </r>
    <r>
      <rPr>
        <sz val="7.5"/>
        <color rgb="FF000000"/>
        <rFont val="Arial"/>
        <family val="2"/>
      </rPr>
      <t>ha</t>
    </r>
    <r>
      <rPr>
        <sz val="7.5"/>
        <color rgb="FF000000"/>
        <rFont val="Arial"/>
        <family val="2"/>
      </rPr>
      <t>v</t>
    </r>
    <r>
      <rPr>
        <sz val="7.5"/>
        <color rgb="FF000000"/>
        <rFont val="Arial"/>
        <family val="2"/>
      </rPr>
      <t>e</t>
    </r>
    <r>
      <rPr>
        <sz val="7.5"/>
        <color rgb="FF000000"/>
        <rFont val="Arial"/>
        <family val="2"/>
      </rPr>
      <t xml:space="preserve"> </t>
    </r>
    <r>
      <rPr>
        <sz val="7.5"/>
        <color rgb="FF000000"/>
        <rFont val="Arial"/>
        <family val="2"/>
      </rPr>
      <t>a</t>
    </r>
    <r>
      <rPr>
        <sz val="7.5"/>
        <color rgb="FF000000"/>
        <rFont val="Arial"/>
        <family val="2"/>
      </rPr>
      <t>c</t>
    </r>
    <r>
      <rPr>
        <sz val="7.5"/>
        <color rgb="FF000000"/>
        <rFont val="Arial"/>
        <family val="2"/>
      </rPr>
      <t>qu</t>
    </r>
    <r>
      <rPr>
        <sz val="7.5"/>
        <color rgb="FF000000"/>
        <rFont val="Arial"/>
        <family val="2"/>
      </rPr>
      <t>i</t>
    </r>
    <r>
      <rPr>
        <sz val="7.5"/>
        <color rgb="FF000000"/>
        <rFont val="Arial"/>
        <family val="2"/>
      </rPr>
      <t>r</t>
    </r>
    <r>
      <rPr>
        <sz val="7.5"/>
        <color rgb="FF000000"/>
        <rFont val="Arial"/>
        <family val="2"/>
      </rPr>
      <t>e</t>
    </r>
    <r>
      <rPr>
        <sz val="7.5"/>
        <color rgb="FF000000"/>
        <rFont val="Arial"/>
        <family val="2"/>
      </rPr>
      <t>d</t>
    </r>
    <r>
      <rPr>
        <sz val="7.5"/>
        <color rgb="FF000000"/>
        <rFont val="Arial"/>
        <family val="2"/>
      </rPr>
      <t xml:space="preserve"> </t>
    </r>
    <r>
      <rPr>
        <sz val="7.5"/>
        <color rgb="FF000000"/>
        <rFont val="Arial"/>
        <family val="2"/>
      </rPr>
      <t>m</t>
    </r>
    <r>
      <rPr>
        <sz val="7.5"/>
        <color rgb="FF000000"/>
        <rFont val="Arial"/>
        <family val="2"/>
      </rPr>
      <t>a</t>
    </r>
    <r>
      <rPr>
        <sz val="7.5"/>
        <color rgb="FF000000"/>
        <rFont val="Arial"/>
        <family val="2"/>
      </rPr>
      <t>j</t>
    </r>
    <r>
      <rPr>
        <sz val="7.5"/>
        <color rgb="FF000000"/>
        <rFont val="Arial"/>
        <family val="2"/>
      </rPr>
      <t>or</t>
    </r>
    <r>
      <rPr>
        <sz val="7.5"/>
        <color rgb="FF000000"/>
        <rFont val="Arial"/>
        <family val="2"/>
      </rPr>
      <t>i</t>
    </r>
    <r>
      <rPr>
        <sz val="7.5"/>
        <color rgb="FF000000"/>
        <rFont val="Arial"/>
        <family val="2"/>
      </rPr>
      <t>ty</t>
    </r>
    <r>
      <rPr>
        <sz val="7.5"/>
        <color rgb="FF000000"/>
        <rFont val="Arial"/>
        <family val="2"/>
      </rPr>
      <t xml:space="preserve"> </t>
    </r>
    <r>
      <rPr>
        <sz val="7.5"/>
        <color rgb="FF000000"/>
        <rFont val="Arial"/>
        <family val="2"/>
      </rPr>
      <t>eq</t>
    </r>
    <r>
      <rPr>
        <sz val="7.5"/>
        <color rgb="FF000000"/>
        <rFont val="Arial"/>
        <family val="2"/>
      </rPr>
      <t>u</t>
    </r>
    <r>
      <rPr>
        <sz val="7.5"/>
        <color rgb="FF000000"/>
        <rFont val="Arial"/>
        <family val="2"/>
      </rPr>
      <t>i</t>
    </r>
    <r>
      <rPr>
        <sz val="7.5"/>
        <color rgb="FF000000"/>
        <rFont val="Arial"/>
        <family val="2"/>
      </rPr>
      <t>ty</t>
    </r>
    <r>
      <rPr>
        <sz val="7.5"/>
        <color rgb="FF000000"/>
        <rFont val="Arial"/>
        <family val="2"/>
      </rPr>
      <t xml:space="preserve"> </t>
    </r>
    <r>
      <rPr>
        <sz val="7.5"/>
        <color rgb="FF000000"/>
        <rFont val="Arial"/>
        <family val="2"/>
      </rPr>
      <t>i</t>
    </r>
    <r>
      <rPr>
        <sz val="7.5"/>
        <color rgb="FF000000"/>
        <rFont val="Arial"/>
        <family val="2"/>
      </rPr>
      <t>.e.</t>
    </r>
    <r>
      <rPr>
        <sz val="7.5"/>
        <color rgb="FF000000"/>
        <rFont val="Arial"/>
        <family val="2"/>
      </rPr>
      <t xml:space="preserve"> </t>
    </r>
    <r>
      <rPr>
        <sz val="7.5"/>
        <color rgb="FF000000"/>
        <rFont val="Arial"/>
        <family val="2"/>
      </rPr>
      <t>51%</t>
    </r>
    <r>
      <rPr>
        <sz val="7.5"/>
        <color rgb="FF000000"/>
        <rFont val="Arial"/>
        <family val="2"/>
      </rPr>
      <t xml:space="preserve"> </t>
    </r>
    <r>
      <rPr>
        <sz val="7.5"/>
        <color rgb="FF000000"/>
        <rFont val="Arial"/>
        <family val="2"/>
      </rPr>
      <t>i</t>
    </r>
    <r>
      <rPr>
        <sz val="7.5"/>
        <color rgb="FF000000"/>
        <rFont val="Arial"/>
        <family val="2"/>
      </rPr>
      <t>n</t>
    </r>
    <r>
      <rPr>
        <sz val="7.5"/>
        <color rgb="FF000000"/>
        <rFont val="Arial"/>
        <family val="2"/>
      </rPr>
      <t xml:space="preserve"> </t>
    </r>
    <r>
      <rPr>
        <sz val="7.5"/>
        <color rgb="FF000000"/>
        <rFont val="Arial"/>
        <family val="2"/>
      </rPr>
      <t>the</t>
    </r>
    <r>
      <rPr>
        <sz val="7.5"/>
        <color rgb="FF000000"/>
        <rFont val="Arial"/>
        <family val="2"/>
      </rPr>
      <t xml:space="preserve"> </t>
    </r>
    <r>
      <rPr>
        <sz val="7.5"/>
        <color rgb="FF000000"/>
        <rFont val="Arial"/>
        <family val="2"/>
      </rPr>
      <t>S</t>
    </r>
    <r>
      <rPr>
        <sz val="7.5"/>
        <color rgb="FF000000"/>
        <rFont val="Arial"/>
        <family val="2"/>
      </rPr>
      <t>MHP</t>
    </r>
    <r>
      <rPr>
        <sz val="7.5"/>
        <color rgb="FF000000"/>
        <rFont val="Arial"/>
        <family val="2"/>
      </rPr>
      <t>C</t>
    </r>
    <r>
      <rPr>
        <sz val="7.5"/>
        <color rgb="FF000000"/>
        <rFont val="Arial"/>
        <family val="2"/>
      </rPr>
      <t>L</t>
    </r>
    <r>
      <rPr>
        <sz val="7.5"/>
        <color rgb="FF000000"/>
        <rFont val="Arial"/>
        <family val="2"/>
      </rPr>
      <t xml:space="preserve"> </t>
    </r>
    <r>
      <rPr>
        <sz val="7.5"/>
        <color rgb="FF000000"/>
        <rFont val="Arial"/>
        <family val="2"/>
      </rPr>
      <t>w.e.f.</t>
    </r>
    <r>
      <rPr>
        <sz val="7.5"/>
        <color rgb="FF000000"/>
        <rFont val="Arial"/>
        <family val="2"/>
      </rPr>
      <t xml:space="preserve"> </t>
    </r>
    <r>
      <rPr>
        <sz val="7.5"/>
        <color rgb="FF000000"/>
        <rFont val="Arial"/>
        <family val="2"/>
      </rPr>
      <t>1</t>
    </r>
    <r>
      <rPr>
        <sz val="7.5"/>
        <color rgb="FF000000"/>
        <rFont val="Arial"/>
        <family val="2"/>
      </rPr>
      <t>s</t>
    </r>
    <r>
      <rPr>
        <sz val="7.5"/>
        <color rgb="FF000000"/>
        <rFont val="Arial"/>
        <family val="2"/>
      </rPr>
      <t>t</t>
    </r>
    <r>
      <rPr>
        <sz val="7.5"/>
        <color rgb="FF000000"/>
        <rFont val="Arial"/>
        <family val="2"/>
      </rPr>
      <t xml:space="preserve"> </t>
    </r>
    <r>
      <rPr>
        <sz val="7.5"/>
        <color rgb="FF000000"/>
        <rFont val="Arial"/>
        <family val="2"/>
      </rPr>
      <t>J</t>
    </r>
    <r>
      <rPr>
        <sz val="7.5"/>
        <color rgb="FF000000"/>
        <rFont val="Arial"/>
        <family val="2"/>
      </rPr>
      <t>une,</t>
    </r>
    <r>
      <rPr>
        <sz val="7.5"/>
        <color rgb="FF000000"/>
        <rFont val="Arial"/>
        <family val="2"/>
      </rPr>
      <t xml:space="preserve"> </t>
    </r>
    <r>
      <rPr>
        <sz val="7.5"/>
        <color rgb="FF000000"/>
        <rFont val="Arial"/>
        <family val="2"/>
      </rPr>
      <t>2016.</t>
    </r>
    <r>
      <rPr>
        <sz val="7.5"/>
        <color rgb="FF000000"/>
        <rFont val="Arial"/>
        <family val="2"/>
      </rPr>
      <t xml:space="preserve"> </t>
    </r>
    <r>
      <rPr>
        <sz val="7.5"/>
        <color rgb="FF000000"/>
        <rFont val="Arial"/>
        <family val="2"/>
      </rPr>
      <t>M</t>
    </r>
    <r>
      <rPr>
        <sz val="7.5"/>
        <color rgb="FF000000"/>
        <rFont val="Arial"/>
        <family val="2"/>
      </rPr>
      <t>atter</t>
    </r>
    <r>
      <rPr>
        <sz val="7.5"/>
        <color rgb="FF000000"/>
        <rFont val="Arial"/>
        <family val="2"/>
      </rPr>
      <t xml:space="preserve"> </t>
    </r>
    <r>
      <rPr>
        <sz val="7.5"/>
        <color rgb="FF000000"/>
        <rFont val="Arial"/>
        <family val="2"/>
      </rPr>
      <t>S</t>
    </r>
    <r>
      <rPr>
        <sz val="7.5"/>
        <color rgb="FF000000"/>
        <rFont val="Arial"/>
        <family val="2"/>
      </rPr>
      <t>u</t>
    </r>
    <r>
      <rPr>
        <sz val="7.5"/>
        <color rgb="FF000000"/>
        <rFont val="Arial"/>
        <family val="2"/>
      </rPr>
      <t>b-</t>
    </r>
    <r>
      <rPr>
        <sz val="7.5"/>
        <color rgb="FF000000"/>
        <rFont val="Arial"/>
        <family val="2"/>
      </rPr>
      <t>j</t>
    </r>
    <r>
      <rPr>
        <sz val="7.5"/>
        <color rgb="FF000000"/>
        <rFont val="Arial"/>
        <family val="2"/>
      </rPr>
      <t>ud</t>
    </r>
    <r>
      <rPr>
        <sz val="7.5"/>
        <color rgb="FF000000"/>
        <rFont val="Arial"/>
        <family val="2"/>
      </rPr>
      <t>i</t>
    </r>
    <r>
      <rPr>
        <sz val="7.5"/>
        <color rgb="FF000000"/>
        <rFont val="Arial"/>
        <family val="2"/>
      </rPr>
      <t>c</t>
    </r>
    <r>
      <rPr>
        <sz val="7.5"/>
        <color rgb="FF000000"/>
        <rFont val="Arial"/>
        <family val="2"/>
      </rPr>
      <t xml:space="preserve">e.
</t>
    </r>
    <r>
      <rPr>
        <sz val="8"/>
        <color rgb="FF000000"/>
        <rFont val="Arial"/>
        <family val="2"/>
      </rPr>
      <t>*</t>
    </r>
    <r>
      <rPr>
        <sz val="8"/>
        <color rgb="FF000000"/>
        <rFont val="Arial"/>
        <family val="2"/>
      </rPr>
      <t>S</t>
    </r>
    <r>
      <rPr>
        <sz val="8"/>
        <color rgb="FF000000"/>
        <rFont val="Arial"/>
        <family val="2"/>
      </rPr>
      <t>t</t>
    </r>
    <r>
      <rPr>
        <sz val="8"/>
        <color rgb="FF000000"/>
        <rFont val="Arial"/>
        <family val="2"/>
      </rPr>
      <t>a</t>
    </r>
    <r>
      <rPr>
        <sz val="8"/>
        <color rgb="FF000000"/>
        <rFont val="Arial"/>
        <family val="2"/>
      </rPr>
      <t>l</t>
    </r>
    <r>
      <rPr>
        <sz val="8"/>
        <color rgb="FF000000"/>
        <rFont val="Arial"/>
        <family val="2"/>
      </rPr>
      <t>l</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P</t>
    </r>
    <r>
      <rPr>
        <sz val="8"/>
        <color rgb="FF000000"/>
        <rFont val="Arial"/>
        <family val="2"/>
      </rPr>
      <t>r</t>
    </r>
    <r>
      <rPr>
        <sz val="8"/>
        <color rgb="FF000000"/>
        <rFont val="Arial"/>
        <family val="2"/>
      </rPr>
      <t>o</t>
    </r>
    <r>
      <rPr>
        <sz val="8"/>
        <color rgb="FF000000"/>
        <rFont val="Arial"/>
        <family val="2"/>
      </rPr>
      <t>j</t>
    </r>
    <r>
      <rPr>
        <sz val="8"/>
        <color rgb="FF000000"/>
        <rFont val="Arial"/>
        <family val="2"/>
      </rPr>
      <t>e</t>
    </r>
    <r>
      <rPr>
        <sz val="8"/>
        <color rgb="FF000000"/>
        <rFont val="Arial"/>
        <family val="2"/>
      </rPr>
      <t>c</t>
    </r>
    <r>
      <rPr>
        <sz val="8"/>
        <color rgb="FF000000"/>
        <rFont val="Arial"/>
        <family val="2"/>
      </rPr>
      <t>t</t>
    </r>
    <r>
      <rPr>
        <sz val="8"/>
        <color rgb="FF000000"/>
        <rFont val="Arial"/>
        <family val="2"/>
      </rPr>
      <t>s</t>
    </r>
    <r>
      <rPr>
        <sz val="8"/>
        <color rgb="FF000000"/>
        <rFont val="Arial"/>
        <family val="2"/>
      </rPr>
      <t xml:space="preserve"> </t>
    </r>
    <r>
      <rPr>
        <sz val="8"/>
        <color rgb="FF000000"/>
        <rFont val="Arial"/>
        <family val="2"/>
      </rPr>
      <t>C</t>
    </r>
    <r>
      <rPr>
        <sz val="8"/>
        <color rgb="FF000000"/>
        <rFont val="Arial"/>
        <family val="2"/>
      </rPr>
      <t>o</t>
    </r>
    <r>
      <rPr>
        <sz val="8"/>
        <color rgb="FF000000"/>
        <rFont val="Arial"/>
        <family val="2"/>
      </rPr>
      <t>mm</t>
    </r>
    <r>
      <rPr>
        <sz val="8"/>
        <color rgb="FF000000"/>
        <rFont val="Arial"/>
        <family val="2"/>
      </rPr>
      <t>i</t>
    </r>
    <r>
      <rPr>
        <sz val="8"/>
        <color rgb="FF000000"/>
        <rFont val="Arial"/>
        <family val="2"/>
      </rPr>
      <t>ss</t>
    </r>
    <r>
      <rPr>
        <sz val="8"/>
        <color rgb="FF000000"/>
        <rFont val="Arial"/>
        <family val="2"/>
      </rPr>
      <t>i</t>
    </r>
    <r>
      <rPr>
        <sz val="8"/>
        <color rgb="FF000000"/>
        <rFont val="Arial"/>
        <family val="2"/>
      </rPr>
      <t>o</t>
    </r>
    <r>
      <rPr>
        <sz val="8"/>
        <color rgb="FF000000"/>
        <rFont val="Arial"/>
        <family val="2"/>
      </rPr>
      <t>n</t>
    </r>
    <r>
      <rPr>
        <sz val="8"/>
        <color rgb="FF000000"/>
        <rFont val="Arial"/>
        <family val="2"/>
      </rPr>
      <t>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s</t>
    </r>
    <r>
      <rPr>
        <sz val="8"/>
        <color rgb="FF000000"/>
        <rFont val="Arial"/>
        <family val="2"/>
      </rPr>
      <t>u</t>
    </r>
    <r>
      <rPr>
        <sz val="8"/>
        <color rgb="FF000000"/>
        <rFont val="Arial"/>
        <family val="2"/>
      </rPr>
      <t>b</t>
    </r>
    <r>
      <rPr>
        <sz val="8"/>
        <color rgb="FF000000"/>
        <rFont val="Arial"/>
        <family val="2"/>
      </rPr>
      <t>j</t>
    </r>
    <r>
      <rPr>
        <sz val="8"/>
        <color rgb="FF000000"/>
        <rFont val="Arial"/>
        <family val="2"/>
      </rPr>
      <t>e</t>
    </r>
    <r>
      <rPr>
        <sz val="8"/>
        <color rgb="FF000000"/>
        <rFont val="Arial"/>
        <family val="2"/>
      </rPr>
      <t>c</t>
    </r>
    <r>
      <rPr>
        <sz val="8"/>
        <color rgb="FF000000"/>
        <rFont val="Arial"/>
        <family val="2"/>
      </rPr>
      <t>t</t>
    </r>
    <r>
      <rPr>
        <sz val="8"/>
        <color rgb="FF000000"/>
        <rFont val="Arial"/>
        <family val="2"/>
      </rPr>
      <t xml:space="preserve"> </t>
    </r>
    <r>
      <rPr>
        <sz val="8"/>
        <color rgb="FF000000"/>
        <rFont val="Arial"/>
        <family val="2"/>
      </rPr>
      <t>t</t>
    </r>
    <r>
      <rPr>
        <sz val="8"/>
        <color rgb="FF000000"/>
        <rFont val="Arial"/>
        <family val="2"/>
      </rPr>
      <t>o</t>
    </r>
    <r>
      <rPr>
        <sz val="8"/>
        <color rgb="FF000000"/>
        <rFont val="Arial"/>
        <family val="2"/>
      </rPr>
      <t xml:space="preserve"> </t>
    </r>
    <r>
      <rPr>
        <sz val="8"/>
        <color rgb="FF000000"/>
        <rFont val="Arial"/>
        <family val="2"/>
      </rPr>
      <t>R</t>
    </r>
    <r>
      <rPr>
        <sz val="8"/>
        <color rgb="FF000000"/>
        <rFont val="Arial"/>
        <family val="2"/>
      </rPr>
      <t>e</t>
    </r>
    <r>
      <rPr>
        <sz val="8"/>
        <color rgb="FF000000"/>
        <rFont val="Arial"/>
        <family val="2"/>
      </rPr>
      <t>-</t>
    </r>
    <r>
      <rPr>
        <sz val="8"/>
        <color rgb="FF000000"/>
        <rFont val="Arial"/>
        <family val="2"/>
      </rPr>
      <t>S</t>
    </r>
    <r>
      <rPr>
        <sz val="8"/>
        <color rgb="FF000000"/>
        <rFont val="Arial"/>
        <family val="2"/>
      </rPr>
      <t>t</t>
    </r>
    <r>
      <rPr>
        <sz val="8"/>
        <color rgb="FF000000"/>
        <rFont val="Arial"/>
        <family val="2"/>
      </rPr>
      <t>a</t>
    </r>
    <r>
      <rPr>
        <sz val="8"/>
        <color rgb="FF000000"/>
        <rFont val="Arial"/>
        <family val="2"/>
      </rPr>
      <t>r</t>
    </r>
    <r>
      <rPr>
        <sz val="8"/>
        <color rgb="FF000000"/>
        <rFont val="Arial"/>
        <family val="2"/>
      </rPr>
      <t>t</t>
    </r>
    <r>
      <rPr>
        <sz val="8"/>
        <color rgb="FF000000"/>
        <rFont val="Arial"/>
        <family val="2"/>
      </rPr>
      <t xml:space="preserve"> </t>
    </r>
    <r>
      <rPr>
        <sz val="8"/>
        <color rgb="FF000000"/>
        <rFont val="Arial"/>
        <family val="2"/>
      </rPr>
      <t>o</t>
    </r>
    <r>
      <rPr>
        <sz val="8"/>
        <color rgb="FF000000"/>
        <rFont val="Arial"/>
        <family val="2"/>
      </rPr>
      <t>f</t>
    </r>
    <r>
      <rPr>
        <sz val="8"/>
        <color rgb="FF000000"/>
        <rFont val="Arial"/>
        <family val="2"/>
      </rPr>
      <t xml:space="preserve"> </t>
    </r>
    <r>
      <rPr>
        <sz val="8"/>
        <color rgb="FF000000"/>
        <rFont val="Arial"/>
        <family val="2"/>
      </rPr>
      <t>w</t>
    </r>
    <r>
      <rPr>
        <sz val="8"/>
        <color rgb="FF000000"/>
        <rFont val="Arial"/>
        <family val="2"/>
      </rPr>
      <t>o</t>
    </r>
    <r>
      <rPr>
        <sz val="8"/>
        <color rgb="FF000000"/>
        <rFont val="Arial"/>
        <family val="2"/>
      </rPr>
      <t>r</t>
    </r>
    <r>
      <rPr>
        <sz val="8"/>
        <color rgb="FF000000"/>
        <rFont val="Arial"/>
        <family val="2"/>
      </rPr>
      <t>k</t>
    </r>
    <r>
      <rPr>
        <sz val="8"/>
        <color rgb="FF000000"/>
        <rFont val="Arial"/>
        <family val="2"/>
      </rPr>
      <t>s</t>
    </r>
    <r>
      <rPr>
        <sz val="8"/>
        <color rgb="FF000000"/>
        <rFont val="Arial"/>
        <family val="2"/>
      </rPr>
      <t>.</t>
    </r>
  </si>
  <si>
    <t>Pipeline at the beginning of FY21</t>
  </si>
  <si>
    <t>CEA HPM QTLY Review no 104 (Jan-March 2021) https://cea.nic.in/wp-content/uploads/hpm/2021/05/QPR_No_104__Quarter_Ending_March_2021.pdf</t>
  </si>
  <si>
    <t>Maximum remaining capacity</t>
  </si>
  <si>
    <t>From 2022 onwards, Max capacity is increased by 10% every year over the previous year for all PP's.</t>
  </si>
  <si>
    <t>Other Petroproducts</t>
  </si>
  <si>
    <t>Legacy Capacity 2021</t>
  </si>
  <si>
    <t>Max capacity increase %</t>
  </si>
  <si>
    <t>NOTE: These values come from ECT_LegacyCapacity, and need to change along with it</t>
  </si>
  <si>
    <t>Approx target solar+wind capacity to have by FY31 (GW)</t>
  </si>
  <si>
    <t>Legacy solar capacity GW</t>
  </si>
  <si>
    <t>Legacy wind capacity GW</t>
  </si>
  <si>
    <t>Approx wind+solar to install in model period</t>
  </si>
  <si>
    <t>Min solar capacity to be installed (in min=max years)</t>
  </si>
  <si>
    <t>Min wind capacity to be installed (in min=max years)</t>
  </si>
  <si>
    <t>Additional wind+solar to be installed in years with max value</t>
  </si>
  <si>
    <t>Share of solar in capacity addition</t>
  </si>
  <si>
    <t>Additional GW to be installed in years with max value</t>
  </si>
  <si>
    <t>Rounded additional GW to be installed in yrs with max value</t>
  </si>
  <si>
    <t>Split across years</t>
  </si>
  <si>
    <t>Check</t>
  </si>
  <si>
    <t xml:space="preserve">For comparison: China had added ~50 GW of solar and ~24 GW of wind in a single year before 2020. So above figures for India from 2026 should be feasible. </t>
  </si>
  <si>
    <t>MW Potential</t>
  </si>
  <si>
    <t>Captive Legacy Capacity from ECT_LegacyCapacit.xlsx</t>
  </si>
  <si>
    <t>State shares</t>
  </si>
  <si>
    <t>Captive:Utility ratio</t>
  </si>
  <si>
    <t>Captive as % of utility</t>
  </si>
  <si>
    <r>
      <t>Given the gestation period for PHWR, only capacity in the pipeline is considered and nothing beyond it;</t>
    </r>
    <r>
      <rPr>
        <sz val="11"/>
        <rFont val="Calibri"/>
        <family val="2"/>
        <scheme val="minor"/>
      </rPr>
      <t xml:space="preserve"> FY20 addition 0 GW</t>
    </r>
  </si>
  <si>
    <t>Historical highest till FY15: ~2.5 GW; FY19 addition: ~110 MW, FY20 addition: ~400MW. Given the long gestation period, new capacity beyond pipeline considered only from 2027.</t>
  </si>
  <si>
    <t xml:space="preserve">Historical highest unknown, but unlikely to be more than 1GW since total capacity ~4.5 GW; FY19 addition: ~110 MW; FY20 Additon: ~90MW. Fresh capacity addition beyond pipeline considered from FY22. </t>
  </si>
  <si>
    <t>Biomass ECT_LegacyCapacity</t>
  </si>
  <si>
    <t>Kept same as min capacity given gestation periods for PHWR</t>
  </si>
  <si>
    <t>Historical highest till FY15: ~2 GW; ~40 MW gas based capacity added in FY19. Allowing  more OCGT addition for balancing, given its lower capex but higher VC. Given gestation period, new capacity beyond pipeline only begins to get added in 2023.</t>
  </si>
  <si>
    <t>Historical highest till FY15: 19.5 GW; ~3.6 GW added in FY19. Keeping a constant 20 GW max capacity addition. Given gestation period, fresh capacity addition beyond pipeline considered from 2025.</t>
  </si>
  <si>
    <t>Max capacity allowed</t>
  </si>
  <si>
    <t xml:space="preserve">Historical highest unknown, but unlikely to be more than 1GW since total capacity ~9 GW; FY19 addition: ~400 MW; FY20 additon: ~97MW. Fresh capacity addition beyond pipeline considered from FY22. </t>
  </si>
  <si>
    <t>See the calculations and explanations below this table. Target is to allow ~430 GW of solar+wind installed capacity by FY31 - roughly consistent with GoI target of 450 GW of RE by 2030. Given capacity in pipeline and gestation period, fresh capacity beyond pipeline considered from 2023 for solar and 2024 for wind. 
The above is for the Reference scenario. For this Sensitivity run to check the effect of reduced MaxCapacity for Solar and Wind, the values for Reference are multiplied by the corresponding Reduction Factor.</t>
  </si>
  <si>
    <r>
      <rPr>
        <b/>
        <sz val="11"/>
        <color theme="1"/>
        <rFont val="Calibri"/>
        <family val="2"/>
        <scheme val="minor"/>
      </rPr>
      <t>Reduction Factor</t>
    </r>
    <r>
      <rPr>
        <sz val="11"/>
        <color theme="1"/>
        <rFont val="Calibri"/>
        <family val="2"/>
        <scheme val="minor"/>
      </rPr>
      <t xml:space="preserve"> (for this Sensitivity run wherein we reduce MaxCapacity for Solar and Wind)</t>
    </r>
  </si>
  <si>
    <t>Source : MNRE</t>
  </si>
  <si>
    <t>Source : Indian Petroleum &amp; Natural Gas Statistics 2019-20 - Table III-7</t>
  </si>
  <si>
    <t>Legacy capacity is taken as 110% of actual consumption in 2019-20(P) as per IPNG stats 2019-20</t>
  </si>
  <si>
    <t>For first year 2021, Max capacity is taken as 10% of the Legacy capacity.</t>
  </si>
  <si>
    <t>Sources :</t>
  </si>
  <si>
    <t>Max Capacity assumed</t>
  </si>
  <si>
    <t>Notes :</t>
  </si>
  <si>
    <t xml:space="preserve">1. Items in green font are considered in Energy category and included under 'Other petro products' </t>
  </si>
  <si>
    <t>2. Items in red font are considered non-Energy and hence not included.</t>
  </si>
  <si>
    <t>Perspectives on Indian Energy based on Rumi (PIER)</t>
  </si>
  <si>
    <t>Prayas (Energy Group)</t>
  </si>
  <si>
    <t>Release date:</t>
  </si>
  <si>
    <t xml:space="preserve">Contact: </t>
  </si>
  <si>
    <t>energy.model@prayaspune.org</t>
  </si>
  <si>
    <t xml:space="preserve">Suggested Citations </t>
  </si>
  <si>
    <t>PIER Git repo:</t>
  </si>
  <si>
    <t xml:space="preserve">Link to PIER Git </t>
  </si>
  <si>
    <t>Prayas (Energy Group). (2021, October). PIER: Modelling the Indian energy system through the 2020s. Perspectives on Indian Energy based on Rumi (PIER). https://www.prayaspune.org/peg/publications/item/512</t>
  </si>
  <si>
    <t>PIER report:</t>
  </si>
  <si>
    <t xml:space="preserve">Link to PIER Report </t>
  </si>
  <si>
    <t>Rumi Git repo:</t>
  </si>
  <si>
    <t xml:space="preserve">Link to Rumi Git </t>
  </si>
  <si>
    <t>Prayas (Energy Group). (2021, October). Rumi: An open-source energy systems modelling platform developed by Prayas (Energy Group). https://github.com/prayas-energy/Rumi</t>
  </si>
  <si>
    <t>Parameter files</t>
  </si>
  <si>
    <t>ECT_CapAddBounds.xlsx</t>
  </si>
  <si>
    <t>ECT_CapAddBounds.csv</t>
  </si>
  <si>
    <t xml:space="preserve">Documentation </t>
  </si>
  <si>
    <t>In this workbook we specify the upper and lower bounds on capacity of an Energy conversion technology (ECT) that can be added in every year of the model period.</t>
  </si>
  <si>
    <t xml:space="preserve">The upper bound gives the maximum capacity that can be added, while the lower bound gives the minimum capacity that must be added – the latter can be used to capture aspects such as capacity under construction or mandated capacity addition. </t>
  </si>
  <si>
    <t>Based on the information available on under construction / capacity in pipeline, likely commissioning dates have been postponed (only for Electricity generation) owing to Covid disruption. (For details refer individual ECT sheets)</t>
  </si>
  <si>
    <t xml:space="preserve">For Refinery, five petroleum products used in the Energy sector are considered viz. Petrol (Motor spirit-MS), Diesel (HSD), LPG, Aviation turbine fuel (ATF) and other petro products. Others comprise share of each product that is used in energy sector (kerosene, LDO, Fuel oil, LSHS etc.).  </t>
  </si>
  <si>
    <t>Since each ECT takes one carrier as input and produces one output carrier, refinery for each of the five petroleum products is modelled as separate technology. The refinery capacity is modelled so as to meet the domestic demand – i.e. no imports or exports are considered.</t>
  </si>
  <si>
    <t xml:space="preserve">The legacy capacity is assumed as 110% of actual consumption in 2019-20 for each of the petroleum products. </t>
  </si>
  <si>
    <t>For first year 2021, Max capacity is taken as 10% of the legacy capacity. From 2022 onwards, Max capacity is increased by 10% every year over the previous year for all PP's.</t>
  </si>
  <si>
    <t>This workbook contains PowerQueries, please refresh them in the order they appear in 'Data-&gt;Show Queries'</t>
  </si>
  <si>
    <t>Sources</t>
  </si>
  <si>
    <t>HPM QTLY Review no 104 (Jan-March 2021), CEA, Ministry of Power, Government of India (https://cea.nic.in/wp-content/uploads/hpm/2021/05/QPR_No_104__Quarter_Ending_March_2021.pdf)</t>
  </si>
  <si>
    <t>Review of Performance of Hydro Power Stations 2018-19, CEA, Ministry of Power, Government of India (https://cea.nic.in/wp-content/uploads/2020/03/hydro_review-2018.pdf)</t>
  </si>
  <si>
    <t>Status of Projects under Construction, Nuclear Power Corporation of India, Department of Atomic Energy, Government of India (https://www.npcil.nic.in/content/297_1_ProjectConstructionStatus.aspx)</t>
  </si>
  <si>
    <t>National Electricity Plan (Volume I) - Generation, Jan 2018, CEA, Ministry of Power, Government of India (https://cea.nic.in/wp-content/uploads/2020/04/nep_jan_2018.pdf)</t>
  </si>
  <si>
    <t>Karnataka Power Corporation Ltd, 49th Annual report (2018-19) http://karnatakapower.com/wp-content/uploads/2019/12/kpcl_annual_report_2018_19.pdf?x86893</t>
  </si>
  <si>
    <t>Broad Status Report - Under Construction Thermal Power Projects, April 2020 &amp; February 2021, CEA, Ministry of Power, Government of India (https://cea.nic.in/wp-content/uploads/thermal_broad/2021/02/broad_status.pdf)</t>
  </si>
  <si>
    <t>Data For Electricity Generation Capacity Potential 2020, India Energy Dashboards, NITI Aayog (https://www.niti.gov.in/edm/#elecPotential)</t>
  </si>
  <si>
    <t>State-wise installed capacity of Grid Interactive Renewable Power as on 31.03.2020, Ministry of New and Renewable Energy, Government of India</t>
  </si>
  <si>
    <t>India Renewable Map September 2019, June 2020; INDIA Solar Map December 2020, BRIDGE TO INDIA (https://bridgetoindia.com/reports/)</t>
  </si>
  <si>
    <t>Report of under Construction Renewable Energy Projects-August 2020, CEA, Ministry of Power, Government of India (Obtained from https://img.saurenergy.com/2020/08/underconstruction.pdf)</t>
  </si>
  <si>
    <t>Tracking the Global Coal Plant Pipeline, Boom &amp; Bust, Mar 2020; Global Energy Monitor, Sierra Club, Greenpeace, CREA (https://endcoal.org/wp-content/uploads/2020/03/BoomAndBust_2020_English.pdf)</t>
  </si>
  <si>
    <t>Monthly Installed Capacity Reports, Mar 2021, CEA, Ministry of Power, Government of India (https://cea.nic.in/installed-capacity-report/?lang=en)</t>
  </si>
  <si>
    <t>India plans to nearly double oil refining capacity by 2030: Pradhan; 16 June 2020, Article in ET Energyworld.com, Economic Times (https://energy.economictimes.indiatimes.com/news/oil-and-gas/india-plans-to-nearly-double-oil-refining-capacity-by-2030-pradhan/76402815)</t>
  </si>
  <si>
    <t>Refining Capacity of Oil Refineries, Press release 03 July 2019, Ministry of Petroleum &amp; Natural Gas, (https://pib.gov.in/PressReleasePage.aspx?PRID=1576808)</t>
  </si>
  <si>
    <t>Indian Oil Corp to invest Rs 7 billion to expand refining capacity by 2030, 18 February 2018, Article in Business Standard (https://www.business-standard.com/article/companies/ioc-to-invest-rs-70-000-cr-to-expand-refining-capacity-118021800151_1.html)</t>
  </si>
  <si>
    <t>Indian Petroleum &amp; Natural Gas Statistics 2019-20, Ministry of Petroleum &amp; Natural Gas, Government of India (https://mopng.gov.in/files/TableManagements/IPNG-2019-20.pdf)</t>
  </si>
  <si>
    <t xml:space="preserve">Sources </t>
  </si>
  <si>
    <t xml:space="preserve">Various indicators from RBI </t>
  </si>
  <si>
    <t>GDP data published by MOSPI</t>
  </si>
  <si>
    <t>For this Sensitivity run, to study the effect of reduced MaxCapacity for Solar and Wind, the values for both Solar and wind are reduced by 50% with respect to the Reference scenario.</t>
  </si>
  <si>
    <t>Expansion without non-energy PP</t>
  </si>
  <si>
    <t>Source workbook</t>
  </si>
  <si>
    <t>Folder</t>
  </si>
  <si>
    <t>Sl no.</t>
  </si>
  <si>
    <t>Scenarios/Sens02_LowerSolarWindAddn/Supply/Parameters/Technologies</t>
  </si>
  <si>
    <t>Of the above, assuming that plants in the Permit, Pre-permit and Uncertain categories are not guaranteed to come in, and hence need not be part of the Min Capacity Addition for PIER.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</si>
</sst>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3" formatCode="_ * #,##0.00_ ;_ * \-#,##0.00_ ;_ * &quot;-&quot;??_ ;_ @_ "/>
    <numFmt numFmtId="164" formatCode="_(* #,##0.00_);_(* \(#,##0.00\);_(* &quot;-&quot;??_);_(@_)"/>
    <numFmt numFmtId="165" formatCode="_(* #,##0_);_(* \(#,##0\);_(* &quot;-&quot;??_);_(@_)"/>
    <numFmt numFmtId="166" formatCode="0.000"/>
    <numFmt numFmtId="167" formatCode="#,##0.00;[Red]#,##0.00"/>
    <numFmt numFmtId="168" formatCode="d\-mmm\-yyyy;@"/>
    <numFmt numFmtId="169" formatCode="0.0"/>
    <numFmt numFmtId="170" formatCode="0."/>
    <numFmt numFmtId="171" formatCode="0.0000"/>
    <numFmt numFmtId="172" formatCode="dd\.mm\.yyyy;@"/>
    <numFmt numFmtId="173" formatCode="0.0%"/>
    <numFmt numFmtId="174" formatCode="0.000%"/>
    <numFmt numFmtId="175" formatCode="_(* #,##0.0_);_(* \(#,##0.0\);_(* &quot;-&quot;??_);_(@_)"/>
    <numFmt numFmtId="176" formatCode="[$-409]mmmm\-yy;@"/>
    <numFmt numFmtId="177" formatCode="0.0000000"/>
    <numFmt numFmtId="178" formatCode="0.0000000000"/>
    <numFmt numFmtId="179" formatCode="###0;###0"/>
    <numFmt numFmtId="180" formatCode="###0.00;###0.00"/>
    <numFmt numFmtId="181" formatCode="###0.00_);\(###0.00\)"/>
    <numFmt numFmtId="182" formatCode="###0_);\(###0\)"/>
    <numFmt numFmtId="183" formatCode="###0.0;###0.0"/>
    <numFmt numFmtId="184" formatCode="mmmm\ yyyy"/>
  </numFmts>
  <fonts count="127">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0"/>
      <name val="Times New Roman"/>
      <family val="1"/>
    </font>
    <font>
      <sz val="10"/>
      <name val="Times New Roman"/>
      <family val="1"/>
    </font>
    <font>
      <b/>
      <sz val="12"/>
      <name val="Times New Roman"/>
      <family val="1"/>
    </font>
    <font>
      <sz val="10"/>
      <name val="Arial"/>
      <family val="2"/>
    </font>
    <font>
      <sz val="10"/>
      <color theme="3"/>
      <name val="Times New Roman"/>
      <family val="1"/>
    </font>
    <font>
      <b/>
      <sz val="11"/>
      <name val="Calibri"/>
      <family val="2"/>
      <scheme val="minor"/>
    </font>
    <font>
      <b/>
      <sz val="11"/>
      <color rgb="FF000000"/>
      <name val="Times New Roman"/>
      <family val="1"/>
    </font>
    <font>
      <sz val="11"/>
      <color theme="1"/>
      <name val="Rubik"/>
    </font>
    <font>
      <sz val="11"/>
      <color rgb="FF000000"/>
      <name val="Times New Roman"/>
      <family val="1"/>
    </font>
    <font>
      <sz val="10"/>
      <color theme="1"/>
      <name val="Times New Roman"/>
      <family val="1"/>
    </font>
    <font>
      <b/>
      <sz val="10"/>
      <name val="Arial"/>
      <family val="2"/>
    </font>
    <font>
      <sz val="10"/>
      <color theme="1"/>
      <name val="Arial"/>
      <family val="2"/>
    </font>
    <font>
      <b/>
      <sz val="10"/>
      <color theme="1"/>
      <name val="Arial"/>
      <family val="2"/>
    </font>
    <font>
      <sz val="10"/>
      <color rgb="FF000000"/>
      <name val="Times New Roman"/>
      <family val="1"/>
    </font>
    <font>
      <b/>
      <sz val="12.5"/>
      <name val="Calibri"/>
      <family val="1"/>
    </font>
    <font>
      <b/>
      <sz val="12.5"/>
      <name val="Nirmala UI"/>
      <family val="2"/>
    </font>
    <font>
      <b/>
      <vertAlign val="subscript"/>
      <sz val="12.5"/>
      <name val="Nirmala UI"/>
      <family val="2"/>
    </font>
    <font>
      <b/>
      <sz val="11"/>
      <name val="Calibri"/>
      <family val="1"/>
    </font>
    <font>
      <b/>
      <sz val="11"/>
      <name val="Nirmala UI"/>
      <family val="2"/>
    </font>
    <font>
      <b/>
      <sz val="9"/>
      <name val="Calibri"/>
      <family val="2"/>
    </font>
    <font>
      <b/>
      <sz val="9"/>
      <name val="Calibri"/>
      <family val="1"/>
    </font>
    <font>
      <b/>
      <sz val="9"/>
      <color rgb="FF000000"/>
      <name val="Calibri"/>
      <family val="2"/>
    </font>
    <font>
      <b/>
      <sz val="8"/>
      <name val="Verdana"/>
      <family val="2"/>
    </font>
    <font>
      <b/>
      <sz val="8"/>
      <color rgb="FF006600"/>
      <name val="Verdana"/>
      <family val="2"/>
    </font>
    <font>
      <b/>
      <sz val="8"/>
      <color theme="1"/>
      <name val="Verdana"/>
      <family val="2"/>
    </font>
    <font>
      <b/>
      <sz val="8"/>
      <name val="Times New Roman"/>
      <family val="1"/>
    </font>
    <font>
      <b/>
      <sz val="10"/>
      <name val="Verdana"/>
      <family val="2"/>
    </font>
    <font>
      <b/>
      <sz val="10"/>
      <color theme="1"/>
      <name val="Times New Roman"/>
      <family val="1"/>
    </font>
    <font>
      <b/>
      <sz val="10"/>
      <color rgb="FF006600"/>
      <name val="Verdana"/>
      <family val="2"/>
    </font>
    <font>
      <b/>
      <sz val="10"/>
      <color theme="1"/>
      <name val="Verdana"/>
      <family val="2"/>
    </font>
    <font>
      <sz val="10"/>
      <name val="Verdana"/>
      <family val="2"/>
    </font>
    <font>
      <b/>
      <sz val="10"/>
      <color rgb="FF000000"/>
      <name val="Times New Roman"/>
      <family val="1"/>
    </font>
    <font>
      <b/>
      <sz val="8"/>
      <color rgb="FF000000"/>
      <name val="Verdana"/>
      <family val="2"/>
    </font>
    <font>
      <sz val="8"/>
      <color rgb="FF000000"/>
      <name val="Verdana"/>
      <family val="2"/>
    </font>
    <font>
      <b/>
      <sz val="8"/>
      <color rgb="FF000000"/>
      <name val="Times New Roman"/>
      <family val="2"/>
    </font>
    <font>
      <b/>
      <sz val="8"/>
      <name val="Calibri"/>
      <family val="2"/>
    </font>
    <font>
      <b/>
      <sz val="8"/>
      <name val="Calibri"/>
      <family val="1"/>
    </font>
    <font>
      <b/>
      <sz val="10"/>
      <color theme="0"/>
      <name val="Arial"/>
      <family val="2"/>
    </font>
    <font>
      <b/>
      <sz val="12"/>
      <color rgb="FFFFFFFF"/>
      <name val="Arial"/>
      <family val="2"/>
    </font>
    <font>
      <sz val="12"/>
      <color rgb="FF333333"/>
      <name val="Arial"/>
      <family val="2"/>
    </font>
    <font>
      <u/>
      <sz val="11"/>
      <color theme="10"/>
      <name val="Calibri"/>
      <family val="2"/>
      <scheme val="minor"/>
    </font>
    <font>
      <sz val="11"/>
      <color rgb="FF000000"/>
      <name val="Calibri"/>
      <family val="2"/>
      <charset val="204"/>
    </font>
    <font>
      <b/>
      <sz val="11"/>
      <color rgb="FFFF0000"/>
      <name val="Calibri"/>
      <family val="2"/>
      <scheme val="minor"/>
    </font>
    <font>
      <sz val="11"/>
      <color rgb="FF000000"/>
      <name val="Calibri"/>
      <family val="2"/>
      <charset val="1"/>
    </font>
    <font>
      <b/>
      <sz val="12"/>
      <name val="Times New Roman"/>
      <family val="1"/>
      <charset val="1"/>
    </font>
    <font>
      <b/>
      <sz val="9"/>
      <name val="Times New Roman"/>
      <family val="1"/>
      <charset val="1"/>
    </font>
    <font>
      <b/>
      <sz val="9"/>
      <name val="Times New Roman"/>
      <family val="1"/>
    </font>
    <font>
      <sz val="9"/>
      <color rgb="FF000000"/>
      <name val="Times New Roman"/>
      <family val="2"/>
      <charset val="1"/>
    </font>
    <font>
      <i/>
      <sz val="9"/>
      <name val="Times New Roman"/>
      <family val="1"/>
      <charset val="1"/>
    </font>
    <font>
      <sz val="9"/>
      <name val="Times New Roman"/>
      <family val="1"/>
    </font>
    <font>
      <sz val="9"/>
      <name val="Times New Roman"/>
      <family val="1"/>
      <charset val="1"/>
    </font>
    <font>
      <sz val="11"/>
      <color rgb="FF000000"/>
      <name val="Times New Roman"/>
      <family val="2"/>
      <charset val="1"/>
    </font>
    <font>
      <b/>
      <sz val="9"/>
      <color rgb="FF000000"/>
      <name val="Times New Roman"/>
      <family val="2"/>
      <charset val="1"/>
    </font>
    <font>
      <sz val="12"/>
      <color rgb="FF000000"/>
      <name val="Times New Roman"/>
      <family val="2"/>
      <charset val="1"/>
    </font>
    <font>
      <strike/>
      <sz val="9"/>
      <name val="Times New Roman"/>
      <family val="1"/>
      <charset val="1"/>
    </font>
    <font>
      <sz val="11"/>
      <color rgb="FF000000"/>
      <name val="Calibri Light"/>
      <family val="2"/>
      <charset val="1"/>
    </font>
    <font>
      <i/>
      <sz val="9"/>
      <name val="Times New Roman"/>
      <family val="1"/>
    </font>
    <font>
      <sz val="11"/>
      <color rgb="FF000000"/>
      <name val="Calibri"/>
      <family val="2"/>
    </font>
    <font>
      <sz val="9"/>
      <color rgb="FF000000"/>
      <name val="Tahoma"/>
      <family val="2"/>
    </font>
    <font>
      <b/>
      <sz val="11"/>
      <color rgb="FF000000"/>
      <name val="Calibri"/>
      <family val="2"/>
      <charset val="1"/>
    </font>
    <font>
      <b/>
      <sz val="11"/>
      <color theme="0"/>
      <name val="Calibri"/>
      <family val="2"/>
      <scheme val="minor"/>
    </font>
    <font>
      <sz val="11"/>
      <color rgb="FFFF0000"/>
      <name val="Calibri"/>
      <family val="2"/>
      <scheme val="minor"/>
    </font>
    <font>
      <sz val="11"/>
      <name val="Calibri"/>
      <family val="2"/>
      <scheme val="minor"/>
    </font>
    <font>
      <b/>
      <sz val="11"/>
      <name val="Calibri"/>
      <family val="2"/>
      <charset val="1"/>
    </font>
    <font>
      <b/>
      <sz val="12"/>
      <color theme="1"/>
      <name val="Calibri"/>
      <family val="2"/>
      <scheme val="minor"/>
    </font>
    <font>
      <sz val="11"/>
      <color rgb="FF00B050"/>
      <name val="Calibri"/>
      <family val="2"/>
      <scheme val="minor"/>
    </font>
    <font>
      <b/>
      <sz val="12"/>
      <name val="Arial"/>
      <family val="2"/>
    </font>
    <font>
      <b/>
      <sz val="16"/>
      <color rgb="FF002060"/>
      <name val="Arial Black"/>
      <family val="2"/>
    </font>
    <font>
      <b/>
      <sz val="14"/>
      <color rgb="FF002060"/>
      <name val="Arial"/>
      <family val="2"/>
    </font>
    <font>
      <b/>
      <sz val="14"/>
      <color theme="8" tint="-0.499984740745262"/>
      <name val="Arial"/>
      <family val="2"/>
    </font>
    <font>
      <b/>
      <sz val="11"/>
      <color rgb="FF000000"/>
      <name val="Calibri"/>
      <family val="2"/>
    </font>
    <font>
      <b/>
      <sz val="12"/>
      <color theme="1"/>
      <name val="Arial"/>
      <family val="2"/>
    </font>
    <font>
      <sz val="12"/>
      <color theme="1"/>
      <name val="Arial"/>
      <family val="2"/>
    </font>
    <font>
      <b/>
      <sz val="11"/>
      <name val="Arial"/>
      <family val="2"/>
    </font>
    <font>
      <sz val="12"/>
      <name val="Arial"/>
      <family val="2"/>
    </font>
    <font>
      <sz val="12"/>
      <color rgb="FF000000"/>
      <name val="Arial"/>
      <family val="2"/>
    </font>
    <font>
      <sz val="11"/>
      <name val="Arial"/>
      <family val="2"/>
    </font>
    <font>
      <sz val="11"/>
      <color rgb="FF000000"/>
      <name val="Arial"/>
      <family val="2"/>
    </font>
    <font>
      <b/>
      <sz val="11"/>
      <color rgb="FF000000"/>
      <name val="Arial"/>
      <family val="2"/>
    </font>
    <font>
      <b/>
      <sz val="16"/>
      <color theme="8" tint="-0.499984740745262"/>
      <name val="Arial Black"/>
      <family val="2"/>
    </font>
    <font>
      <b/>
      <sz val="16"/>
      <name val="Arial Black"/>
      <family val="2"/>
    </font>
    <font>
      <b/>
      <sz val="14"/>
      <name val="Arial Black"/>
      <family val="2"/>
    </font>
    <font>
      <b/>
      <sz val="12"/>
      <color rgb="FF002060"/>
      <name val="Arial"/>
      <family val="2"/>
    </font>
    <font>
      <sz val="12"/>
      <color rgb="FF002060"/>
      <name val="Arial"/>
      <family val="2"/>
    </font>
    <font>
      <b/>
      <sz val="16"/>
      <color rgb="FF002060"/>
      <name val="Arial"/>
      <family val="2"/>
    </font>
    <font>
      <sz val="16"/>
      <color rgb="FF002060"/>
      <name val="Arial"/>
      <family val="2"/>
    </font>
    <font>
      <sz val="11"/>
      <name val="Calibri"/>
      <family val="2"/>
      <charset val="1"/>
    </font>
    <font>
      <sz val="11"/>
      <color rgb="FFFF0000"/>
      <name val="Calibri"/>
      <family val="2"/>
      <charset val="1"/>
    </font>
    <font>
      <sz val="12"/>
      <color rgb="FF000000"/>
      <name val="Calibri"/>
      <family val="2"/>
      <scheme val="minor"/>
    </font>
    <font>
      <i/>
      <sz val="11"/>
      <color rgb="FF000000"/>
      <name val="Calibri"/>
      <family val="2"/>
    </font>
    <font>
      <sz val="10"/>
      <name val="Times New Roman"/>
      <family val="1"/>
      <charset val="204"/>
    </font>
    <font>
      <b/>
      <sz val="12"/>
      <color indexed="8"/>
      <name val="Arial"/>
      <family val="1"/>
      <charset val="204"/>
    </font>
    <font>
      <b/>
      <sz val="11"/>
      <color indexed="8"/>
      <name val="Arial"/>
      <family val="1"/>
      <charset val="204"/>
    </font>
    <font>
      <b/>
      <sz val="9"/>
      <color indexed="8"/>
      <name val="Arial"/>
      <family val="1"/>
      <charset val="204"/>
    </font>
    <font>
      <b/>
      <sz val="9"/>
      <name val="Arial"/>
      <family val="2"/>
    </font>
    <font>
      <b/>
      <sz val="9"/>
      <color indexed="8"/>
      <name val="Times New Roman"/>
      <family val="2"/>
    </font>
    <font>
      <sz val="9"/>
      <color indexed="8"/>
      <name val="Times New Roman"/>
      <family val="2"/>
    </font>
    <font>
      <sz val="9"/>
      <name val="Arial"/>
      <family val="2"/>
    </font>
    <font>
      <sz val="9"/>
      <color indexed="8"/>
      <name val="Wingdings"/>
      <family val="2"/>
    </font>
    <font>
      <sz val="9"/>
      <color indexed="8"/>
      <name val="Arial"/>
      <family val="2"/>
    </font>
    <font>
      <sz val="12"/>
      <color indexed="8"/>
      <name val="Wingdings"/>
      <family val="2"/>
    </font>
    <font>
      <sz val="12"/>
      <color indexed="8"/>
      <name val="Times New Roman"/>
      <family val="2"/>
    </font>
    <font>
      <sz val="9"/>
      <color indexed="10"/>
      <name val="Times New Roman"/>
      <family val="2"/>
    </font>
    <font>
      <b/>
      <sz val="8.5"/>
      <color rgb="FF000000"/>
      <name val="Arial"/>
      <family val="2"/>
    </font>
    <font>
      <b/>
      <sz val="8"/>
      <color rgb="FF000000"/>
      <name val="Arial"/>
      <family val="2"/>
    </font>
    <font>
      <sz val="8.5"/>
      <color rgb="FF000000"/>
      <name val="Arial"/>
      <family val="2"/>
    </font>
    <font>
      <b/>
      <sz val="7.5"/>
      <color rgb="FF000000"/>
      <name val="Arial"/>
      <family val="2"/>
    </font>
    <font>
      <b/>
      <sz val="11"/>
      <color rgb="FF000000"/>
      <name val="Calibri"/>
      <family val="2"/>
      <charset val="204"/>
    </font>
    <font>
      <b/>
      <u/>
      <sz val="8"/>
      <color rgb="FF000000"/>
      <name val="Arial"/>
      <family val="2"/>
    </font>
    <font>
      <b/>
      <sz val="8"/>
      <color rgb="FF000000"/>
      <name val="Times New Roman"/>
      <family val="1"/>
    </font>
    <font>
      <u/>
      <sz val="8"/>
      <color rgb="FF000000"/>
      <name val="Arial"/>
      <family val="2"/>
    </font>
    <font>
      <sz val="7.5"/>
      <color rgb="FF000000"/>
      <name val="Arial"/>
      <family val="2"/>
    </font>
    <font>
      <sz val="8"/>
      <color rgb="FF000000"/>
      <name val="Arial"/>
      <family val="2"/>
    </font>
    <font>
      <sz val="14"/>
      <color theme="1"/>
      <name val="Calibri"/>
      <family val="2"/>
      <scheme val="minor"/>
    </font>
    <font>
      <sz val="10"/>
      <color rgb="FF000000"/>
      <name val="Arial"/>
      <family val="2"/>
    </font>
    <font>
      <b/>
      <sz val="15"/>
      <name val="Arial"/>
      <family val="2"/>
    </font>
    <font>
      <sz val="10"/>
      <color rgb="FFFF0000"/>
      <name val="Arial"/>
      <family val="2"/>
    </font>
    <font>
      <b/>
      <sz val="13"/>
      <color theme="1"/>
      <name val="Arial"/>
      <family val="2"/>
    </font>
    <font>
      <u/>
      <sz val="10"/>
      <color rgb="FF1155CC"/>
      <name val="Arial"/>
      <family val="2"/>
    </font>
    <font>
      <u/>
      <sz val="10"/>
      <color theme="10"/>
      <name val="Arial"/>
      <family val="2"/>
    </font>
    <font>
      <sz val="11"/>
      <color theme="1"/>
      <name val="Arial"/>
      <family val="2"/>
    </font>
    <font>
      <b/>
      <sz val="10"/>
      <color rgb="FF000000"/>
      <name val="Arial"/>
      <family val="2"/>
    </font>
  </fonts>
  <fills count="30">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theme="0"/>
        <bgColor indexed="64"/>
      </patternFill>
    </fill>
    <fill>
      <patternFill patternType="solid">
        <fgColor rgb="FFF2F2F2"/>
        <bgColor indexed="64"/>
      </patternFill>
    </fill>
    <fill>
      <patternFill patternType="solid">
        <fgColor rgb="FFC6D9F1"/>
        <bgColor indexed="64"/>
      </patternFill>
    </fill>
    <fill>
      <patternFill patternType="solid">
        <fgColor rgb="FF92D050"/>
        <bgColor indexed="64"/>
      </patternFill>
    </fill>
    <fill>
      <patternFill patternType="solid">
        <fgColor rgb="FF92D050"/>
        <bgColor theme="4" tint="0.59999389629810485"/>
      </patternFill>
    </fill>
    <fill>
      <patternFill patternType="solid">
        <fgColor rgb="FF92D050"/>
      </patternFill>
    </fill>
    <fill>
      <patternFill patternType="solid">
        <fgColor rgb="FFFFFF00"/>
      </patternFill>
    </fill>
    <fill>
      <patternFill patternType="solid">
        <fgColor rgb="FFCCCCCC"/>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0000"/>
      </patternFill>
    </fill>
    <fill>
      <patternFill patternType="solid">
        <fgColor theme="4"/>
        <bgColor theme="4"/>
      </patternFill>
    </fill>
    <fill>
      <patternFill patternType="solid">
        <fgColor rgb="FFFFFFFF"/>
        <bgColor indexed="64"/>
      </patternFill>
    </fill>
    <fill>
      <patternFill patternType="solid">
        <fgColor rgb="FF041469"/>
        <bgColor indexed="64"/>
      </patternFill>
    </fill>
    <fill>
      <patternFill patternType="solid">
        <fgColor rgb="FFFFFF00"/>
        <bgColor indexed="64"/>
      </patternFill>
    </fill>
    <fill>
      <patternFill patternType="solid">
        <fgColor rgb="FFFFD966"/>
        <bgColor rgb="FFFFFF99"/>
      </patternFill>
    </fill>
    <fill>
      <patternFill patternType="solid">
        <fgColor rgb="FFFF8000"/>
        <bgColor rgb="FFFF6600"/>
      </patternFill>
    </fill>
    <fill>
      <patternFill patternType="solid">
        <fgColor rgb="FFFFFF00"/>
        <bgColor theme="4" tint="0.59999389629810485"/>
      </patternFill>
    </fill>
    <fill>
      <patternFill patternType="solid">
        <fgColor theme="5" tint="0.59999389629810485"/>
        <bgColor indexed="64"/>
      </patternFill>
    </fill>
    <fill>
      <patternFill patternType="solid">
        <fgColor rgb="FF8EA9DB"/>
        <bgColor indexed="64"/>
      </patternFill>
    </fill>
    <fill>
      <patternFill patternType="solid">
        <fgColor rgb="FFE2EFDA"/>
        <bgColor indexed="64"/>
      </patternFill>
    </fill>
    <fill>
      <patternFill patternType="solid">
        <fgColor rgb="FFE2EFDA"/>
        <bgColor theme="4" tint="0.79998168889431442"/>
      </patternFill>
    </fill>
    <fill>
      <patternFill patternType="solid">
        <fgColor theme="6" tint="0.59999389629810485"/>
        <bgColor indexed="64"/>
      </patternFill>
    </fill>
    <fill>
      <patternFill patternType="solid">
        <fgColor theme="7" tint="0.39997558519241921"/>
        <bgColor indexed="64"/>
      </patternFill>
    </fill>
  </fills>
  <borders count="1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thin">
        <color theme="9" tint="0.39997558519241921"/>
      </top>
      <bottom style="thin">
        <color theme="9" tint="0.39997558519241921"/>
      </bottom>
      <diagonal/>
    </border>
    <border>
      <left style="medium">
        <color indexed="64"/>
      </left>
      <right/>
      <top/>
      <bottom style="medium">
        <color indexed="64"/>
      </bottom>
      <diagonal/>
    </border>
    <border>
      <left/>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theme="0"/>
      </left>
      <right/>
      <top style="thin">
        <color rgb="FF000000"/>
      </top>
      <bottom/>
      <diagonal/>
    </border>
    <border>
      <left style="thin">
        <color rgb="FF000000"/>
      </left>
      <right/>
      <top style="thin">
        <color theme="0"/>
      </top>
      <bottom/>
      <diagonal/>
    </border>
    <border>
      <left style="thin">
        <color theme="0"/>
      </left>
      <right/>
      <top style="thin">
        <color theme="0"/>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rgb="FF333333"/>
      </left>
      <right style="medium">
        <color rgb="FF333333"/>
      </right>
      <top style="medium">
        <color rgb="FF333333"/>
      </top>
      <bottom style="medium">
        <color rgb="FF333333"/>
      </bottom>
      <diagonal/>
    </border>
    <border>
      <left style="medium">
        <color rgb="FF333333"/>
      </left>
      <right style="medium">
        <color rgb="FF333333"/>
      </right>
      <top style="medium">
        <color rgb="FF333333"/>
      </top>
      <bottom/>
      <diagonal/>
    </border>
    <border>
      <left style="medium">
        <color rgb="FF333333"/>
      </left>
      <right style="medium">
        <color rgb="FF333333"/>
      </right>
      <top/>
      <bottom style="medium">
        <color rgb="FF333333"/>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thin">
        <color auto="1"/>
      </bottom>
      <diagonal/>
    </border>
    <border>
      <left style="thin">
        <color auto="1"/>
      </left>
      <right/>
      <top style="thin">
        <color auto="1"/>
      </top>
      <bottom/>
      <diagonal/>
    </border>
    <border>
      <left style="thin">
        <color auto="1"/>
      </left>
      <right style="medium">
        <color auto="1"/>
      </right>
      <top style="thin">
        <color auto="1"/>
      </top>
      <bottom/>
      <diagonal/>
    </border>
    <border>
      <left style="thin">
        <color theme="4" tint="0.39997558519241921"/>
      </left>
      <right/>
      <top/>
      <bottom style="thin">
        <color theme="4" tint="0.39997558519241921"/>
      </bottom>
      <diagonal/>
    </border>
    <border>
      <left style="thin">
        <color auto="1"/>
      </left>
      <right/>
      <top style="thin">
        <color auto="1"/>
      </top>
      <bottom style="thin">
        <color auto="1"/>
      </bottom>
      <diagonal/>
    </border>
    <border>
      <left/>
      <right/>
      <top/>
      <bottom style="thin">
        <color auto="1"/>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indexed="64"/>
      </right>
      <top style="thin">
        <color indexed="64"/>
      </top>
      <bottom/>
      <diagonal/>
    </border>
    <border>
      <left style="thin">
        <color indexed="64"/>
      </left>
      <right style="thin">
        <color theme="0"/>
      </right>
      <top/>
      <bottom/>
      <diagonal/>
    </border>
    <border>
      <left style="thin">
        <color theme="0"/>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theme="0"/>
      </left>
      <right style="thin">
        <color indexed="64"/>
      </right>
      <top/>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style="thin">
        <color indexed="64"/>
      </right>
      <top/>
      <bottom style="thin">
        <color theme="0"/>
      </bottom>
      <diagonal/>
    </border>
    <border>
      <left/>
      <right style="thin">
        <color theme="0"/>
      </right>
      <top/>
      <bottom style="thin">
        <color theme="0"/>
      </bottom>
      <diagonal/>
    </border>
    <border>
      <left style="thin">
        <color theme="0"/>
      </left>
      <right style="thin">
        <color indexed="64"/>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theme="0"/>
      </top>
      <bottom/>
      <diagonal/>
    </border>
    <border>
      <left style="thin">
        <color indexed="64"/>
      </left>
      <right style="thin">
        <color theme="0"/>
      </right>
      <top/>
      <bottom style="thin">
        <color indexed="64"/>
      </bottom>
      <diagonal/>
    </border>
    <border>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top style="thick">
        <color indexed="64"/>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indexed="64"/>
      </right>
      <top/>
      <bottom style="thin">
        <color theme="0"/>
      </bottom>
      <diagonal/>
    </border>
    <border>
      <left/>
      <right style="thin">
        <color indexed="64"/>
      </right>
      <top style="thin">
        <color indexed="64"/>
      </top>
      <bottom style="thin">
        <color theme="0"/>
      </bottom>
      <diagonal/>
    </border>
    <border>
      <left/>
      <right style="thin">
        <color theme="0"/>
      </right>
      <top/>
      <bottom style="thin">
        <color indexed="64"/>
      </bottom>
      <diagonal/>
    </border>
    <border>
      <left style="thin">
        <color theme="0"/>
      </left>
      <right style="thin">
        <color indexed="64"/>
      </right>
      <top/>
      <bottom style="thin">
        <color indexed="64"/>
      </bottom>
      <diagonal/>
    </border>
    <border>
      <left/>
      <right style="thin">
        <color indexed="64"/>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indexed="64"/>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indexed="64"/>
      </right>
      <top style="thin">
        <color theme="0"/>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s>
  <cellStyleXfs count="20">
    <xf numFmtId="0" fontId="0" fillId="0" borderId="0"/>
    <xf numFmtId="164" fontId="1" fillId="0" borderId="0" applyFont="0" applyFill="0" applyBorder="0" applyAlignment="0" applyProtection="0"/>
    <xf numFmtId="9" fontId="1" fillId="0" borderId="0" applyFont="0" applyFill="0" applyBorder="0" applyAlignment="0" applyProtection="0"/>
    <xf numFmtId="0" fontId="8" fillId="0" borderId="0"/>
    <xf numFmtId="0" fontId="18" fillId="0" borderId="0"/>
    <xf numFmtId="0" fontId="45" fillId="0" borderId="0" applyNumberFormat="0" applyFill="0" applyBorder="0" applyAlignment="0" applyProtection="0"/>
    <xf numFmtId="0" fontId="46" fillId="0" borderId="0"/>
    <xf numFmtId="0" fontId="8" fillId="0" borderId="0"/>
    <xf numFmtId="0" fontId="48" fillId="0" borderId="0"/>
    <xf numFmtId="0" fontId="48" fillId="0" borderId="0" applyBorder="0" applyProtection="0"/>
    <xf numFmtId="0" fontId="48" fillId="0" borderId="0" applyBorder="0" applyProtection="0"/>
    <xf numFmtId="0" fontId="48" fillId="0" borderId="0" applyBorder="0" applyProtection="0">
      <alignment horizontal="left"/>
    </xf>
    <xf numFmtId="0" fontId="64" fillId="0" borderId="0" applyBorder="0" applyProtection="0">
      <alignment horizontal="left"/>
    </xf>
    <xf numFmtId="0" fontId="48" fillId="0" borderId="0" applyBorder="0" applyProtection="0"/>
    <xf numFmtId="0" fontId="64" fillId="0" borderId="0" applyBorder="0" applyProtection="0"/>
    <xf numFmtId="164" fontId="48" fillId="0" borderId="0" applyFont="0" applyFill="0" applyBorder="0" applyAlignment="0" applyProtection="0"/>
    <xf numFmtId="0" fontId="95" fillId="0" borderId="0" applyNumberFormat="0" applyFill="0" applyBorder="0" applyProtection="0">
      <alignment vertical="top" wrapText="1"/>
    </xf>
    <xf numFmtId="0" fontId="119" fillId="0" borderId="0"/>
    <xf numFmtId="0" fontId="1" fillId="0" borderId="0"/>
    <xf numFmtId="0" fontId="8" fillId="0" borderId="0"/>
  </cellStyleXfs>
  <cellXfs count="1079">
    <xf numFmtId="0" fontId="0" fillId="0" borderId="0" xfId="0"/>
    <xf numFmtId="165" fontId="0" fillId="3" borderId="0" xfId="1" applyNumberFormat="1" applyFont="1" applyFill="1" applyBorder="1" applyAlignment="1">
      <alignment horizontal="center"/>
    </xf>
    <xf numFmtId="165" fontId="0" fillId="4" borderId="0" xfId="1" applyNumberFormat="1" applyFont="1" applyFill="1" applyBorder="1" applyAlignment="1">
      <alignment horizontal="center"/>
    </xf>
    <xf numFmtId="165" fontId="0" fillId="2" borderId="0" xfId="1" applyNumberFormat="1" applyFont="1" applyFill="1" applyBorder="1" applyAlignment="1">
      <alignment horizontal="center"/>
    </xf>
    <xf numFmtId="165" fontId="2" fillId="4" borderId="0" xfId="1" applyNumberFormat="1" applyFont="1" applyFill="1" applyBorder="1" applyAlignment="1">
      <alignment horizontal="center"/>
    </xf>
    <xf numFmtId="165" fontId="2" fillId="2" borderId="0" xfId="1" applyNumberFormat="1" applyFont="1" applyFill="1" applyBorder="1" applyAlignment="1">
      <alignment horizontal="center"/>
    </xf>
    <xf numFmtId="165" fontId="0" fillId="0" borderId="0" xfId="1" applyNumberFormat="1" applyFont="1" applyBorder="1" applyAlignment="1">
      <alignment horizontal="center"/>
    </xf>
    <xf numFmtId="165" fontId="2" fillId="0" borderId="0" xfId="1" applyNumberFormat="1" applyFont="1" applyFill="1" applyBorder="1" applyAlignment="1">
      <alignment horizontal="center"/>
    </xf>
    <xf numFmtId="9" fontId="0" fillId="5" borderId="0" xfId="2" applyFont="1" applyFill="1" applyBorder="1" applyAlignment="1">
      <alignment horizontal="center"/>
    </xf>
    <xf numFmtId="165" fontId="2" fillId="5" borderId="0" xfId="1" applyNumberFormat="1" applyFont="1" applyFill="1" applyBorder="1" applyAlignment="1">
      <alignment horizontal="center"/>
    </xf>
    <xf numFmtId="0" fontId="5" fillId="0" borderId="2" xfId="0" applyFont="1" applyBorder="1" applyAlignment="1">
      <alignment horizontal="center"/>
    </xf>
    <xf numFmtId="0" fontId="6" fillId="0" borderId="2" xfId="0" applyFont="1" applyBorder="1" applyAlignment="1">
      <alignment horizontal="center"/>
    </xf>
    <xf numFmtId="0" fontId="5" fillId="0" borderId="6" xfId="0" applyNumberFormat="1" applyFont="1" applyFill="1" applyBorder="1" applyAlignment="1">
      <alignment horizontal="center" vertical="center" wrapText="1"/>
    </xf>
    <xf numFmtId="0" fontId="5" fillId="6" borderId="3" xfId="0" applyFont="1" applyFill="1" applyBorder="1" applyAlignment="1">
      <alignment horizontal="right"/>
    </xf>
    <xf numFmtId="2" fontId="6" fillId="6" borderId="3" xfId="0" applyNumberFormat="1" applyFont="1" applyFill="1" applyBorder="1" applyAlignment="1">
      <alignment horizontal="right"/>
    </xf>
    <xf numFmtId="0" fontId="6" fillId="0" borderId="0" xfId="0" applyFont="1" applyFill="1" applyBorder="1"/>
    <xf numFmtId="0" fontId="6" fillId="0" borderId="2" xfId="0" applyFont="1" applyFill="1" applyBorder="1" applyAlignment="1">
      <alignment horizontal="center"/>
    </xf>
    <xf numFmtId="2" fontId="6" fillId="0" borderId="4" xfId="0" applyNumberFormat="1" applyFont="1" applyFill="1" applyBorder="1" applyAlignment="1">
      <alignment horizontal="right"/>
    </xf>
    <xf numFmtId="2" fontId="6" fillId="0" borderId="8" xfId="0" applyNumberFormat="1" applyFont="1" applyBorder="1"/>
    <xf numFmtId="2" fontId="6" fillId="0" borderId="0" xfId="0" applyNumberFormat="1" applyFont="1"/>
    <xf numFmtId="0" fontId="6" fillId="0" borderId="8" xfId="0" applyFont="1" applyBorder="1"/>
    <xf numFmtId="2" fontId="5" fillId="0" borderId="4" xfId="0" applyNumberFormat="1" applyFont="1" applyFill="1" applyBorder="1" applyAlignment="1">
      <alignment horizontal="right"/>
    </xf>
    <xf numFmtId="2" fontId="5" fillId="6" borderId="3" xfId="0" applyNumberFormat="1" applyFont="1" applyFill="1" applyBorder="1" applyAlignment="1">
      <alignment horizontal="right"/>
    </xf>
    <xf numFmtId="0" fontId="9" fillId="0" borderId="0" xfId="0" applyFont="1" applyFill="1" applyBorder="1"/>
    <xf numFmtId="165" fontId="1" fillId="0" borderId="0" xfId="1" applyNumberFormat="1" applyFont="1" applyFill="1" applyBorder="1" applyAlignment="1">
      <alignment horizontal="left" wrapText="1"/>
    </xf>
    <xf numFmtId="165" fontId="0" fillId="0" borderId="0" xfId="1" applyNumberFormat="1" applyFont="1" applyBorder="1" applyAlignment="1">
      <alignment horizontal="left"/>
    </xf>
    <xf numFmtId="165" fontId="1" fillId="0" borderId="0" xfId="1" applyNumberFormat="1" applyFont="1" applyFill="1" applyBorder="1" applyAlignment="1">
      <alignment horizontal="center" wrapText="1"/>
    </xf>
    <xf numFmtId="165" fontId="1" fillId="0" borderId="0" xfId="1" applyNumberFormat="1" applyFont="1" applyBorder="1" applyAlignment="1">
      <alignment wrapText="1"/>
    </xf>
    <xf numFmtId="0" fontId="0" fillId="0" borderId="0" xfId="0" applyBorder="1"/>
    <xf numFmtId="165" fontId="2" fillId="3" borderId="0" xfId="1" applyNumberFormat="1" applyFont="1" applyFill="1" applyBorder="1" applyAlignment="1">
      <alignment horizontal="center"/>
    </xf>
    <xf numFmtId="9" fontId="0" fillId="0" borderId="0" xfId="2" applyFont="1" applyBorder="1" applyAlignment="1">
      <alignment horizontal="center"/>
    </xf>
    <xf numFmtId="165" fontId="0" fillId="0" borderId="0" xfId="2" applyNumberFormat="1" applyFont="1" applyBorder="1" applyAlignment="1">
      <alignment horizontal="center"/>
    </xf>
    <xf numFmtId="165" fontId="0" fillId="0" borderId="0" xfId="1" applyNumberFormat="1" applyFont="1" applyBorder="1" applyAlignment="1">
      <alignment horizontal="left" wrapText="1"/>
    </xf>
    <xf numFmtId="165" fontId="0" fillId="0" borderId="0" xfId="1" applyNumberFormat="1" applyFont="1" applyBorder="1" applyAlignment="1">
      <alignment horizontal="center" wrapText="1"/>
    </xf>
    <xf numFmtId="1" fontId="1" fillId="0" borderId="0" xfId="1" applyNumberFormat="1" applyFont="1" applyFill="1" applyBorder="1" applyAlignment="1">
      <alignment horizontal="center"/>
    </xf>
    <xf numFmtId="9" fontId="1" fillId="0" borderId="0" xfId="2" applyFont="1" applyFill="1" applyBorder="1" applyAlignment="1">
      <alignment horizontal="center"/>
    </xf>
    <xf numFmtId="165" fontId="0" fillId="0" borderId="0" xfId="1" applyNumberFormat="1" applyFont="1" applyFill="1" applyBorder="1" applyAlignment="1">
      <alignment horizontal="center"/>
    </xf>
    <xf numFmtId="1" fontId="10" fillId="0" borderId="0" xfId="1" applyNumberFormat="1" applyFont="1" applyFill="1" applyBorder="1" applyAlignment="1">
      <alignment horizontal="center"/>
    </xf>
    <xf numFmtId="165" fontId="0" fillId="0" borderId="0" xfId="1" applyNumberFormat="1" applyFont="1" applyFill="1" applyBorder="1" applyAlignment="1">
      <alignment horizontal="center" wrapText="1"/>
    </xf>
    <xf numFmtId="0" fontId="2" fillId="0" borderId="0" xfId="0" applyFont="1"/>
    <xf numFmtId="0" fontId="0" fillId="0" borderId="0" xfId="0" applyAlignment="1">
      <alignment wrapText="1"/>
    </xf>
    <xf numFmtId="164" fontId="0" fillId="0" borderId="0" xfId="1" applyFont="1"/>
    <xf numFmtId="0" fontId="11" fillId="7" borderId="21" xfId="0" applyFont="1" applyFill="1" applyBorder="1" applyAlignment="1">
      <alignment horizontal="center" vertical="center" wrapText="1"/>
    </xf>
    <xf numFmtId="0" fontId="11" fillId="7" borderId="22" xfId="0" applyFont="1" applyFill="1" applyBorder="1" applyAlignment="1">
      <alignment horizontal="center" vertical="center" wrapText="1"/>
    </xf>
    <xf numFmtId="0" fontId="11" fillId="7" borderId="24"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13" fillId="8" borderId="25" xfId="0" applyFont="1" applyFill="1" applyBorder="1" applyAlignment="1">
      <alignment horizontal="justify" vertical="center" wrapText="1"/>
    </xf>
    <xf numFmtId="0" fontId="13" fillId="8" borderId="25" xfId="0" applyFont="1" applyFill="1" applyBorder="1" applyAlignment="1">
      <alignment horizontal="center" vertical="center" wrapText="1"/>
    </xf>
    <xf numFmtId="0" fontId="12" fillId="7" borderId="22" xfId="0" applyFont="1" applyFill="1" applyBorder="1" applyAlignment="1">
      <alignment horizontal="center" vertical="center" wrapText="1"/>
    </xf>
    <xf numFmtId="0" fontId="13" fillId="7" borderId="25" xfId="0" applyFont="1" applyFill="1" applyBorder="1" applyAlignment="1">
      <alignment horizontal="justify" vertical="center" wrapText="1"/>
    </xf>
    <xf numFmtId="0" fontId="13" fillId="7" borderId="25" xfId="0" applyFont="1" applyFill="1" applyBorder="1" applyAlignment="1">
      <alignment horizontal="center" vertical="center" wrapText="1"/>
    </xf>
    <xf numFmtId="14" fontId="13" fillId="8" borderId="25" xfId="0" applyNumberFormat="1" applyFont="1" applyFill="1" applyBorder="1" applyAlignment="1">
      <alignment horizontal="center" vertical="center" wrapText="1"/>
    </xf>
    <xf numFmtId="14" fontId="13" fillId="7" borderId="25" xfId="0" applyNumberFormat="1" applyFont="1" applyFill="1" applyBorder="1" applyAlignment="1">
      <alignment horizontal="center" vertical="center" wrapText="1"/>
    </xf>
    <xf numFmtId="0" fontId="13" fillId="7" borderId="26" xfId="0" applyFont="1" applyFill="1" applyBorder="1" applyAlignment="1">
      <alignment horizontal="center" vertical="center" wrapText="1"/>
    </xf>
    <xf numFmtId="0" fontId="12" fillId="7" borderId="25" xfId="0" applyFont="1" applyFill="1" applyBorder="1" applyAlignment="1">
      <alignment horizontal="justify" vertical="center" wrapText="1"/>
    </xf>
    <xf numFmtId="0" fontId="0" fillId="9" borderId="0" xfId="0" applyFill="1"/>
    <xf numFmtId="0" fontId="11" fillId="0" borderId="0" xfId="0" applyFont="1" applyAlignment="1"/>
    <xf numFmtId="0" fontId="8" fillId="0" borderId="0" xfId="0" applyFont="1" applyBorder="1"/>
    <xf numFmtId="0" fontId="15" fillId="0" borderId="14" xfId="0" applyFont="1" applyBorder="1"/>
    <xf numFmtId="0" fontId="15" fillId="0" borderId="15" xfId="0" applyFont="1" applyBorder="1"/>
    <xf numFmtId="0" fontId="8" fillId="0" borderId="15" xfId="0" applyFont="1" applyBorder="1"/>
    <xf numFmtId="165" fontId="8" fillId="0" borderId="0" xfId="1" applyNumberFormat="1" applyFont="1" applyBorder="1"/>
    <xf numFmtId="0" fontId="15" fillId="0" borderId="17" xfId="0" applyFont="1" applyBorder="1" applyAlignment="1">
      <alignment wrapText="1"/>
    </xf>
    <xf numFmtId="0" fontId="15" fillId="0" borderId="0" xfId="0" applyFont="1" applyBorder="1" applyAlignment="1">
      <alignment wrapText="1"/>
    </xf>
    <xf numFmtId="0" fontId="15" fillId="0" borderId="3" xfId="0" applyFont="1" applyBorder="1" applyAlignment="1">
      <alignment wrapText="1"/>
    </xf>
    <xf numFmtId="165" fontId="15" fillId="0" borderId="0" xfId="1" applyNumberFormat="1" applyFont="1" applyBorder="1" applyAlignment="1">
      <alignment wrapText="1"/>
    </xf>
    <xf numFmtId="0" fontId="8" fillId="0" borderId="17" xfId="0" applyFont="1" applyBorder="1"/>
    <xf numFmtId="164" fontId="8" fillId="0" borderId="0" xfId="1" applyFont="1" applyBorder="1"/>
    <xf numFmtId="164" fontId="8" fillId="0" borderId="3" xfId="1" applyFont="1" applyBorder="1"/>
    <xf numFmtId="0" fontId="8" fillId="0" borderId="0" xfId="0" applyFont="1" applyFill="1" applyBorder="1"/>
    <xf numFmtId="0" fontId="8" fillId="0" borderId="17" xfId="0" applyFont="1" applyFill="1" applyBorder="1"/>
    <xf numFmtId="164" fontId="15" fillId="0" borderId="10" xfId="1" applyFont="1" applyFill="1" applyBorder="1"/>
    <xf numFmtId="164" fontId="15" fillId="0" borderId="12" xfId="1" applyFont="1" applyFill="1" applyBorder="1"/>
    <xf numFmtId="9" fontId="8" fillId="0" borderId="0" xfId="2" applyFont="1" applyBorder="1"/>
    <xf numFmtId="0" fontId="15" fillId="0" borderId="0" xfId="0" applyFont="1" applyBorder="1"/>
    <xf numFmtId="0" fontId="16" fillId="0" borderId="16" xfId="0" applyFont="1" applyBorder="1"/>
    <xf numFmtId="0" fontId="16" fillId="0" borderId="0" xfId="0" applyFont="1"/>
    <xf numFmtId="0" fontId="16" fillId="0" borderId="3" xfId="0" applyFont="1" applyBorder="1"/>
    <xf numFmtId="0" fontId="17" fillId="0" borderId="18" xfId="0" applyNumberFormat="1" applyFont="1" applyBorder="1"/>
    <xf numFmtId="0" fontId="17" fillId="0" borderId="13" xfId="0" applyNumberFormat="1" applyFont="1" applyBorder="1"/>
    <xf numFmtId="0" fontId="17" fillId="0" borderId="3" xfId="0" applyNumberFormat="1" applyFont="1" applyBorder="1"/>
    <xf numFmtId="0" fontId="17" fillId="0" borderId="0" xfId="0" applyNumberFormat="1" applyFont="1" applyBorder="1"/>
    <xf numFmtId="165" fontId="17" fillId="0" borderId="0" xfId="1" applyNumberFormat="1" applyFont="1" applyBorder="1"/>
    <xf numFmtId="0" fontId="17" fillId="0" borderId="0" xfId="0" applyFont="1"/>
    <xf numFmtId="165" fontId="16" fillId="0" borderId="0" xfId="1" applyNumberFormat="1" applyFont="1"/>
    <xf numFmtId="164" fontId="16" fillId="0" borderId="0" xfId="1" applyFont="1"/>
    <xf numFmtId="0" fontId="16" fillId="0" borderId="0" xfId="0" applyFont="1" applyBorder="1"/>
    <xf numFmtId="0" fontId="15" fillId="0" borderId="0" xfId="0" applyFont="1" applyFill="1" applyBorder="1"/>
    <xf numFmtId="164" fontId="15" fillId="0" borderId="19" xfId="1" applyFont="1" applyFill="1" applyBorder="1"/>
    <xf numFmtId="164" fontId="15" fillId="0" borderId="20" xfId="1" applyFont="1" applyFill="1" applyBorder="1"/>
    <xf numFmtId="165" fontId="17" fillId="0" borderId="0" xfId="1" applyNumberFormat="1" applyFont="1"/>
    <xf numFmtId="0" fontId="18" fillId="0" borderId="0" xfId="4" applyFill="1" applyBorder="1" applyAlignment="1">
      <alignment horizontal="left" vertical="top"/>
    </xf>
    <xf numFmtId="0" fontId="24" fillId="0" borderId="35" xfId="4" applyFont="1" applyFill="1" applyBorder="1" applyAlignment="1">
      <alignment horizontal="left" vertical="top" wrapText="1"/>
    </xf>
    <xf numFmtId="0" fontId="24" fillId="0" borderId="35" xfId="4" applyFont="1" applyFill="1" applyBorder="1" applyAlignment="1">
      <alignment horizontal="center" vertical="top" wrapText="1"/>
    </xf>
    <xf numFmtId="1" fontId="26" fillId="0" borderId="35" xfId="4" applyNumberFormat="1" applyFont="1" applyFill="1" applyBorder="1" applyAlignment="1">
      <alignment horizontal="left" vertical="top" shrinkToFit="1"/>
    </xf>
    <xf numFmtId="0" fontId="18" fillId="0" borderId="35" xfId="4" applyFill="1" applyBorder="1" applyAlignment="1">
      <alignment horizontal="left" vertical="top" wrapText="1"/>
    </xf>
    <xf numFmtId="2" fontId="26" fillId="0" borderId="35" xfId="4" applyNumberFormat="1" applyFont="1" applyFill="1" applyBorder="1" applyAlignment="1">
      <alignment horizontal="center" vertical="top" shrinkToFit="1"/>
    </xf>
    <xf numFmtId="0" fontId="18" fillId="0" borderId="35" xfId="4" applyFill="1" applyBorder="1" applyAlignment="1">
      <alignment horizontal="left" vertical="center" wrapText="1"/>
    </xf>
    <xf numFmtId="0" fontId="27" fillId="13" borderId="30" xfId="4" applyFont="1" applyFill="1" applyBorder="1" applyAlignment="1">
      <alignment horizontal="left" vertical="top" wrapText="1"/>
    </xf>
    <xf numFmtId="0" fontId="27" fillId="13" borderId="37" xfId="4" applyFont="1" applyFill="1" applyBorder="1" applyAlignment="1">
      <alignment horizontal="left" vertical="top" wrapText="1" indent="1"/>
    </xf>
    <xf numFmtId="0" fontId="27" fillId="13" borderId="37" xfId="4" applyFont="1" applyFill="1" applyBorder="1" applyAlignment="1">
      <alignment horizontal="center" vertical="top" wrapText="1"/>
    </xf>
    <xf numFmtId="0" fontId="27" fillId="13" borderId="37" xfId="4" applyFont="1" applyFill="1" applyBorder="1" applyAlignment="1">
      <alignment horizontal="right" vertical="top" wrapText="1" indent="3"/>
    </xf>
    <xf numFmtId="0" fontId="27" fillId="13" borderId="37" xfId="4" applyFont="1" applyFill="1" applyBorder="1" applyAlignment="1">
      <alignment horizontal="left" vertical="top" wrapText="1" indent="2"/>
    </xf>
    <xf numFmtId="0" fontId="27" fillId="13" borderId="38" xfId="4" applyFont="1" applyFill="1" applyBorder="1" applyAlignment="1">
      <alignment horizontal="left" vertical="top" wrapText="1" indent="4"/>
    </xf>
    <xf numFmtId="1" fontId="28" fillId="14" borderId="30" xfId="4" applyNumberFormat="1" applyFont="1" applyFill="1" applyBorder="1" applyAlignment="1">
      <alignment horizontal="left" vertical="center" shrinkToFit="1"/>
    </xf>
    <xf numFmtId="0" fontId="27" fillId="14" borderId="30" xfId="4" applyFont="1" applyFill="1" applyBorder="1" applyAlignment="1">
      <alignment horizontal="left" vertical="top" wrapText="1"/>
    </xf>
    <xf numFmtId="2" fontId="29" fillId="14" borderId="30" xfId="4" applyNumberFormat="1" applyFont="1" applyFill="1" applyBorder="1" applyAlignment="1">
      <alignment horizontal="center" vertical="center" shrinkToFit="1"/>
    </xf>
    <xf numFmtId="0" fontId="27" fillId="14" borderId="30" xfId="4" applyFont="1" applyFill="1" applyBorder="1" applyAlignment="1">
      <alignment horizontal="right" vertical="center" wrapText="1" indent="3"/>
    </xf>
    <xf numFmtId="0" fontId="14" fillId="14" borderId="30" xfId="4" applyFont="1" applyFill="1" applyBorder="1" applyAlignment="1">
      <alignment horizontal="left" vertical="top" wrapText="1"/>
    </xf>
    <xf numFmtId="0" fontId="27" fillId="14" borderId="30" xfId="4" applyFont="1" applyFill="1" applyBorder="1" applyAlignment="1">
      <alignment horizontal="left" vertical="center" wrapText="1" indent="2"/>
    </xf>
    <xf numFmtId="0" fontId="27" fillId="14" borderId="39" xfId="4" applyFont="1" applyFill="1" applyBorder="1" applyAlignment="1">
      <alignment horizontal="left" vertical="top" wrapText="1"/>
    </xf>
    <xf numFmtId="1" fontId="28" fillId="15" borderId="30" xfId="4" applyNumberFormat="1" applyFont="1" applyFill="1" applyBorder="1" applyAlignment="1">
      <alignment horizontal="left" vertical="center" shrinkToFit="1"/>
    </xf>
    <xf numFmtId="0" fontId="27" fillId="15" borderId="30" xfId="4" applyFont="1" applyFill="1" applyBorder="1" applyAlignment="1">
      <alignment horizontal="left" vertical="center" wrapText="1"/>
    </xf>
    <xf numFmtId="2" fontId="29" fillId="15" borderId="30" xfId="4" applyNumberFormat="1" applyFont="1" applyFill="1" applyBorder="1" applyAlignment="1">
      <alignment horizontal="center" vertical="center" shrinkToFit="1"/>
    </xf>
    <xf numFmtId="0" fontId="27" fillId="15" borderId="30" xfId="4" applyFont="1" applyFill="1" applyBorder="1" applyAlignment="1">
      <alignment horizontal="right" vertical="center" wrapText="1" indent="3"/>
    </xf>
    <xf numFmtId="0" fontId="14" fillId="15" borderId="30" xfId="4" applyFont="1" applyFill="1" applyBorder="1" applyAlignment="1">
      <alignment horizontal="left" vertical="top" wrapText="1"/>
    </xf>
    <xf numFmtId="0" fontId="27" fillId="15" borderId="30" xfId="4" applyFont="1" applyFill="1" applyBorder="1" applyAlignment="1">
      <alignment horizontal="left" vertical="center" wrapText="1" indent="2"/>
    </xf>
    <xf numFmtId="0" fontId="27" fillId="15" borderId="39" xfId="4" applyFont="1" applyFill="1" applyBorder="1" applyAlignment="1">
      <alignment horizontal="left" vertical="top" wrapText="1"/>
    </xf>
    <xf numFmtId="0" fontId="27" fillId="15" borderId="30" xfId="4" applyFont="1" applyFill="1" applyBorder="1" applyAlignment="1">
      <alignment horizontal="left" vertical="top" wrapText="1"/>
    </xf>
    <xf numFmtId="0" fontId="27" fillId="14" borderId="30" xfId="4" applyFont="1" applyFill="1" applyBorder="1" applyAlignment="1">
      <alignment horizontal="left" vertical="center" wrapText="1"/>
    </xf>
    <xf numFmtId="0" fontId="27" fillId="15" borderId="30" xfId="4" applyFont="1" applyFill="1" applyBorder="1" applyAlignment="1">
      <alignment horizontal="center" vertical="center" wrapText="1"/>
    </xf>
    <xf numFmtId="0" fontId="27" fillId="14" borderId="30" xfId="4" applyFont="1" applyFill="1" applyBorder="1" applyAlignment="1">
      <alignment horizontal="center" vertical="center" wrapText="1"/>
    </xf>
    <xf numFmtId="0" fontId="30" fillId="15" borderId="30" xfId="4" applyFont="1" applyFill="1" applyBorder="1" applyAlignment="1">
      <alignment horizontal="left" vertical="center" wrapText="1"/>
    </xf>
    <xf numFmtId="0" fontId="27" fillId="15" borderId="39" xfId="4" applyFont="1" applyFill="1" applyBorder="1" applyAlignment="1">
      <alignment horizontal="left" vertical="center" wrapText="1"/>
    </xf>
    <xf numFmtId="0" fontId="30" fillId="14" borderId="30" xfId="4" applyFont="1" applyFill="1" applyBorder="1" applyAlignment="1">
      <alignment horizontal="left" vertical="center" wrapText="1"/>
    </xf>
    <xf numFmtId="0" fontId="27" fillId="14" borderId="39" xfId="4" applyFont="1" applyFill="1" applyBorder="1" applyAlignment="1">
      <alignment horizontal="left" vertical="center" wrapText="1"/>
    </xf>
    <xf numFmtId="0" fontId="14" fillId="15" borderId="39" xfId="4" applyFont="1" applyFill="1" applyBorder="1" applyAlignment="1">
      <alignment horizontal="left" vertical="top" wrapText="1"/>
    </xf>
    <xf numFmtId="0" fontId="27" fillId="14" borderId="39" xfId="4" applyFont="1" applyFill="1" applyBorder="1" applyAlignment="1">
      <alignment horizontal="right" vertical="center" wrapText="1" indent="5"/>
    </xf>
    <xf numFmtId="1" fontId="28" fillId="14" borderId="32" xfId="4" applyNumberFormat="1" applyFont="1" applyFill="1" applyBorder="1" applyAlignment="1">
      <alignment horizontal="left" vertical="center" shrinkToFit="1"/>
    </xf>
    <xf numFmtId="0" fontId="27" fillId="14" borderId="32" xfId="4" applyFont="1" applyFill="1" applyBorder="1" applyAlignment="1">
      <alignment horizontal="left" vertical="center" wrapText="1"/>
    </xf>
    <xf numFmtId="2" fontId="29" fillId="14" borderId="32" xfId="4" applyNumberFormat="1" applyFont="1" applyFill="1" applyBorder="1" applyAlignment="1">
      <alignment horizontal="center" vertical="center" shrinkToFit="1"/>
    </xf>
    <xf numFmtId="0" fontId="27" fillId="14" borderId="32" xfId="4" applyFont="1" applyFill="1" applyBorder="1" applyAlignment="1">
      <alignment horizontal="right" vertical="center" wrapText="1" indent="3"/>
    </xf>
    <xf numFmtId="0" fontId="27" fillId="14" borderId="32" xfId="4" applyFont="1" applyFill="1" applyBorder="1" applyAlignment="1">
      <alignment horizontal="left" vertical="top" wrapText="1"/>
    </xf>
    <xf numFmtId="0" fontId="27" fillId="14" borderId="32" xfId="4" applyFont="1" applyFill="1" applyBorder="1" applyAlignment="1">
      <alignment horizontal="center" vertical="center" wrapText="1"/>
    </xf>
    <xf numFmtId="0" fontId="14" fillId="14" borderId="35" xfId="4" applyFont="1" applyFill="1" applyBorder="1" applyAlignment="1">
      <alignment horizontal="left" vertical="top" wrapText="1"/>
    </xf>
    <xf numFmtId="0" fontId="18" fillId="0" borderId="0" xfId="4" applyFont="1" applyFill="1" applyBorder="1" applyAlignment="1">
      <alignment horizontal="left" vertical="top"/>
    </xf>
    <xf numFmtId="0" fontId="31" fillId="13" borderId="30" xfId="4" applyFont="1" applyFill="1" applyBorder="1" applyAlignment="1">
      <alignment horizontal="left" vertical="top" wrapText="1"/>
    </xf>
    <xf numFmtId="0" fontId="31" fillId="13" borderId="30" xfId="4" applyFont="1" applyFill="1" applyBorder="1" applyAlignment="1">
      <alignment horizontal="center" vertical="top" wrapText="1"/>
    </xf>
    <xf numFmtId="0" fontId="31" fillId="11" borderId="30" xfId="4" applyFont="1" applyFill="1" applyBorder="1" applyAlignment="1">
      <alignment horizontal="center" vertical="top" wrapText="1"/>
    </xf>
    <xf numFmtId="0" fontId="31" fillId="13" borderId="30" xfId="4" applyFont="1" applyFill="1" applyBorder="1" applyAlignment="1">
      <alignment horizontal="left" vertical="top" wrapText="1" indent="1"/>
    </xf>
    <xf numFmtId="1" fontId="33" fillId="14" borderId="30" xfId="4" applyNumberFormat="1" applyFont="1" applyFill="1" applyBorder="1" applyAlignment="1">
      <alignment horizontal="left" vertical="top" shrinkToFit="1"/>
    </xf>
    <xf numFmtId="0" fontId="31" fillId="14" borderId="30" xfId="4" applyFont="1" applyFill="1" applyBorder="1" applyAlignment="1">
      <alignment horizontal="left" vertical="top" wrapText="1"/>
    </xf>
    <xf numFmtId="168" fontId="34" fillId="14" borderId="30" xfId="4" applyNumberFormat="1" applyFont="1" applyFill="1" applyBorder="1" applyAlignment="1">
      <alignment horizontal="center" vertical="top" shrinkToFit="1"/>
    </xf>
    <xf numFmtId="168" fontId="34" fillId="14" borderId="30" xfId="4" applyNumberFormat="1" applyFont="1" applyFill="1" applyBorder="1" applyAlignment="1">
      <alignment horizontal="left" vertical="top" indent="2" shrinkToFit="1"/>
    </xf>
    <xf numFmtId="1" fontId="34" fillId="10" borderId="30" xfId="4" applyNumberFormat="1" applyFont="1" applyFill="1" applyBorder="1" applyAlignment="1">
      <alignment horizontal="left" vertical="top" indent="2" shrinkToFit="1"/>
    </xf>
    <xf numFmtId="0" fontId="31" fillId="14" borderId="30" xfId="4" applyFont="1" applyFill="1" applyBorder="1" applyAlignment="1">
      <alignment horizontal="right" vertical="top" wrapText="1" indent="1"/>
    </xf>
    <xf numFmtId="0" fontId="31" fillId="14" borderId="30" xfId="4" applyFont="1" applyFill="1" applyBorder="1" applyAlignment="1">
      <alignment horizontal="left" vertical="top" wrapText="1" indent="1"/>
    </xf>
    <xf numFmtId="1" fontId="33" fillId="15" borderId="30" xfId="4" applyNumberFormat="1" applyFont="1" applyFill="1" applyBorder="1" applyAlignment="1">
      <alignment horizontal="left" vertical="top" shrinkToFit="1"/>
    </xf>
    <xf numFmtId="0" fontId="31" fillId="15" borderId="30" xfId="4" applyFont="1" applyFill="1" applyBorder="1" applyAlignment="1">
      <alignment horizontal="left" vertical="top" wrapText="1"/>
    </xf>
    <xf numFmtId="168" fontId="34" fillId="15" borderId="30" xfId="4" applyNumberFormat="1" applyFont="1" applyFill="1" applyBorder="1" applyAlignment="1">
      <alignment horizontal="center" vertical="top" shrinkToFit="1"/>
    </xf>
    <xf numFmtId="168" fontId="34" fillId="15" borderId="30" xfId="4" applyNumberFormat="1" applyFont="1" applyFill="1" applyBorder="1" applyAlignment="1">
      <alignment horizontal="left" vertical="top" indent="2" shrinkToFit="1"/>
    </xf>
    <xf numFmtId="0" fontId="31" fillId="15" borderId="30" xfId="4" applyFont="1" applyFill="1" applyBorder="1" applyAlignment="1">
      <alignment horizontal="right" vertical="top" wrapText="1" indent="1"/>
    </xf>
    <xf numFmtId="0" fontId="31" fillId="15" borderId="30" xfId="4" applyFont="1" applyFill="1" applyBorder="1" applyAlignment="1">
      <alignment horizontal="left" vertical="top" wrapText="1" indent="1"/>
    </xf>
    <xf numFmtId="0" fontId="31" fillId="14" borderId="30" xfId="4" applyFont="1" applyFill="1" applyBorder="1" applyAlignment="1">
      <alignment horizontal="center" vertical="top" wrapText="1"/>
    </xf>
    <xf numFmtId="0" fontId="31" fillId="14" borderId="30" xfId="4" applyFont="1" applyFill="1" applyBorder="1" applyAlignment="1">
      <alignment horizontal="left" vertical="top" wrapText="1" indent="2"/>
    </xf>
    <xf numFmtId="0" fontId="31" fillId="15" borderId="30" xfId="4" applyFont="1" applyFill="1" applyBorder="1" applyAlignment="1">
      <alignment horizontal="center" vertical="top" wrapText="1"/>
    </xf>
    <xf numFmtId="0" fontId="31" fillId="15" borderId="30" xfId="4" applyFont="1" applyFill="1" applyBorder="1" applyAlignment="1">
      <alignment horizontal="left" vertical="top" wrapText="1" indent="2"/>
    </xf>
    <xf numFmtId="0" fontId="35" fillId="14" borderId="30" xfId="4" applyFont="1" applyFill="1" applyBorder="1" applyAlignment="1">
      <alignment horizontal="center" vertical="center" wrapText="1"/>
    </xf>
    <xf numFmtId="0" fontId="35" fillId="14" borderId="40" xfId="4" applyFont="1" applyFill="1" applyBorder="1" applyAlignment="1">
      <alignment horizontal="center" vertical="center" wrapText="1"/>
    </xf>
    <xf numFmtId="0" fontId="35" fillId="15" borderId="41" xfId="4" applyFont="1" applyFill="1" applyBorder="1" applyAlignment="1">
      <alignment horizontal="center" vertical="center" wrapText="1"/>
    </xf>
    <xf numFmtId="0" fontId="35" fillId="15" borderId="42" xfId="4" applyFont="1" applyFill="1" applyBorder="1" applyAlignment="1">
      <alignment horizontal="center" vertical="center" wrapText="1"/>
    </xf>
    <xf numFmtId="0" fontId="14" fillId="14" borderId="40" xfId="4" applyFont="1" applyFill="1" applyBorder="1" applyAlignment="1">
      <alignment horizontal="left" vertical="top" wrapText="1"/>
    </xf>
    <xf numFmtId="0" fontId="5" fillId="15" borderId="30" xfId="4" applyFont="1" applyFill="1" applyBorder="1" applyAlignment="1">
      <alignment horizontal="center" vertical="center" wrapText="1"/>
    </xf>
    <xf numFmtId="0" fontId="5" fillId="15" borderId="40" xfId="4" applyFont="1" applyFill="1" applyBorder="1" applyAlignment="1">
      <alignment horizontal="center" vertical="center" wrapText="1"/>
    </xf>
    <xf numFmtId="0" fontId="5" fillId="14" borderId="41" xfId="4" applyFont="1" applyFill="1" applyBorder="1" applyAlignment="1">
      <alignment horizontal="center" vertical="center" wrapText="1"/>
    </xf>
    <xf numFmtId="0" fontId="5" fillId="14" borderId="42" xfId="4" applyFont="1" applyFill="1" applyBorder="1" applyAlignment="1">
      <alignment horizontal="center" vertical="center" wrapText="1"/>
    </xf>
    <xf numFmtId="0" fontId="5" fillId="14" borderId="30" xfId="4" applyFont="1" applyFill="1" applyBorder="1" applyAlignment="1">
      <alignment horizontal="center" vertical="center" wrapText="1"/>
    </xf>
    <xf numFmtId="0" fontId="5" fillId="14" borderId="40" xfId="4" applyFont="1" applyFill="1" applyBorder="1" applyAlignment="1">
      <alignment horizontal="center" vertical="center" wrapText="1"/>
    </xf>
    <xf numFmtId="0" fontId="5" fillId="15" borderId="41" xfId="4" applyFont="1" applyFill="1" applyBorder="1" applyAlignment="1">
      <alignment horizontal="center" vertical="center" wrapText="1"/>
    </xf>
    <xf numFmtId="0" fontId="5" fillId="15" borderId="42" xfId="4" applyFont="1" applyFill="1" applyBorder="1" applyAlignment="1">
      <alignment horizontal="center" vertical="center" wrapText="1"/>
    </xf>
    <xf numFmtId="168" fontId="34" fillId="15" borderId="30" xfId="4" applyNumberFormat="1" applyFont="1" applyFill="1" applyBorder="1" applyAlignment="1">
      <alignment horizontal="right" vertical="top" indent="3" shrinkToFit="1"/>
    </xf>
    <xf numFmtId="168" fontId="34" fillId="15" borderId="30" xfId="4" applyNumberFormat="1" applyFont="1" applyFill="1" applyBorder="1" applyAlignment="1">
      <alignment horizontal="right" vertical="top" indent="1" shrinkToFit="1"/>
    </xf>
    <xf numFmtId="168" fontId="34" fillId="14" borderId="30" xfId="4" applyNumberFormat="1" applyFont="1" applyFill="1" applyBorder="1" applyAlignment="1">
      <alignment horizontal="right" vertical="top" indent="3" shrinkToFit="1"/>
    </xf>
    <xf numFmtId="168" fontId="34" fillId="14" borderId="30" xfId="4" applyNumberFormat="1" applyFont="1" applyFill="1" applyBorder="1" applyAlignment="1">
      <alignment horizontal="right" vertical="top" indent="1" shrinkToFit="1"/>
    </xf>
    <xf numFmtId="1" fontId="33" fillId="15" borderId="41" xfId="4" applyNumberFormat="1" applyFont="1" applyFill="1" applyBorder="1" applyAlignment="1">
      <alignment horizontal="left" vertical="top" shrinkToFit="1"/>
    </xf>
    <xf numFmtId="0" fontId="31" fillId="15" borderId="41" xfId="4" applyFont="1" applyFill="1" applyBorder="1" applyAlignment="1">
      <alignment horizontal="left" vertical="top" wrapText="1"/>
    </xf>
    <xf numFmtId="168" fontId="34" fillId="15" borderId="41" xfId="4" applyNumberFormat="1" applyFont="1" applyFill="1" applyBorder="1" applyAlignment="1">
      <alignment horizontal="center" vertical="top" shrinkToFit="1"/>
    </xf>
    <xf numFmtId="168" fontId="34" fillId="15" borderId="41" xfId="4" applyNumberFormat="1" applyFont="1" applyFill="1" applyBorder="1" applyAlignment="1">
      <alignment horizontal="left" vertical="top" indent="2" shrinkToFit="1"/>
    </xf>
    <xf numFmtId="0" fontId="14" fillId="15" borderId="41" xfId="4" applyFont="1" applyFill="1" applyBorder="1" applyAlignment="1">
      <alignment horizontal="left" vertical="top" wrapText="1"/>
    </xf>
    <xf numFmtId="1" fontId="33" fillId="14" borderId="41" xfId="4" applyNumberFormat="1" applyFont="1" applyFill="1" applyBorder="1" applyAlignment="1">
      <alignment horizontal="left" vertical="top" shrinkToFit="1"/>
    </xf>
    <xf numFmtId="0" fontId="31" fillId="14" borderId="41" xfId="4" applyFont="1" applyFill="1" applyBorder="1" applyAlignment="1">
      <alignment horizontal="left" vertical="top" wrapText="1"/>
    </xf>
    <xf numFmtId="168" fontId="34" fillId="14" borderId="41" xfId="4" applyNumberFormat="1" applyFont="1" applyFill="1" applyBorder="1" applyAlignment="1">
      <alignment horizontal="center" vertical="top" shrinkToFit="1"/>
    </xf>
    <xf numFmtId="0" fontId="14" fillId="14" borderId="41" xfId="4" applyFont="1" applyFill="1" applyBorder="1" applyAlignment="1">
      <alignment horizontal="left" vertical="top" wrapText="1"/>
    </xf>
    <xf numFmtId="1" fontId="33" fillId="14" borderId="32" xfId="4" applyNumberFormat="1" applyFont="1" applyFill="1" applyBorder="1" applyAlignment="1">
      <alignment horizontal="left" vertical="top" shrinkToFit="1"/>
    </xf>
    <xf numFmtId="0" fontId="31" fillId="14" borderId="32" xfId="4" applyFont="1" applyFill="1" applyBorder="1" applyAlignment="1">
      <alignment horizontal="left" vertical="top" wrapText="1"/>
    </xf>
    <xf numFmtId="168" fontId="34" fillId="14" borderId="32" xfId="4" applyNumberFormat="1" applyFont="1" applyFill="1" applyBorder="1" applyAlignment="1">
      <alignment horizontal="center" vertical="top" shrinkToFit="1"/>
    </xf>
    <xf numFmtId="0" fontId="14" fillId="14" borderId="32" xfId="4" applyFont="1" applyFill="1" applyBorder="1" applyAlignment="1">
      <alignment horizontal="left" vertical="top" wrapText="1"/>
    </xf>
    <xf numFmtId="0" fontId="36" fillId="0" borderId="0" xfId="4" applyFont="1" applyFill="1" applyBorder="1" applyAlignment="1">
      <alignment horizontal="left" vertical="top"/>
    </xf>
    <xf numFmtId="0" fontId="27" fillId="13" borderId="35" xfId="4" applyFont="1" applyFill="1" applyBorder="1" applyAlignment="1">
      <alignment horizontal="left" vertical="top" wrapText="1"/>
    </xf>
    <xf numFmtId="0" fontId="27" fillId="13" borderId="35" xfId="4" applyFont="1" applyFill="1" applyBorder="1" applyAlignment="1">
      <alignment horizontal="left" vertical="top" wrapText="1" indent="1"/>
    </xf>
    <xf numFmtId="0" fontId="27" fillId="13" borderId="35" xfId="4" applyFont="1" applyFill="1" applyBorder="1" applyAlignment="1">
      <alignment horizontal="left" vertical="top" wrapText="1" indent="2"/>
    </xf>
    <xf numFmtId="0" fontId="27" fillId="13" borderId="35" xfId="4" applyFont="1" applyFill="1" applyBorder="1" applyAlignment="1">
      <alignment horizontal="center" vertical="center" wrapText="1"/>
    </xf>
    <xf numFmtId="1" fontId="37" fillId="0" borderId="35" xfId="4" applyNumberFormat="1" applyFont="1" applyFill="1" applyBorder="1" applyAlignment="1">
      <alignment horizontal="left" vertical="top" shrinkToFit="1"/>
    </xf>
    <xf numFmtId="0" fontId="27" fillId="0" borderId="35" xfId="4" applyFont="1" applyFill="1" applyBorder="1" applyAlignment="1">
      <alignment horizontal="left" vertical="top" wrapText="1"/>
    </xf>
    <xf numFmtId="2" fontId="37" fillId="0" borderId="35" xfId="4" applyNumberFormat="1" applyFont="1" applyFill="1" applyBorder="1" applyAlignment="1">
      <alignment horizontal="center" vertical="center" shrinkToFit="1"/>
    </xf>
    <xf numFmtId="2" fontId="37" fillId="0" borderId="35" xfId="4" applyNumberFormat="1" applyFont="1" applyFill="1" applyBorder="1" applyAlignment="1">
      <alignment horizontal="right" vertical="center" indent="4" shrinkToFit="1"/>
    </xf>
    <xf numFmtId="0" fontId="27" fillId="0" borderId="35" xfId="4" applyFont="1" applyFill="1" applyBorder="1" applyAlignment="1">
      <alignment horizontal="center" vertical="center" wrapText="1"/>
    </xf>
    <xf numFmtId="0" fontId="27" fillId="0" borderId="35" xfId="4" applyFont="1" applyFill="1" applyBorder="1" applyAlignment="1">
      <alignment horizontal="left" vertical="center" wrapText="1"/>
    </xf>
    <xf numFmtId="0" fontId="18" fillId="0" borderId="35" xfId="4" applyFill="1" applyBorder="1" applyAlignment="1">
      <alignment horizontal="center" vertical="top" wrapText="1"/>
    </xf>
    <xf numFmtId="0" fontId="27" fillId="0" borderId="35" xfId="4" applyFont="1" applyFill="1" applyBorder="1" applyAlignment="1">
      <alignment horizontal="left" vertical="top" wrapText="1" indent="2"/>
    </xf>
    <xf numFmtId="2" fontId="37" fillId="0" borderId="35" xfId="4" applyNumberFormat="1" applyFont="1" applyFill="1" applyBorder="1" applyAlignment="1">
      <alignment horizontal="center" vertical="top" shrinkToFit="1"/>
    </xf>
    <xf numFmtId="2" fontId="37" fillId="0" borderId="35" xfId="4" applyNumberFormat="1" applyFont="1" applyFill="1" applyBorder="1" applyAlignment="1">
      <alignment horizontal="right" vertical="top" indent="4" shrinkToFit="1"/>
    </xf>
    <xf numFmtId="0" fontId="27" fillId="0" borderId="35" xfId="4" applyFont="1" applyFill="1" applyBorder="1" applyAlignment="1">
      <alignment horizontal="center" vertical="top" wrapText="1"/>
    </xf>
    <xf numFmtId="0" fontId="27" fillId="0" borderId="35" xfId="4" applyFont="1" applyFill="1" applyBorder="1" applyAlignment="1">
      <alignment horizontal="left" vertical="top" wrapText="1" indent="1"/>
    </xf>
    <xf numFmtId="0" fontId="27" fillId="13" borderId="35" xfId="4" applyFont="1" applyFill="1" applyBorder="1" applyAlignment="1">
      <alignment horizontal="center" vertical="top" wrapText="1"/>
    </xf>
    <xf numFmtId="1" fontId="38" fillId="0" borderId="35" xfId="4" applyNumberFormat="1" applyFont="1" applyFill="1" applyBorder="1" applyAlignment="1">
      <alignment horizontal="left" vertical="top" shrinkToFit="1"/>
    </xf>
    <xf numFmtId="0" fontId="30" fillId="0" borderId="35" xfId="4" applyFont="1" applyFill="1" applyBorder="1" applyAlignment="1">
      <alignment horizontal="left" vertical="top" wrapText="1"/>
    </xf>
    <xf numFmtId="0" fontId="30" fillId="0" borderId="35" xfId="4" applyFont="1" applyFill="1" applyBorder="1" applyAlignment="1">
      <alignment horizontal="left" vertical="center" wrapText="1"/>
    </xf>
    <xf numFmtId="168" fontId="39" fillId="0" borderId="35" xfId="4" applyNumberFormat="1" applyFont="1" applyFill="1" applyBorder="1" applyAlignment="1">
      <alignment horizontal="center" vertical="center" shrinkToFit="1"/>
    </xf>
    <xf numFmtId="0" fontId="18" fillId="9" borderId="35" xfId="4" applyFill="1" applyBorder="1" applyAlignment="1">
      <alignment horizontal="left" vertical="center" wrapText="1"/>
    </xf>
    <xf numFmtId="0" fontId="40" fillId="0" borderId="35" xfId="4" applyFont="1" applyFill="1" applyBorder="1" applyAlignment="1">
      <alignment horizontal="left" vertical="top" wrapText="1"/>
    </xf>
    <xf numFmtId="168" fontId="37" fillId="0" borderId="35" xfId="4" applyNumberFormat="1" applyFont="1" applyFill="1" applyBorder="1" applyAlignment="1">
      <alignment horizontal="center" vertical="center" shrinkToFit="1"/>
    </xf>
    <xf numFmtId="0" fontId="27" fillId="0" borderId="35" xfId="4" applyFont="1" applyFill="1" applyBorder="1" applyAlignment="1">
      <alignment horizontal="left" vertical="center" wrapText="1" indent="1"/>
    </xf>
    <xf numFmtId="168" fontId="37" fillId="0" borderId="35" xfId="4" applyNumberFormat="1" applyFont="1" applyFill="1" applyBorder="1" applyAlignment="1">
      <alignment horizontal="left" vertical="center" indent="2" shrinkToFit="1"/>
    </xf>
    <xf numFmtId="0" fontId="13" fillId="0" borderId="0" xfId="4" applyFont="1" applyFill="1" applyBorder="1" applyAlignment="1">
      <alignment horizontal="left" vertical="top"/>
    </xf>
    <xf numFmtId="0" fontId="11" fillId="0" borderId="0" xfId="4" applyFont="1" applyFill="1" applyBorder="1" applyAlignment="1">
      <alignment horizontal="left" vertical="top"/>
    </xf>
    <xf numFmtId="164" fontId="17" fillId="0" borderId="0" xfId="1" applyFont="1"/>
    <xf numFmtId="164" fontId="15" fillId="0" borderId="0" xfId="1" applyFont="1" applyBorder="1"/>
    <xf numFmtId="164" fontId="16" fillId="0" borderId="0" xfId="1" applyFont="1" applyBorder="1"/>
    <xf numFmtId="0" fontId="42" fillId="17" borderId="44" xfId="0" applyNumberFormat="1" applyFont="1" applyFill="1" applyBorder="1"/>
    <xf numFmtId="0" fontId="16" fillId="15" borderId="44" xfId="0" applyFont="1" applyFill="1" applyBorder="1"/>
    <xf numFmtId="0" fontId="16" fillId="0" borderId="44" xfId="0" applyFont="1" applyBorder="1"/>
    <xf numFmtId="0" fontId="17" fillId="17" borderId="45" xfId="0" applyNumberFormat="1" applyFont="1" applyFill="1" applyBorder="1"/>
    <xf numFmtId="0" fontId="17" fillId="17" borderId="46" xfId="0" applyNumberFormat="1" applyFont="1" applyFill="1" applyBorder="1"/>
    <xf numFmtId="0" fontId="17" fillId="17" borderId="47" xfId="0" applyNumberFormat="1" applyFont="1" applyFill="1" applyBorder="1"/>
    <xf numFmtId="0" fontId="0" fillId="0" borderId="0" xfId="0" applyNumberFormat="1"/>
    <xf numFmtId="0" fontId="2" fillId="0" borderId="0" xfId="0" applyFont="1" applyAlignment="1">
      <alignment wrapText="1"/>
    </xf>
    <xf numFmtId="165" fontId="0" fillId="0" borderId="0" xfId="1" applyNumberFormat="1" applyFont="1"/>
    <xf numFmtId="0" fontId="43" fillId="19" borderId="48" xfId="0" applyFont="1" applyFill="1" applyBorder="1" applyAlignment="1">
      <alignment horizontal="center" vertical="center" wrapText="1"/>
    </xf>
    <xf numFmtId="0" fontId="45" fillId="0" borderId="0" xfId="5"/>
    <xf numFmtId="0" fontId="0" fillId="15" borderId="43" xfId="0" applyFont="1" applyFill="1" applyBorder="1"/>
    <xf numFmtId="0" fontId="0" fillId="0" borderId="43" xfId="0" applyFont="1" applyBorder="1"/>
    <xf numFmtId="165" fontId="0" fillId="0" borderId="0" xfId="0" applyNumberFormat="1"/>
    <xf numFmtId="0" fontId="17" fillId="0" borderId="0" xfId="0" applyNumberFormat="1" applyFont="1"/>
    <xf numFmtId="0" fontId="36" fillId="0" borderId="1" xfId="4" applyFont="1" applyFill="1" applyBorder="1" applyAlignment="1">
      <alignment horizontal="left" vertical="top"/>
    </xf>
    <xf numFmtId="0" fontId="18" fillId="0" borderId="1" xfId="4" applyFill="1" applyBorder="1" applyAlignment="1">
      <alignment horizontal="left" vertical="top"/>
    </xf>
    <xf numFmtId="0" fontId="2" fillId="0" borderId="0" xfId="0" applyFont="1" applyAlignment="1"/>
    <xf numFmtId="165" fontId="2" fillId="0" borderId="0" xfId="0" applyNumberFormat="1" applyFont="1"/>
    <xf numFmtId="9" fontId="0" fillId="0" borderId="0" xfId="2" applyFont="1"/>
    <xf numFmtId="0" fontId="0" fillId="15" borderId="44" xfId="0" applyFont="1" applyFill="1" applyBorder="1"/>
    <xf numFmtId="0" fontId="0" fillId="0" borderId="44" xfId="0" applyFont="1" applyBorder="1"/>
    <xf numFmtId="0" fontId="47" fillId="0" borderId="0" xfId="0" applyFont="1"/>
    <xf numFmtId="2" fontId="16" fillId="0" borderId="0" xfId="0" applyNumberFormat="1" applyFont="1"/>
    <xf numFmtId="0" fontId="32" fillId="0" borderId="30" xfId="4" applyFont="1" applyFill="1" applyBorder="1" applyAlignment="1">
      <alignment horizontal="left" vertical="top" wrapText="1"/>
    </xf>
    <xf numFmtId="0" fontId="14" fillId="0" borderId="30" xfId="4" applyFont="1" applyFill="1" applyBorder="1" applyAlignment="1">
      <alignment horizontal="left" vertical="top" wrapText="1"/>
    </xf>
    <xf numFmtId="0" fontId="45" fillId="0" borderId="0" xfId="5" applyFill="1" applyBorder="1" applyAlignment="1">
      <alignment horizontal="left" vertical="top"/>
    </xf>
    <xf numFmtId="1" fontId="17" fillId="0" borderId="0" xfId="1" applyNumberFormat="1" applyFont="1" applyBorder="1"/>
    <xf numFmtId="2" fontId="16" fillId="0" borderId="0" xfId="1" applyNumberFormat="1" applyFont="1"/>
    <xf numFmtId="1" fontId="8" fillId="0" borderId="0" xfId="1" applyNumberFormat="1" applyFont="1" applyBorder="1"/>
    <xf numFmtId="1" fontId="15" fillId="0" borderId="0" xfId="1" applyNumberFormat="1" applyFont="1" applyBorder="1" applyAlignment="1">
      <alignment wrapText="1"/>
    </xf>
    <xf numFmtId="1" fontId="16" fillId="0" borderId="0" xfId="1" applyNumberFormat="1" applyFont="1"/>
    <xf numFmtId="1" fontId="17" fillId="0" borderId="0" xfId="1" applyNumberFormat="1" applyFont="1"/>
    <xf numFmtId="0" fontId="7" fillId="0" borderId="0" xfId="8" applyFont="1" applyBorder="1" applyAlignment="1">
      <alignment horizontal="left" vertical="top"/>
    </xf>
    <xf numFmtId="0" fontId="7" fillId="0" borderId="0" xfId="8" applyFont="1" applyBorder="1" applyAlignment="1">
      <alignment horizontal="left" vertical="top" wrapText="1"/>
    </xf>
    <xf numFmtId="0" fontId="48" fillId="0" borderId="0" xfId="8"/>
    <xf numFmtId="0" fontId="48" fillId="0" borderId="0" xfId="8" applyBorder="1" applyAlignment="1">
      <alignment horizontal="left" vertical="top"/>
    </xf>
    <xf numFmtId="0" fontId="54" fillId="0" borderId="8" xfId="8" applyFont="1" applyBorder="1" applyAlignment="1">
      <alignment horizontal="center" vertical="top" wrapText="1"/>
    </xf>
    <xf numFmtId="0" fontId="54" fillId="0" borderId="51" xfId="8" applyFont="1" applyBorder="1" applyAlignment="1">
      <alignment horizontal="center" vertical="top" wrapText="1"/>
    </xf>
    <xf numFmtId="0" fontId="54" fillId="0" borderId="8" xfId="8" applyFont="1" applyBorder="1" applyAlignment="1">
      <alignment horizontal="left" vertical="top" wrapText="1" indent="3"/>
    </xf>
    <xf numFmtId="0" fontId="54" fillId="0" borderId="51" xfId="8" applyFont="1" applyBorder="1" applyAlignment="1">
      <alignment horizontal="left" vertical="top" wrapText="1" indent="3"/>
    </xf>
    <xf numFmtId="0" fontId="53" fillId="0" borderId="52" xfId="8" applyFont="1" applyBorder="1" applyAlignment="1">
      <alignment horizontal="center" vertical="top" wrapText="1"/>
    </xf>
    <xf numFmtId="0" fontId="54" fillId="0" borderId="52" xfId="8" applyFont="1" applyBorder="1" applyAlignment="1">
      <alignment horizontal="center" vertical="top" wrapText="1"/>
    </xf>
    <xf numFmtId="0" fontId="55" fillId="0" borderId="52" xfId="8" applyFont="1" applyBorder="1" applyAlignment="1">
      <alignment horizontal="center" vertical="top" wrapText="1"/>
    </xf>
    <xf numFmtId="1" fontId="52" fillId="0" borderId="52" xfId="8" applyNumberFormat="1" applyFont="1" applyBorder="1" applyAlignment="1">
      <alignment horizontal="center" vertical="top" shrinkToFit="1"/>
    </xf>
    <xf numFmtId="0" fontId="55" fillId="0" borderId="52" xfId="8" applyFont="1" applyBorder="1" applyAlignment="1">
      <alignment horizontal="right" vertical="top" wrapText="1" indent="1"/>
    </xf>
    <xf numFmtId="0" fontId="55" fillId="0" borderId="52" xfId="8" applyFont="1" applyBorder="1" applyAlignment="1">
      <alignment horizontal="right" vertical="top" wrapText="1" indent="3"/>
    </xf>
    <xf numFmtId="2" fontId="57" fillId="0" borderId="52" xfId="8" applyNumberFormat="1" applyFont="1" applyBorder="1" applyAlignment="1">
      <alignment horizontal="left" vertical="top" indent="3" shrinkToFit="1"/>
    </xf>
    <xf numFmtId="0" fontId="50" fillId="0" borderId="52" xfId="8" applyFont="1" applyBorder="1" applyAlignment="1">
      <alignment horizontal="center" vertical="top" wrapText="1"/>
    </xf>
    <xf numFmtId="0" fontId="48" fillId="0" borderId="51" xfId="8" applyBorder="1" applyAlignment="1">
      <alignment horizontal="left" wrapText="1"/>
    </xf>
    <xf numFmtId="0" fontId="55" fillId="0" borderId="51" xfId="8" applyFont="1" applyBorder="1" applyAlignment="1">
      <alignment horizontal="left" vertical="top" wrapText="1" indent="3"/>
    </xf>
    <xf numFmtId="0" fontId="55" fillId="0" borderId="51" xfId="8" applyFont="1" applyBorder="1" applyAlignment="1">
      <alignment horizontal="center" vertical="top" wrapText="1"/>
    </xf>
    <xf numFmtId="1" fontId="52" fillId="0" borderId="51" xfId="8" applyNumberFormat="1" applyFont="1" applyBorder="1" applyAlignment="1">
      <alignment horizontal="center" vertical="top" shrinkToFit="1"/>
    </xf>
    <xf numFmtId="0" fontId="55" fillId="0" borderId="51" xfId="8" applyFont="1" applyBorder="1" applyAlignment="1">
      <alignment horizontal="right" vertical="top" wrapText="1" indent="1"/>
    </xf>
    <xf numFmtId="0" fontId="54" fillId="0" borderId="53" xfId="8" applyFont="1" applyBorder="1" applyAlignment="1">
      <alignment horizontal="left" vertical="top" wrapText="1" indent="3"/>
    </xf>
    <xf numFmtId="0" fontId="55" fillId="0" borderId="53" xfId="8" applyFont="1" applyBorder="1" applyAlignment="1">
      <alignment horizontal="left" vertical="top" wrapText="1" indent="3"/>
    </xf>
    <xf numFmtId="1" fontId="52" fillId="0" borderId="53" xfId="8" applyNumberFormat="1" applyFont="1" applyBorder="1" applyAlignment="1">
      <alignment horizontal="center" vertical="top" shrinkToFit="1"/>
    </xf>
    <xf numFmtId="0" fontId="55" fillId="0" borderId="53" xfId="8" applyFont="1" applyBorder="1" applyAlignment="1">
      <alignment horizontal="right" vertical="top" wrapText="1" indent="1"/>
    </xf>
    <xf numFmtId="0" fontId="54" fillId="0" borderId="53" xfId="8" applyFont="1" applyBorder="1" applyAlignment="1">
      <alignment horizontal="center" vertical="top" wrapText="1"/>
    </xf>
    <xf numFmtId="1" fontId="52" fillId="0" borderId="53" xfId="8" applyNumberFormat="1" applyFont="1" applyBorder="1" applyAlignment="1">
      <alignment horizontal="center" vertical="center" shrinkToFit="1"/>
    </xf>
    <xf numFmtId="0" fontId="55" fillId="0" borderId="53" xfId="8" applyFont="1" applyBorder="1" applyAlignment="1">
      <alignment horizontal="right" vertical="center" wrapText="1" indent="1"/>
    </xf>
    <xf numFmtId="1" fontId="58" fillId="0" borderId="53" xfId="8" applyNumberFormat="1" applyFont="1" applyBorder="1" applyAlignment="1">
      <alignment horizontal="left" vertical="top" indent="3" shrinkToFit="1"/>
    </xf>
    <xf numFmtId="171" fontId="52" fillId="0" borderId="53" xfId="8" applyNumberFormat="1" applyFont="1" applyBorder="1" applyAlignment="1">
      <alignment horizontal="left" vertical="top" indent="1" shrinkToFit="1"/>
    </xf>
    <xf numFmtId="2" fontId="52" fillId="0" borderId="53" xfId="8" applyNumberFormat="1" applyFont="1" applyBorder="1" applyAlignment="1">
      <alignment horizontal="left" vertical="top" indent="3" shrinkToFit="1"/>
    </xf>
    <xf numFmtId="1" fontId="52" fillId="0" borderId="53" xfId="8" applyNumberFormat="1" applyFont="1" applyBorder="1" applyAlignment="1">
      <alignment horizontal="left" vertical="top" indent="5" shrinkToFit="1"/>
    </xf>
    <xf numFmtId="172" fontId="52" fillId="0" borderId="53" xfId="8" applyNumberFormat="1" applyFont="1" applyBorder="1" applyAlignment="1">
      <alignment horizontal="center" vertical="top" shrinkToFit="1"/>
    </xf>
    <xf numFmtId="0" fontId="59" fillId="0" borderId="53" xfId="8" applyFont="1" applyBorder="1" applyAlignment="1">
      <alignment horizontal="left" vertical="top" wrapText="1" indent="3"/>
    </xf>
    <xf numFmtId="0" fontId="48" fillId="0" borderId="53" xfId="8" applyBorder="1" applyAlignment="1">
      <alignment horizontal="left" vertical="center" wrapText="1"/>
    </xf>
    <xf numFmtId="0" fontId="55" fillId="0" borderId="52" xfId="8" applyFont="1" applyBorder="1" applyAlignment="1">
      <alignment horizontal="left" vertical="top" wrapText="1" indent="3"/>
    </xf>
    <xf numFmtId="2" fontId="52" fillId="0" borderId="52" xfId="8" applyNumberFormat="1" applyFont="1" applyBorder="1" applyAlignment="1">
      <alignment horizontal="left" vertical="top" indent="1" shrinkToFit="1"/>
    </xf>
    <xf numFmtId="0" fontId="54" fillId="0" borderId="53" xfId="8" applyFont="1" applyBorder="1" applyAlignment="1">
      <alignment horizontal="left" vertical="top" wrapText="1" indent="1"/>
    </xf>
    <xf numFmtId="0" fontId="54" fillId="0" borderId="8" xfId="8" applyFont="1" applyBorder="1" applyAlignment="1">
      <alignment horizontal="left" vertical="top" wrapText="1" indent="1"/>
    </xf>
    <xf numFmtId="0" fontId="54" fillId="0" borderId="51" xfId="8" applyFont="1" applyBorder="1" applyAlignment="1">
      <alignment horizontal="left" vertical="top" wrapText="1" indent="1"/>
    </xf>
    <xf numFmtId="2" fontId="52" fillId="0" borderId="53" xfId="8" applyNumberFormat="1" applyFont="1" applyBorder="1" applyAlignment="1">
      <alignment horizontal="center" vertical="top" shrinkToFit="1"/>
    </xf>
    <xf numFmtId="170" fontId="52" fillId="0" borderId="53" xfId="8" applyNumberFormat="1" applyFont="1" applyBorder="1" applyAlignment="1">
      <alignment horizontal="center" vertical="top" shrinkToFit="1"/>
    </xf>
    <xf numFmtId="0" fontId="53" fillId="0" borderId="53" xfId="8" applyFont="1" applyBorder="1" applyAlignment="1">
      <alignment horizontal="left" vertical="top" wrapText="1"/>
    </xf>
    <xf numFmtId="0" fontId="55" fillId="0" borderId="52" xfId="8" applyFont="1" applyBorder="1" applyAlignment="1">
      <alignment horizontal="left" vertical="top" wrapText="1" indent="1"/>
    </xf>
    <xf numFmtId="2" fontId="52" fillId="0" borderId="53" xfId="8" applyNumberFormat="1" applyFont="1" applyBorder="1" applyAlignment="1">
      <alignment horizontal="right" vertical="top" indent="3" shrinkToFit="1"/>
    </xf>
    <xf numFmtId="2" fontId="52" fillId="0" borderId="53" xfId="8" applyNumberFormat="1" applyFont="1" applyBorder="1" applyAlignment="1">
      <alignment horizontal="right" vertical="top" indent="1" shrinkToFit="1"/>
    </xf>
    <xf numFmtId="2" fontId="52" fillId="0" borderId="53" xfId="8" applyNumberFormat="1" applyFont="1" applyBorder="1" applyAlignment="1">
      <alignment horizontal="right" vertical="center" indent="1" shrinkToFit="1"/>
    </xf>
    <xf numFmtId="0" fontId="60" fillId="0" borderId="52" xfId="8" applyFont="1" applyBorder="1" applyAlignment="1">
      <alignment horizontal="left" vertical="center"/>
    </xf>
    <xf numFmtId="0" fontId="60" fillId="0" borderId="52" xfId="8" applyFont="1" applyBorder="1" applyAlignment="1">
      <alignment horizontal="left" vertical="center" wrapText="1"/>
    </xf>
    <xf numFmtId="0" fontId="60" fillId="0" borderId="52" xfId="8" applyFont="1" applyBorder="1" applyAlignment="1">
      <alignment horizontal="right" vertical="center"/>
    </xf>
    <xf numFmtId="0" fontId="60" fillId="0" borderId="53" xfId="8" applyFont="1" applyBorder="1" applyAlignment="1">
      <alignment horizontal="left"/>
    </xf>
    <xf numFmtId="0" fontId="60" fillId="0" borderId="53" xfId="8" applyFont="1" applyBorder="1" applyAlignment="1">
      <alignment horizontal="left" wrapText="1"/>
    </xf>
    <xf numFmtId="0" fontId="60" fillId="0" borderId="53" xfId="8" applyFont="1" applyBorder="1" applyAlignment="1">
      <alignment horizontal="right"/>
    </xf>
    <xf numFmtId="0" fontId="60" fillId="0" borderId="53" xfId="8" applyFont="1" applyBorder="1" applyAlignment="1">
      <alignment horizontal="left" vertical="center"/>
    </xf>
    <xf numFmtId="0" fontId="60" fillId="0" borderId="53" xfId="8" applyFont="1" applyBorder="1" applyAlignment="1">
      <alignment horizontal="left" vertical="center" wrapText="1"/>
    </xf>
    <xf numFmtId="0" fontId="60" fillId="0" borderId="53" xfId="8" applyFont="1" applyBorder="1" applyAlignment="1">
      <alignment horizontal="right" vertical="center"/>
    </xf>
    <xf numFmtId="0" fontId="61" fillId="0" borderId="53" xfId="8" applyFont="1" applyBorder="1" applyAlignment="1">
      <alignment horizontal="center" vertical="top" wrapText="1"/>
    </xf>
    <xf numFmtId="0" fontId="62" fillId="0" borderId="54" xfId="8" applyFont="1" applyBorder="1"/>
    <xf numFmtId="170" fontId="52" fillId="0" borderId="0" xfId="8" applyNumberFormat="1" applyFont="1" applyBorder="1" applyAlignment="1">
      <alignment horizontal="left" vertical="top" indent="1" shrinkToFit="1"/>
    </xf>
    <xf numFmtId="0" fontId="61" fillId="0" borderId="0" xfId="8" applyFont="1" applyBorder="1" applyAlignment="1">
      <alignment horizontal="center" vertical="top" wrapText="1"/>
    </xf>
    <xf numFmtId="0" fontId="54" fillId="0" borderId="0" xfId="8" applyFont="1" applyBorder="1" applyAlignment="1">
      <alignment horizontal="center" vertical="top" wrapText="1"/>
    </xf>
    <xf numFmtId="0" fontId="62" fillId="0" borderId="0" xfId="8" applyFont="1"/>
    <xf numFmtId="0" fontId="54" fillId="0" borderId="0" xfId="8" applyFont="1" applyBorder="1" applyAlignment="1">
      <alignment horizontal="left" vertical="center" wrapText="1" indent="3"/>
    </xf>
    <xf numFmtId="0" fontId="54" fillId="0" borderId="0" xfId="8" applyFont="1" applyBorder="1" applyAlignment="1">
      <alignment horizontal="center" vertical="center" wrapText="1"/>
    </xf>
    <xf numFmtId="1" fontId="52" fillId="0" borderId="0" xfId="8" applyNumberFormat="1" applyFont="1" applyBorder="1" applyAlignment="1">
      <alignment horizontal="center" vertical="center" shrinkToFit="1"/>
    </xf>
    <xf numFmtId="0" fontId="54" fillId="0" borderId="0" xfId="8" applyFont="1" applyBorder="1" applyAlignment="1">
      <alignment horizontal="right" vertical="center" wrapText="1" indent="1"/>
    </xf>
    <xf numFmtId="2" fontId="52" fillId="0" borderId="0" xfId="8" applyNumberFormat="1" applyFont="1" applyBorder="1" applyAlignment="1">
      <alignment horizontal="right" vertical="center" indent="1" shrinkToFit="1"/>
    </xf>
    <xf numFmtId="0" fontId="48" fillId="0" borderId="0" xfId="8" applyFont="1"/>
    <xf numFmtId="0" fontId="48" fillId="0" borderId="55" xfId="9" applyBorder="1"/>
    <xf numFmtId="0" fontId="64" fillId="0" borderId="3" xfId="12" applyFont="1" applyBorder="1">
      <alignment horizontal="left"/>
    </xf>
    <xf numFmtId="1" fontId="48" fillId="0" borderId="56" xfId="13" applyNumberFormat="1" applyBorder="1"/>
    <xf numFmtId="1" fontId="64" fillId="0" borderId="57" xfId="14" applyNumberFormat="1" applyBorder="1"/>
    <xf numFmtId="1" fontId="0" fillId="0" borderId="0" xfId="0" applyNumberFormat="1"/>
    <xf numFmtId="0" fontId="64" fillId="0" borderId="0" xfId="0" applyFont="1"/>
    <xf numFmtId="2" fontId="0" fillId="0" borderId="0" xfId="0" applyNumberFormat="1"/>
    <xf numFmtId="2" fontId="0" fillId="15" borderId="43" xfId="0" applyNumberFormat="1" applyFont="1" applyFill="1" applyBorder="1"/>
    <xf numFmtId="2" fontId="0" fillId="0" borderId="43" xfId="0" applyNumberFormat="1" applyFont="1" applyBorder="1"/>
    <xf numFmtId="0" fontId="64" fillId="0" borderId="0" xfId="12" applyFont="1" applyBorder="1">
      <alignment horizontal="left"/>
    </xf>
    <xf numFmtId="1" fontId="64" fillId="0" borderId="0" xfId="14" applyNumberFormat="1" applyBorder="1"/>
    <xf numFmtId="0" fontId="1" fillId="0" borderId="58" xfId="0" applyFont="1" applyBorder="1"/>
    <xf numFmtId="0" fontId="1" fillId="15" borderId="43" xfId="0" applyFont="1" applyFill="1" applyBorder="1"/>
    <xf numFmtId="0" fontId="1" fillId="0" borderId="43" xfId="0" applyFont="1" applyBorder="1"/>
    <xf numFmtId="0" fontId="10" fillId="0" borderId="0" xfId="0" applyFont="1"/>
    <xf numFmtId="0" fontId="0" fillId="0" borderId="0" xfId="0" applyAlignment="1">
      <alignment horizontal="center" wrapText="1"/>
    </xf>
    <xf numFmtId="0" fontId="0" fillId="0" borderId="0" xfId="0" applyFill="1" applyAlignment="1">
      <alignment wrapText="1"/>
    </xf>
    <xf numFmtId="165" fontId="0" fillId="0" borderId="0" xfId="0" applyNumberFormat="1" applyFill="1"/>
    <xf numFmtId="0" fontId="0" fillId="0" borderId="0" xfId="0" applyFill="1"/>
    <xf numFmtId="1" fontId="34" fillId="23" borderId="30" xfId="4" applyNumberFormat="1" applyFont="1" applyFill="1" applyBorder="1" applyAlignment="1">
      <alignment horizontal="left" vertical="top" indent="2" shrinkToFit="1"/>
    </xf>
    <xf numFmtId="0" fontId="18" fillId="20" borderId="35" xfId="4" applyFill="1" applyBorder="1" applyAlignment="1">
      <alignment horizontal="left" vertical="center" wrapText="1"/>
    </xf>
    <xf numFmtId="17" fontId="0" fillId="0" borderId="0" xfId="0" applyNumberFormat="1"/>
    <xf numFmtId="2" fontId="0" fillId="0" borderId="0" xfId="0" applyNumberFormat="1" applyAlignment="1">
      <alignment horizontal="left" vertical="top" wrapText="1"/>
    </xf>
    <xf numFmtId="169" fontId="0" fillId="0" borderId="0" xfId="0" applyNumberFormat="1"/>
    <xf numFmtId="0" fontId="67" fillId="0" borderId="0" xfId="0" applyFont="1"/>
    <xf numFmtId="2" fontId="2" fillId="0" borderId="0" xfId="0" applyNumberFormat="1" applyFont="1"/>
    <xf numFmtId="1" fontId="8" fillId="0" borderId="0" xfId="0" applyNumberFormat="1" applyFont="1"/>
    <xf numFmtId="0" fontId="68" fillId="0" borderId="0" xfId="0" applyFont="1"/>
    <xf numFmtId="2" fontId="0" fillId="0" borderId="0" xfId="1" applyNumberFormat="1" applyFont="1"/>
    <xf numFmtId="0" fontId="15" fillId="0" borderId="0" xfId="0" applyFont="1"/>
    <xf numFmtId="0" fontId="0" fillId="15" borderId="46" xfId="0" applyFont="1" applyFill="1" applyBorder="1"/>
    <xf numFmtId="2" fontId="0" fillId="15" borderId="46" xfId="0" applyNumberFormat="1" applyFont="1" applyFill="1" applyBorder="1"/>
    <xf numFmtId="0" fontId="0" fillId="0" borderId="46" xfId="0" applyFont="1" applyBorder="1"/>
    <xf numFmtId="2" fontId="0" fillId="0" borderId="46" xfId="0" applyNumberFormat="1" applyFont="1" applyBorder="1"/>
    <xf numFmtId="0" fontId="0" fillId="0" borderId="0" xfId="0" applyAlignment="1"/>
    <xf numFmtId="0" fontId="45" fillId="0" borderId="0" xfId="5" applyAlignment="1">
      <alignment horizontal="left"/>
    </xf>
    <xf numFmtId="0" fontId="66" fillId="0" borderId="0" xfId="0" applyFont="1"/>
    <xf numFmtId="0" fontId="0" fillId="0" borderId="59" xfId="0" applyBorder="1" applyAlignment="1">
      <alignment wrapText="1"/>
    </xf>
    <xf numFmtId="0" fontId="0" fillId="0" borderId="53" xfId="0" applyBorder="1" applyAlignment="1">
      <alignment horizontal="center"/>
    </xf>
    <xf numFmtId="0" fontId="0" fillId="0" borderId="53" xfId="0" applyBorder="1"/>
    <xf numFmtId="0" fontId="0" fillId="0" borderId="53" xfId="0" applyBorder="1" applyAlignment="1">
      <alignment wrapText="1"/>
    </xf>
    <xf numFmtId="0" fontId="0" fillId="0" borderId="53" xfId="0" applyBorder="1" applyAlignment="1">
      <alignment horizontal="center" vertical="center"/>
    </xf>
    <xf numFmtId="0" fontId="0" fillId="0" borderId="53" xfId="0" applyFill="1" applyBorder="1" applyAlignment="1">
      <alignment horizontal="center" vertical="center"/>
    </xf>
    <xf numFmtId="2" fontId="0" fillId="0" borderId="53" xfId="0" applyNumberFormat="1" applyBorder="1" applyAlignment="1">
      <alignment horizontal="center" vertical="center"/>
    </xf>
    <xf numFmtId="2" fontId="0" fillId="0" borderId="53" xfId="0" applyNumberFormat="1" applyFill="1" applyBorder="1" applyAlignment="1">
      <alignment horizontal="center" vertical="center"/>
    </xf>
    <xf numFmtId="0" fontId="0" fillId="0" borderId="59" xfId="0" applyBorder="1" applyAlignment="1">
      <alignment horizontal="center"/>
    </xf>
    <xf numFmtId="166" fontId="0" fillId="0" borderId="53" xfId="0" applyNumberFormat="1" applyBorder="1" applyAlignment="1">
      <alignment horizontal="center" vertical="center"/>
    </xf>
    <xf numFmtId="2" fontId="69" fillId="0" borderId="53" xfId="0" applyNumberFormat="1" applyFont="1" applyBorder="1" applyAlignment="1">
      <alignment horizontal="center" vertical="center"/>
    </xf>
    <xf numFmtId="0" fontId="0" fillId="0" borderId="0" xfId="0" applyBorder="1" applyAlignment="1">
      <alignment horizontal="center"/>
    </xf>
    <xf numFmtId="0" fontId="0" fillId="0" borderId="8" xfId="0" applyFill="1" applyBorder="1"/>
    <xf numFmtId="2" fontId="69" fillId="0" borderId="0" xfId="0" applyNumberFormat="1" applyFont="1" applyBorder="1" applyAlignment="1">
      <alignment horizontal="center" vertical="center"/>
    </xf>
    <xf numFmtId="2" fontId="69" fillId="0" borderId="0" xfId="0" applyNumberFormat="1" applyFont="1" applyAlignment="1">
      <alignment horizontal="center" vertical="center"/>
    </xf>
    <xf numFmtId="2" fontId="0" fillId="0" borderId="0" xfId="0" applyNumberFormat="1" applyBorder="1" applyAlignment="1">
      <alignment horizontal="center" vertical="center"/>
    </xf>
    <xf numFmtId="2" fontId="0" fillId="0" borderId="0" xfId="0" applyNumberFormat="1" applyAlignment="1">
      <alignment horizontal="center" vertical="center"/>
    </xf>
    <xf numFmtId="2" fontId="69" fillId="0" borderId="0" xfId="0" applyNumberFormat="1" applyFont="1" applyBorder="1" applyAlignment="1">
      <alignment horizontal="left" vertical="center"/>
    </xf>
    <xf numFmtId="2" fontId="0" fillId="0" borderId="0" xfId="0" applyNumberFormat="1" applyAlignment="1">
      <alignment horizontal="left" vertical="center"/>
    </xf>
    <xf numFmtId="0" fontId="2" fillId="0" borderId="0" xfId="0" applyFont="1" applyFill="1" applyBorder="1"/>
    <xf numFmtId="2" fontId="2" fillId="0" borderId="0" xfId="0" applyNumberFormat="1" applyFont="1" applyAlignment="1">
      <alignment horizontal="center" vertical="center"/>
    </xf>
    <xf numFmtId="0" fontId="0" fillId="0" borderId="0" xfId="0" applyFill="1" applyBorder="1"/>
    <xf numFmtId="0" fontId="0" fillId="24" borderId="0" xfId="0" applyFill="1"/>
    <xf numFmtId="2" fontId="0" fillId="0" borderId="0" xfId="0" applyNumberFormat="1" applyFill="1" applyAlignment="1">
      <alignment horizontal="center" vertical="center"/>
    </xf>
    <xf numFmtId="0" fontId="0" fillId="0" borderId="0" xfId="0" applyAlignment="1">
      <alignment horizontal="left"/>
    </xf>
    <xf numFmtId="0" fontId="0" fillId="0" borderId="0" xfId="0" applyAlignment="1">
      <alignment horizontal="right"/>
    </xf>
    <xf numFmtId="0" fontId="0" fillId="0" borderId="0" xfId="0" applyAlignment="1">
      <alignment vertical="center"/>
    </xf>
    <xf numFmtId="173" fontId="0" fillId="0" borderId="0" xfId="0" applyNumberFormat="1"/>
    <xf numFmtId="0" fontId="0" fillId="0" borderId="0" xfId="0" quotePrefix="1" applyAlignment="1">
      <alignment vertical="center"/>
    </xf>
    <xf numFmtId="9" fontId="0" fillId="0" borderId="0" xfId="0" applyNumberFormat="1"/>
    <xf numFmtId="173" fontId="0" fillId="0" borderId="0" xfId="2" applyNumberFormat="1" applyFont="1"/>
    <xf numFmtId="0" fontId="70" fillId="0" borderId="0" xfId="0" applyFont="1"/>
    <xf numFmtId="173" fontId="70" fillId="0" borderId="0" xfId="2" applyNumberFormat="1" applyFont="1"/>
    <xf numFmtId="173" fontId="66" fillId="0" borderId="0" xfId="2" applyNumberFormat="1" applyFont="1"/>
    <xf numFmtId="9" fontId="2" fillId="0" borderId="0" xfId="0" applyNumberFormat="1" applyFont="1" applyFill="1" applyAlignment="1">
      <alignment horizontal="center"/>
    </xf>
    <xf numFmtId="173" fontId="0" fillId="20" borderId="0" xfId="0" applyNumberFormat="1" applyFill="1"/>
    <xf numFmtId="0" fontId="0" fillId="20" borderId="0" xfId="0" applyFill="1"/>
    <xf numFmtId="0" fontId="65" fillId="17" borderId="0" xfId="0" applyFont="1" applyFill="1" applyBorder="1"/>
    <xf numFmtId="3" fontId="0" fillId="0" borderId="0" xfId="0" applyNumberFormat="1"/>
    <xf numFmtId="0" fontId="5" fillId="0" borderId="53" xfId="0" applyFont="1" applyBorder="1" applyAlignment="1">
      <alignment horizontal="center"/>
    </xf>
    <xf numFmtId="0" fontId="5" fillId="0" borderId="53" xfId="0" applyFont="1" applyFill="1" applyBorder="1" applyAlignment="1">
      <alignment horizontal="right"/>
    </xf>
    <xf numFmtId="0" fontId="5" fillId="0" borderId="59" xfId="0" applyFont="1" applyFill="1" applyBorder="1" applyAlignment="1">
      <alignment horizontal="right"/>
    </xf>
    <xf numFmtId="0" fontId="6" fillId="0" borderId="53" xfId="0" applyFont="1" applyBorder="1"/>
    <xf numFmtId="2" fontId="6" fillId="6" borderId="53" xfId="0" applyNumberFormat="1" applyFont="1" applyFill="1" applyBorder="1" applyAlignment="1">
      <alignment horizontal="right"/>
    </xf>
    <xf numFmtId="2" fontId="6" fillId="0" borderId="53" xfId="0" applyNumberFormat="1" applyFont="1" applyFill="1" applyBorder="1" applyAlignment="1">
      <alignment horizontal="right"/>
    </xf>
    <xf numFmtId="2" fontId="14" fillId="0" borderId="53" xfId="0" applyNumberFormat="1" applyFont="1" applyBorder="1"/>
    <xf numFmtId="2" fontId="6" fillId="0" borderId="59" xfId="0" applyNumberFormat="1" applyFont="1" applyFill="1" applyBorder="1" applyAlignment="1">
      <alignment horizontal="right"/>
    </xf>
    <xf numFmtId="166" fontId="6" fillId="6" borderId="53" xfId="0" applyNumberFormat="1" applyFont="1" applyFill="1" applyBorder="1" applyAlignment="1">
      <alignment horizontal="right"/>
    </xf>
    <xf numFmtId="2" fontId="6" fillId="0" borderId="53" xfId="0" applyNumberFormat="1" applyFont="1" applyBorder="1"/>
    <xf numFmtId="0" fontId="6" fillId="0" borderId="53" xfId="0" applyFont="1" applyFill="1" applyBorder="1"/>
    <xf numFmtId="167" fontId="6" fillId="0" borderId="53" xfId="3" applyNumberFormat="1" applyFont="1" applyFill="1" applyBorder="1" applyAlignment="1">
      <alignment horizontal="right" vertical="center"/>
    </xf>
    <xf numFmtId="2" fontId="6" fillId="0" borderId="53" xfId="0" applyNumberFormat="1" applyFont="1" applyFill="1" applyBorder="1"/>
    <xf numFmtId="0" fontId="14" fillId="0" borderId="53" xfId="0" applyFont="1" applyBorder="1"/>
    <xf numFmtId="0" fontId="5" fillId="0" borderId="53" xfId="0" applyFont="1" applyBorder="1" applyAlignment="1">
      <alignment horizontal="right"/>
    </xf>
    <xf numFmtId="2" fontId="5" fillId="0" borderId="53" xfId="0" applyNumberFormat="1" applyFont="1" applyFill="1" applyBorder="1"/>
    <xf numFmtId="2" fontId="5" fillId="0" borderId="53" xfId="0" applyNumberFormat="1" applyFont="1" applyFill="1" applyBorder="1" applyAlignment="1">
      <alignment horizontal="right"/>
    </xf>
    <xf numFmtId="2" fontId="5" fillId="0" borderId="59" xfId="0" applyNumberFormat="1" applyFont="1" applyFill="1" applyBorder="1" applyAlignment="1">
      <alignment horizontal="right"/>
    </xf>
    <xf numFmtId="2" fontId="5" fillId="0" borderId="0" xfId="0" applyNumberFormat="1" applyFont="1" applyBorder="1"/>
    <xf numFmtId="0" fontId="0" fillId="0" borderId="0" xfId="0"/>
    <xf numFmtId="0" fontId="6" fillId="0" borderId="0" xfId="0" applyFont="1" applyBorder="1"/>
    <xf numFmtId="0" fontId="5" fillId="0" borderId="0" xfId="0" applyFont="1" applyBorder="1"/>
    <xf numFmtId="2" fontId="6" fillId="0" borderId="0" xfId="0" applyNumberFormat="1" applyFont="1" applyBorder="1"/>
    <xf numFmtId="174" fontId="16" fillId="0" borderId="0" xfId="2" applyNumberFormat="1" applyFont="1"/>
    <xf numFmtId="174" fontId="0" fillId="0" borderId="0" xfId="2" applyNumberFormat="1" applyFont="1"/>
    <xf numFmtId="0" fontId="71" fillId="0" borderId="0" xfId="8" applyFont="1" applyBorder="1" applyAlignment="1">
      <alignment horizontal="center" vertical="center"/>
    </xf>
    <xf numFmtId="0" fontId="71" fillId="0" borderId="0" xfId="8" applyFont="1" applyBorder="1" applyAlignment="1">
      <alignment horizontal="left" vertical="center" indent="1"/>
    </xf>
    <xf numFmtId="2" fontId="71" fillId="0" borderId="0" xfId="8" applyNumberFormat="1" applyFont="1" applyBorder="1" applyAlignment="1">
      <alignment horizontal="right" vertical="center" indent="2"/>
    </xf>
    <xf numFmtId="2" fontId="71" fillId="0" borderId="0" xfId="8" applyNumberFormat="1" applyFont="1" applyBorder="1" applyAlignment="1">
      <alignment horizontal="right" vertical="center" indent="1"/>
    </xf>
    <xf numFmtId="0" fontId="71" fillId="25" borderId="0" xfId="8" applyFont="1" applyFill="1" applyBorder="1" applyAlignment="1">
      <alignment horizontal="center" vertical="center" wrapText="1"/>
    </xf>
    <xf numFmtId="0" fontId="75" fillId="0" borderId="0" xfId="8" applyFont="1"/>
    <xf numFmtId="0" fontId="71" fillId="25" borderId="76" xfId="8" applyFont="1" applyFill="1" applyBorder="1" applyAlignment="1">
      <alignment horizontal="center" vertical="center"/>
    </xf>
    <xf numFmtId="0" fontId="71" fillId="25" borderId="70" xfId="8" applyFont="1" applyFill="1" applyBorder="1" applyAlignment="1">
      <alignment horizontal="center" vertical="center" wrapText="1"/>
    </xf>
    <xf numFmtId="0" fontId="77" fillId="14" borderId="78" xfId="8" applyFont="1" applyFill="1" applyBorder="1"/>
    <xf numFmtId="2" fontId="77" fillId="14" borderId="75" xfId="8" applyNumberFormat="1" applyFont="1" applyFill="1" applyBorder="1"/>
    <xf numFmtId="2" fontId="77" fillId="14" borderId="79" xfId="8" applyNumberFormat="1" applyFont="1" applyFill="1" applyBorder="1"/>
    <xf numFmtId="2" fontId="77" fillId="14" borderId="0" xfId="8" applyNumberFormat="1" applyFont="1" applyFill="1" applyBorder="1"/>
    <xf numFmtId="2" fontId="48" fillId="0" borderId="0" xfId="8" applyNumberFormat="1"/>
    <xf numFmtId="0" fontId="77" fillId="15" borderId="80" xfId="8" applyFont="1" applyFill="1" applyBorder="1"/>
    <xf numFmtId="2" fontId="77" fillId="15" borderId="81" xfId="8" applyNumberFormat="1" applyFont="1" applyFill="1" applyBorder="1"/>
    <xf numFmtId="2" fontId="77" fillId="15" borderId="79" xfId="8" applyNumberFormat="1" applyFont="1" applyFill="1" applyBorder="1"/>
    <xf numFmtId="2" fontId="77" fillId="15" borderId="0" xfId="8" applyNumberFormat="1" applyFont="1" applyFill="1" applyBorder="1"/>
    <xf numFmtId="2" fontId="77" fillId="14" borderId="81" xfId="8" applyNumberFormat="1" applyFont="1" applyFill="1" applyBorder="1"/>
    <xf numFmtId="0" fontId="76" fillId="15" borderId="80" xfId="8" applyFont="1" applyFill="1" applyBorder="1"/>
    <xf numFmtId="2" fontId="76" fillId="15" borderId="81" xfId="8" applyNumberFormat="1" applyFont="1" applyFill="1" applyBorder="1"/>
    <xf numFmtId="2" fontId="76" fillId="15" borderId="79" xfId="8" applyNumberFormat="1" applyFont="1" applyFill="1" applyBorder="1"/>
    <xf numFmtId="2" fontId="76" fillId="15" borderId="0" xfId="8" applyNumberFormat="1" applyFont="1" applyFill="1" applyBorder="1"/>
    <xf numFmtId="0" fontId="77" fillId="14" borderId="80" xfId="8" applyFont="1" applyFill="1" applyBorder="1"/>
    <xf numFmtId="166" fontId="48" fillId="0" borderId="0" xfId="8" applyNumberFormat="1"/>
    <xf numFmtId="0" fontId="76" fillId="15" borderId="84" xfId="8" applyFont="1" applyFill="1" applyBorder="1"/>
    <xf numFmtId="2" fontId="76" fillId="15" borderId="85" xfId="8" applyNumberFormat="1" applyFont="1" applyFill="1" applyBorder="1"/>
    <xf numFmtId="175" fontId="76" fillId="15" borderId="85" xfId="15" applyNumberFormat="1" applyFont="1" applyFill="1" applyBorder="1"/>
    <xf numFmtId="2" fontId="76" fillId="15" borderId="86" xfId="8" applyNumberFormat="1" applyFont="1" applyFill="1" applyBorder="1"/>
    <xf numFmtId="0" fontId="78" fillId="0" borderId="87" xfId="8" applyFont="1" applyBorder="1" applyAlignment="1">
      <alignment horizontal="left"/>
    </xf>
    <xf numFmtId="0" fontId="71" fillId="0" borderId="87" xfId="8" applyFont="1" applyBorder="1" applyAlignment="1">
      <alignment horizontal="left"/>
    </xf>
    <xf numFmtId="2" fontId="71" fillId="0" borderId="87" xfId="8" applyNumberFormat="1" applyFont="1" applyBorder="1" applyAlignment="1">
      <alignment horizontal="right"/>
    </xf>
    <xf numFmtId="166" fontId="71" fillId="0" borderId="87" xfId="8" applyNumberFormat="1" applyFont="1" applyBorder="1" applyAlignment="1">
      <alignment horizontal="right"/>
    </xf>
    <xf numFmtId="2" fontId="71" fillId="0" borderId="0" xfId="8" applyNumberFormat="1" applyFont="1" applyBorder="1" applyAlignment="1">
      <alignment horizontal="right"/>
    </xf>
    <xf numFmtId="0" fontId="71" fillId="0" borderId="0" xfId="8" applyFont="1" applyFill="1" applyBorder="1" applyAlignment="1"/>
    <xf numFmtId="0" fontId="71" fillId="0" borderId="0" xfId="8" applyFont="1" applyFill="1" applyBorder="1" applyAlignment="1">
      <alignment horizontal="right"/>
    </xf>
    <xf numFmtId="0" fontId="79" fillId="0" borderId="0" xfId="8" applyFont="1" applyFill="1" applyAlignment="1"/>
    <xf numFmtId="2" fontId="79" fillId="0" borderId="0" xfId="8" applyNumberFormat="1" applyFont="1" applyFill="1" applyAlignment="1"/>
    <xf numFmtId="0" fontId="79" fillId="0" borderId="0" xfId="8" applyFont="1" applyFill="1" applyAlignment="1">
      <alignment vertical="center"/>
    </xf>
    <xf numFmtId="2" fontId="79" fillId="0" borderId="0" xfId="8" applyNumberFormat="1" applyFont="1" applyFill="1" applyAlignment="1">
      <alignment vertical="center"/>
    </xf>
    <xf numFmtId="2" fontId="71" fillId="3" borderId="96" xfId="8" applyNumberFormat="1" applyFont="1" applyFill="1" applyBorder="1" applyAlignment="1">
      <alignment horizontal="right" vertical="center"/>
    </xf>
    <xf numFmtId="2" fontId="71" fillId="3" borderId="99" xfId="8" applyNumberFormat="1" applyFont="1" applyFill="1" applyBorder="1" applyAlignment="1">
      <alignment horizontal="right" vertical="center"/>
    </xf>
    <xf numFmtId="0" fontId="79" fillId="0" borderId="0" xfId="8" applyFont="1" applyFill="1" applyBorder="1" applyAlignment="1">
      <alignment vertical="center"/>
    </xf>
    <xf numFmtId="0" fontId="79" fillId="0" borderId="0" xfId="8" applyFont="1" applyFill="1" applyBorder="1" applyAlignment="1">
      <alignment horizontal="right" vertical="center"/>
    </xf>
    <xf numFmtId="0" fontId="71" fillId="0" borderId="0" xfId="8" applyFont="1" applyFill="1" applyBorder="1" applyAlignment="1">
      <alignment horizontal="right" vertical="center"/>
    </xf>
    <xf numFmtId="0" fontId="71" fillId="25" borderId="100" xfId="8" applyFont="1" applyFill="1" applyBorder="1" applyAlignment="1">
      <alignment horizontal="center" vertical="center"/>
    </xf>
    <xf numFmtId="0" fontId="71" fillId="0" borderId="0" xfId="8" applyFont="1" applyFill="1" applyAlignment="1">
      <alignment vertical="justify"/>
    </xf>
    <xf numFmtId="0" fontId="80" fillId="0" borderId="0" xfId="8" applyFont="1"/>
    <xf numFmtId="0" fontId="71" fillId="0" borderId="0" xfId="8" applyFont="1" applyFill="1" applyAlignment="1">
      <alignment vertical="center"/>
    </xf>
    <xf numFmtId="0" fontId="79" fillId="0" borderId="0" xfId="8" applyFont="1" applyFill="1" applyAlignment="1">
      <alignment horizontal="left" vertical="center" wrapText="1"/>
    </xf>
    <xf numFmtId="0" fontId="71" fillId="25" borderId="102" xfId="8" applyFont="1" applyFill="1" applyBorder="1" applyAlignment="1">
      <alignment horizontal="center" vertical="center"/>
    </xf>
    <xf numFmtId="0" fontId="71" fillId="25" borderId="100" xfId="8" quotePrefix="1" applyFont="1" applyFill="1" applyBorder="1" applyAlignment="1">
      <alignment horizontal="center" vertical="center"/>
    </xf>
    <xf numFmtId="0" fontId="81" fillId="0" borderId="0" xfId="8" applyFont="1" applyFill="1" applyBorder="1" applyAlignment="1">
      <alignment vertical="justify"/>
    </xf>
    <xf numFmtId="0" fontId="82" fillId="0" borderId="0" xfId="8" applyFont="1" applyAlignment="1"/>
    <xf numFmtId="0" fontId="81" fillId="0" borderId="0" xfId="8" applyFont="1" applyFill="1" applyBorder="1" applyAlignment="1">
      <alignment horizontal="left" vertical="justify"/>
    </xf>
    <xf numFmtId="0" fontId="48" fillId="0" borderId="0" xfId="8" applyAlignment="1">
      <alignment horizontal="right"/>
    </xf>
    <xf numFmtId="0" fontId="83" fillId="0" borderId="0" xfId="8" applyFont="1"/>
    <xf numFmtId="0" fontId="82" fillId="0" borderId="0" xfId="8" applyFont="1" applyAlignment="1">
      <alignment wrapText="1"/>
    </xf>
    <xf numFmtId="0" fontId="82" fillId="0" borderId="0" xfId="8" applyFont="1" applyAlignment="1">
      <alignment horizontal="left" wrapText="1"/>
    </xf>
    <xf numFmtId="0" fontId="82" fillId="0" borderId="0" xfId="8" applyFont="1" applyAlignment="1">
      <alignment horizontal="right" vertical="top"/>
    </xf>
    <xf numFmtId="0" fontId="82" fillId="0" borderId="0" xfId="8" applyFont="1"/>
    <xf numFmtId="0" fontId="79" fillId="0" borderId="0" xfId="8" applyFont="1" applyBorder="1" applyAlignment="1">
      <alignment vertical="center"/>
    </xf>
    <xf numFmtId="2" fontId="79" fillId="0" borderId="0" xfId="8" applyNumberFormat="1" applyFont="1" applyBorder="1" applyAlignment="1">
      <alignment vertical="center"/>
    </xf>
    <xf numFmtId="0" fontId="87" fillId="0" borderId="0" xfId="8" applyFont="1" applyBorder="1" applyAlignment="1">
      <alignment vertical="center"/>
    </xf>
    <xf numFmtId="0" fontId="88" fillId="0" borderId="0" xfId="8" applyFont="1" applyBorder="1" applyAlignment="1">
      <alignment vertical="center"/>
    </xf>
    <xf numFmtId="0" fontId="87" fillId="0" borderId="0" xfId="8" applyFont="1" applyBorder="1" applyAlignment="1">
      <alignment horizontal="right" vertical="center"/>
    </xf>
    <xf numFmtId="0" fontId="48" fillId="0" borderId="0" xfId="8" applyAlignment="1">
      <alignment horizontal="center"/>
    </xf>
    <xf numFmtId="2" fontId="77" fillId="27" borderId="81" xfId="8" applyNumberFormat="1" applyFont="1" applyFill="1" applyBorder="1"/>
    <xf numFmtId="2" fontId="77" fillId="27" borderId="79" xfId="8" applyNumberFormat="1" applyFont="1" applyFill="1" applyBorder="1"/>
    <xf numFmtId="2" fontId="77" fillId="27" borderId="0" xfId="8" applyNumberFormat="1" applyFont="1" applyFill="1" applyBorder="1"/>
    <xf numFmtId="0" fontId="71" fillId="0" borderId="0" xfId="8" applyFont="1" applyBorder="1" applyAlignment="1">
      <alignment vertical="center"/>
    </xf>
    <xf numFmtId="0" fontId="71" fillId="0" borderId="0" xfId="8" applyFont="1" applyBorder="1" applyAlignment="1">
      <alignment horizontal="left" vertical="center"/>
    </xf>
    <xf numFmtId="2" fontId="71" fillId="0" borderId="0" xfId="8" applyNumberFormat="1" applyFont="1" applyBorder="1" applyAlignment="1">
      <alignment horizontal="right" vertical="center"/>
    </xf>
    <xf numFmtId="0" fontId="79" fillId="0" borderId="0" xfId="8" applyFont="1" applyBorder="1" applyAlignment="1">
      <alignment horizontal="center" vertical="center"/>
    </xf>
    <xf numFmtId="2" fontId="79" fillId="0" borderId="0" xfId="8" applyNumberFormat="1" applyFont="1" applyBorder="1" applyAlignment="1">
      <alignment horizontal="right" vertical="center"/>
    </xf>
    <xf numFmtId="0" fontId="89" fillId="0" borderId="0" xfId="8" applyFont="1" applyBorder="1" applyAlignment="1">
      <alignment vertical="center"/>
    </xf>
    <xf numFmtId="0" fontId="90" fillId="0" borderId="0" xfId="8" applyFont="1" applyBorder="1" applyAlignment="1">
      <alignment vertical="center"/>
    </xf>
    <xf numFmtId="2" fontId="79" fillId="0" borderId="0" xfId="8" applyNumberFormat="1" applyFont="1" applyFill="1" applyBorder="1" applyAlignment="1">
      <alignment horizontal="right" vertical="center" indent="1"/>
    </xf>
    <xf numFmtId="2" fontId="67" fillId="0" borderId="0" xfId="8" applyNumberFormat="1" applyFont="1" applyFill="1" applyBorder="1" applyAlignment="1">
      <alignment vertical="center"/>
    </xf>
    <xf numFmtId="2" fontId="71" fillId="0" borderId="0" xfId="8" applyNumberFormat="1" applyFont="1" applyFill="1" applyBorder="1" applyAlignment="1">
      <alignment horizontal="right" vertical="center" indent="1"/>
    </xf>
    <xf numFmtId="0" fontId="91" fillId="0" borderId="0" xfId="8" applyFont="1"/>
    <xf numFmtId="2" fontId="91" fillId="0" borderId="0" xfId="8" applyNumberFormat="1" applyFont="1"/>
    <xf numFmtId="0" fontId="92" fillId="0" borderId="0" xfId="8" applyFont="1"/>
    <xf numFmtId="0" fontId="48" fillId="0" borderId="0" xfId="8" applyBorder="1"/>
    <xf numFmtId="0" fontId="71" fillId="0" borderId="0" xfId="8" applyFont="1" applyBorder="1" applyAlignment="1">
      <alignment horizontal="center" vertical="center" wrapText="1"/>
    </xf>
    <xf numFmtId="2" fontId="48" fillId="0" borderId="0" xfId="8" applyNumberFormat="1" applyBorder="1"/>
    <xf numFmtId="0" fontId="89" fillId="0" borderId="0" xfId="8" applyFont="1" applyBorder="1" applyAlignment="1">
      <alignment vertical="center" wrapText="1"/>
    </xf>
    <xf numFmtId="0" fontId="89" fillId="0" borderId="0" xfId="8" applyFont="1" applyBorder="1" applyAlignment="1">
      <alignment horizontal="center" vertical="center"/>
    </xf>
    <xf numFmtId="169" fontId="48" fillId="0" borderId="0" xfId="8" applyNumberFormat="1"/>
    <xf numFmtId="0" fontId="76" fillId="15" borderId="104" xfId="8" applyFont="1" applyFill="1" applyBorder="1"/>
    <xf numFmtId="2" fontId="76" fillId="15" borderId="72" xfId="8" applyNumberFormat="1" applyFont="1" applyFill="1" applyBorder="1"/>
    <xf numFmtId="2" fontId="76" fillId="15" borderId="105" xfId="8" applyNumberFormat="1" applyFont="1" applyFill="1" applyBorder="1"/>
    <xf numFmtId="2" fontId="77" fillId="14" borderId="77" xfId="8" applyNumberFormat="1" applyFont="1" applyFill="1" applyBorder="1"/>
    <xf numFmtId="0" fontId="79" fillId="0" borderId="0" xfId="8" applyFont="1" applyAlignment="1">
      <alignment vertical="center"/>
    </xf>
    <xf numFmtId="2" fontId="79" fillId="0" borderId="0" xfId="8" applyNumberFormat="1" applyFont="1" applyAlignment="1">
      <alignment vertical="center"/>
    </xf>
    <xf numFmtId="0" fontId="93" fillId="0" borderId="0" xfId="0" applyFont="1" applyAlignment="1">
      <alignment horizontal="left" vertical="center" readingOrder="1"/>
    </xf>
    <xf numFmtId="2" fontId="75" fillId="0" borderId="0" xfId="8" applyNumberFormat="1" applyFont="1"/>
    <xf numFmtId="1" fontId="75" fillId="0" borderId="0" xfId="1" applyNumberFormat="1" applyFont="1" applyAlignment="1">
      <alignment horizontal="right"/>
    </xf>
    <xf numFmtId="1" fontId="48" fillId="0" borderId="0" xfId="1" applyNumberFormat="1" applyFont="1" applyAlignment="1">
      <alignment horizontal="right"/>
    </xf>
    <xf numFmtId="176" fontId="75" fillId="0" borderId="0" xfId="1" applyNumberFormat="1" applyFont="1" applyAlignment="1">
      <alignment horizontal="right"/>
    </xf>
    <xf numFmtId="1" fontId="94" fillId="0" borderId="0" xfId="1" applyNumberFormat="1" applyFont="1" applyAlignment="1">
      <alignment horizontal="right"/>
    </xf>
    <xf numFmtId="1" fontId="48" fillId="0" borderId="0" xfId="8" applyNumberFormat="1"/>
    <xf numFmtId="173" fontId="48" fillId="0" borderId="0" xfId="2" applyNumberFormat="1" applyFont="1"/>
    <xf numFmtId="1" fontId="75" fillId="0" borderId="0" xfId="1" applyNumberFormat="1" applyFont="1" applyAlignment="1">
      <alignment horizontal="left"/>
    </xf>
    <xf numFmtId="177" fontId="0" fillId="0" borderId="0" xfId="0" applyNumberFormat="1"/>
    <xf numFmtId="178" fontId="0" fillId="0" borderId="0" xfId="0" applyNumberFormat="1"/>
    <xf numFmtId="177" fontId="65" fillId="17" borderId="0" xfId="0" applyNumberFormat="1" applyFont="1" applyFill="1" applyBorder="1"/>
    <xf numFmtId="0" fontId="70" fillId="0" borderId="0" xfId="0" applyFont="1" applyAlignment="1">
      <alignment wrapText="1"/>
    </xf>
    <xf numFmtId="0" fontId="95" fillId="0" borderId="0" xfId="16">
      <alignment vertical="top" wrapText="1"/>
    </xf>
    <xf numFmtId="2" fontId="95" fillId="0" borderId="0" xfId="16" applyNumberFormat="1">
      <alignment vertical="top" wrapText="1"/>
    </xf>
    <xf numFmtId="0" fontId="95" fillId="0" borderId="0" xfId="16" applyBorder="1">
      <alignment vertical="top" wrapText="1"/>
    </xf>
    <xf numFmtId="2" fontId="95" fillId="0" borderId="0" xfId="16" applyNumberFormat="1" applyAlignment="1">
      <alignment horizontal="center" vertical="top" wrapText="1"/>
    </xf>
    <xf numFmtId="0" fontId="95" fillId="0" borderId="0" xfId="16" applyAlignment="1">
      <alignment horizontal="center" vertical="top" wrapText="1"/>
    </xf>
    <xf numFmtId="0" fontId="98" fillId="18" borderId="34" xfId="16" applyFont="1" applyFill="1" applyBorder="1" applyAlignment="1">
      <alignment vertical="top" wrapText="1"/>
    </xf>
    <xf numFmtId="2" fontId="98" fillId="18" borderId="33" xfId="16" applyNumberFormat="1" applyFont="1" applyFill="1" applyBorder="1" applyAlignment="1">
      <alignment vertical="top" wrapText="1"/>
    </xf>
    <xf numFmtId="0" fontId="98" fillId="18" borderId="106" xfId="16" applyFont="1" applyFill="1" applyBorder="1" applyAlignment="1">
      <alignment vertical="top" wrapText="1"/>
    </xf>
    <xf numFmtId="0" fontId="98" fillId="18" borderId="33" xfId="16" applyFont="1" applyFill="1" applyBorder="1" applyAlignment="1">
      <alignment vertical="top" wrapText="1"/>
    </xf>
    <xf numFmtId="2" fontId="98" fillId="18" borderId="53" xfId="16" applyNumberFormat="1" applyFont="1" applyFill="1" applyBorder="1" applyAlignment="1">
      <alignment horizontal="center" vertical="top" wrapText="1"/>
    </xf>
    <xf numFmtId="0" fontId="98" fillId="18" borderId="53" xfId="16" applyFont="1" applyFill="1" applyBorder="1" applyAlignment="1">
      <alignment horizontal="center" vertical="top" wrapText="1"/>
    </xf>
    <xf numFmtId="0" fontId="95" fillId="15" borderId="43" xfId="16" applyFont="1" applyFill="1" applyBorder="1" applyAlignment="1"/>
    <xf numFmtId="179" fontId="99" fillId="18" borderId="34" xfId="16" applyNumberFormat="1" applyFont="1" applyFill="1" applyBorder="1" applyAlignment="1">
      <alignment vertical="top" wrapText="1"/>
    </xf>
    <xf numFmtId="2" fontId="99" fillId="18" borderId="33" xfId="16" applyNumberFormat="1" applyFont="1" applyFill="1" applyBorder="1" applyAlignment="1">
      <alignment vertical="top" wrapText="1"/>
    </xf>
    <xf numFmtId="179" fontId="99" fillId="18" borderId="106" xfId="16" applyNumberFormat="1" applyFont="1" applyFill="1" applyBorder="1" applyAlignment="1">
      <alignment vertical="top" wrapText="1"/>
    </xf>
    <xf numFmtId="179" fontId="99" fillId="18" borderId="33" xfId="16" applyNumberFormat="1" applyFont="1" applyFill="1" applyBorder="1" applyAlignment="1">
      <alignment vertical="top" wrapText="1"/>
    </xf>
    <xf numFmtId="0" fontId="95" fillId="0" borderId="43" xfId="16" applyFont="1" applyBorder="1" applyAlignment="1"/>
    <xf numFmtId="179" fontId="100" fillId="18" borderId="34" xfId="16" applyNumberFormat="1" applyFont="1" applyFill="1" applyBorder="1" applyAlignment="1">
      <alignment horizontal="left" vertical="top" wrapText="1"/>
    </xf>
    <xf numFmtId="179" fontId="99" fillId="18" borderId="107" xfId="16" applyNumberFormat="1" applyFont="1" applyFill="1" applyBorder="1" applyAlignment="1">
      <alignment horizontal="left" vertical="top" wrapText="1"/>
    </xf>
    <xf numFmtId="2" fontId="99" fillId="18" borderId="33" xfId="16" applyNumberFormat="1" applyFont="1" applyFill="1" applyBorder="1" applyAlignment="1">
      <alignment horizontal="left" vertical="top" wrapText="1"/>
    </xf>
    <xf numFmtId="179" fontId="99" fillId="18" borderId="106" xfId="16" applyNumberFormat="1" applyFont="1" applyFill="1" applyBorder="1" applyAlignment="1">
      <alignment horizontal="left" vertical="top" wrapText="1"/>
    </xf>
    <xf numFmtId="179" fontId="99" fillId="18" borderId="34" xfId="16" applyNumberFormat="1" applyFont="1" applyFill="1" applyBorder="1" applyAlignment="1">
      <alignment horizontal="left" vertical="top" wrapText="1"/>
    </xf>
    <xf numFmtId="179" fontId="99" fillId="18" borderId="33" xfId="16" applyNumberFormat="1" applyFont="1" applyFill="1" applyBorder="1" applyAlignment="1">
      <alignment horizontal="left" vertical="top" wrapText="1"/>
    </xf>
    <xf numFmtId="179" fontId="101" fillId="18" borderId="34" xfId="16" applyNumberFormat="1" applyFont="1" applyFill="1" applyBorder="1" applyAlignment="1">
      <alignment horizontal="left" vertical="top" wrapText="1"/>
    </xf>
    <xf numFmtId="179" fontId="102" fillId="18" borderId="107" xfId="16" applyNumberFormat="1" applyFont="1" applyFill="1" applyBorder="1" applyAlignment="1">
      <alignment horizontal="left" vertical="top" wrapText="1"/>
    </xf>
    <xf numFmtId="2" fontId="102" fillId="18" borderId="33" xfId="16" applyNumberFormat="1" applyFont="1" applyFill="1" applyBorder="1" applyAlignment="1">
      <alignment horizontal="left" vertical="top" wrapText="1"/>
    </xf>
    <xf numFmtId="179" fontId="101" fillId="18" borderId="106" xfId="16" applyNumberFormat="1" applyFont="1" applyFill="1" applyBorder="1" applyAlignment="1">
      <alignment horizontal="left" vertical="top" wrapText="1"/>
    </xf>
    <xf numFmtId="179" fontId="102" fillId="18" borderId="34" xfId="16" applyNumberFormat="1" applyFont="1" applyFill="1" applyBorder="1" applyAlignment="1">
      <alignment horizontal="left" vertical="top" wrapText="1"/>
    </xf>
    <xf numFmtId="180" fontId="102" fillId="18" borderId="34" xfId="16" applyNumberFormat="1" applyFont="1" applyFill="1" applyBorder="1" applyAlignment="1">
      <alignment horizontal="left" vertical="top" wrapText="1"/>
    </xf>
    <xf numFmtId="180" fontId="102" fillId="18" borderId="33" xfId="16" applyNumberFormat="1" applyFont="1" applyFill="1" applyBorder="1" applyAlignment="1">
      <alignment horizontal="left" vertical="top" wrapText="1"/>
    </xf>
    <xf numFmtId="180" fontId="102" fillId="18" borderId="106" xfId="16" applyNumberFormat="1" applyFont="1" applyFill="1" applyBorder="1" applyAlignment="1">
      <alignment horizontal="left" vertical="top" wrapText="1"/>
    </xf>
    <xf numFmtId="180" fontId="101" fillId="18" borderId="34" xfId="16" applyNumberFormat="1" applyFont="1" applyFill="1" applyBorder="1" applyAlignment="1">
      <alignment horizontal="left" vertical="top" wrapText="1"/>
    </xf>
    <xf numFmtId="179" fontId="101" fillId="18" borderId="33" xfId="16" applyNumberFormat="1" applyFont="1" applyFill="1" applyBorder="1" applyAlignment="1">
      <alignment horizontal="left" vertical="top" wrapText="1"/>
    </xf>
    <xf numFmtId="181" fontId="102" fillId="18" borderId="106" xfId="16" applyNumberFormat="1" applyFont="1" applyFill="1" applyBorder="1" applyAlignment="1">
      <alignment horizontal="left" vertical="top" wrapText="1"/>
    </xf>
    <xf numFmtId="181" fontId="101" fillId="18" borderId="34" xfId="16" applyNumberFormat="1" applyFont="1" applyFill="1" applyBorder="1" applyAlignment="1">
      <alignment horizontal="left" vertical="top" wrapText="1"/>
    </xf>
    <xf numFmtId="179" fontId="102" fillId="18" borderId="106" xfId="16" applyNumberFormat="1" applyFont="1" applyFill="1" applyBorder="1" applyAlignment="1">
      <alignment horizontal="left" vertical="top" wrapText="1"/>
    </xf>
    <xf numFmtId="179" fontId="102" fillId="18" borderId="33" xfId="16" applyNumberFormat="1" applyFont="1" applyFill="1" applyBorder="1" applyAlignment="1">
      <alignment horizontal="left" vertical="top" wrapText="1"/>
    </xf>
    <xf numFmtId="2" fontId="102" fillId="18" borderId="33" xfId="16" applyNumberFormat="1" applyFont="1" applyFill="1" applyBorder="1" applyAlignment="1">
      <alignment vertical="top" wrapText="1"/>
    </xf>
    <xf numFmtId="179" fontId="103" fillId="18" borderId="34" xfId="16" applyNumberFormat="1" applyFont="1" applyFill="1" applyBorder="1" applyAlignment="1">
      <alignment horizontal="left" vertical="top" wrapText="1"/>
    </xf>
    <xf numFmtId="180" fontId="101" fillId="18" borderId="106" xfId="16" applyNumberFormat="1" applyFont="1" applyFill="1" applyBorder="1" applyAlignment="1">
      <alignment horizontal="left" vertical="top" wrapText="1"/>
    </xf>
    <xf numFmtId="181" fontId="102" fillId="18" borderId="34" xfId="16" applyNumberFormat="1" applyFont="1" applyFill="1" applyBorder="1" applyAlignment="1">
      <alignment horizontal="left" vertical="top" wrapText="1"/>
    </xf>
    <xf numFmtId="182" fontId="102" fillId="18" borderId="34" xfId="16" applyNumberFormat="1" applyFont="1" applyFill="1" applyBorder="1" applyAlignment="1">
      <alignment horizontal="left" vertical="top" wrapText="1"/>
    </xf>
    <xf numFmtId="181" fontId="101" fillId="18" borderId="106" xfId="16" applyNumberFormat="1" applyFont="1" applyFill="1" applyBorder="1" applyAlignment="1">
      <alignment horizontal="left" vertical="top" wrapText="1"/>
    </xf>
    <xf numFmtId="181" fontId="100" fillId="18" borderId="34" xfId="16" applyNumberFormat="1" applyFont="1" applyFill="1" applyBorder="1" applyAlignment="1">
      <alignment horizontal="left" vertical="top" wrapText="1"/>
    </xf>
    <xf numFmtId="179" fontId="101" fillId="18" borderId="34" xfId="16" applyNumberFormat="1" applyFont="1" applyFill="1" applyBorder="1" applyAlignment="1">
      <alignment vertical="top" wrapText="1"/>
    </xf>
    <xf numFmtId="179" fontId="102" fillId="18" borderId="34" xfId="16" applyNumberFormat="1" applyFont="1" applyFill="1" applyBorder="1" applyAlignment="1">
      <alignment vertical="top" wrapText="1"/>
    </xf>
    <xf numFmtId="179" fontId="101" fillId="18" borderId="106" xfId="16" applyNumberFormat="1" applyFont="1" applyFill="1" applyBorder="1" applyAlignment="1">
      <alignment vertical="top" wrapText="1"/>
    </xf>
    <xf numFmtId="180" fontId="102" fillId="18" borderId="34" xfId="16" applyNumberFormat="1" applyFont="1" applyFill="1" applyBorder="1" applyAlignment="1">
      <alignment vertical="top" wrapText="1"/>
    </xf>
    <xf numFmtId="180" fontId="101" fillId="18" borderId="34" xfId="16" applyNumberFormat="1" applyFont="1" applyFill="1" applyBorder="1" applyAlignment="1">
      <alignment vertical="top" wrapText="1"/>
    </xf>
    <xf numFmtId="181" fontId="102" fillId="18" borderId="34" xfId="16" applyNumberFormat="1" applyFont="1" applyFill="1" applyBorder="1" applyAlignment="1">
      <alignment vertical="top" wrapText="1"/>
    </xf>
    <xf numFmtId="181" fontId="101" fillId="18" borderId="34" xfId="16" applyNumberFormat="1" applyFont="1" applyFill="1" applyBorder="1" applyAlignment="1">
      <alignment vertical="top" wrapText="1"/>
    </xf>
    <xf numFmtId="183" fontId="101" fillId="18" borderId="106" xfId="16" applyNumberFormat="1" applyFont="1" applyFill="1" applyBorder="1" applyAlignment="1">
      <alignment horizontal="left" vertical="top" wrapText="1"/>
    </xf>
    <xf numFmtId="183" fontId="101" fillId="18" borderId="34" xfId="16" applyNumberFormat="1" applyFont="1" applyFill="1" applyBorder="1" applyAlignment="1">
      <alignment horizontal="left" vertical="top" wrapText="1"/>
    </xf>
    <xf numFmtId="183" fontId="102" fillId="18" borderId="34" xfId="16" applyNumberFormat="1" applyFont="1" applyFill="1" applyBorder="1" applyAlignment="1">
      <alignment horizontal="left" vertical="top" wrapText="1"/>
    </xf>
    <xf numFmtId="180" fontId="103" fillId="18" borderId="34" xfId="16" applyNumberFormat="1" applyFont="1" applyFill="1" applyBorder="1" applyAlignment="1">
      <alignment horizontal="left" vertical="top" wrapText="1"/>
    </xf>
    <xf numFmtId="179" fontId="102" fillId="20" borderId="34" xfId="16" applyNumberFormat="1" applyFont="1" applyFill="1" applyBorder="1" applyAlignment="1">
      <alignment horizontal="left" vertical="top" wrapText="1"/>
    </xf>
    <xf numFmtId="2" fontId="102" fillId="20" borderId="33" xfId="16" applyNumberFormat="1" applyFont="1" applyFill="1" applyBorder="1" applyAlignment="1">
      <alignment horizontal="left" vertical="top" wrapText="1"/>
    </xf>
    <xf numFmtId="179" fontId="101" fillId="20" borderId="106" xfId="16" applyNumberFormat="1" applyFont="1" applyFill="1" applyBorder="1" applyAlignment="1">
      <alignment horizontal="left" vertical="top" wrapText="1"/>
    </xf>
    <xf numFmtId="179" fontId="101" fillId="20" borderId="34" xfId="16" applyNumberFormat="1" applyFont="1" applyFill="1" applyBorder="1" applyAlignment="1">
      <alignment horizontal="left" vertical="top" wrapText="1"/>
    </xf>
    <xf numFmtId="180" fontId="102" fillId="20" borderId="34" xfId="16" applyNumberFormat="1" applyFont="1" applyFill="1" applyBorder="1" applyAlignment="1">
      <alignment horizontal="left" vertical="top" wrapText="1"/>
    </xf>
    <xf numFmtId="2" fontId="95" fillId="20" borderId="0" xfId="16" applyNumberFormat="1" applyFill="1" applyAlignment="1">
      <alignment horizontal="center" vertical="top" wrapText="1"/>
    </xf>
    <xf numFmtId="0" fontId="95" fillId="20" borderId="0" xfId="16" applyFill="1" applyAlignment="1">
      <alignment horizontal="center" vertical="top" wrapText="1"/>
    </xf>
    <xf numFmtId="0" fontId="95" fillId="20" borderId="0" xfId="16" applyFill="1">
      <alignment vertical="top" wrapText="1"/>
    </xf>
    <xf numFmtId="182" fontId="102" fillId="20" borderId="34" xfId="16" applyNumberFormat="1" applyFont="1" applyFill="1" applyBorder="1" applyAlignment="1">
      <alignment horizontal="left" vertical="top" wrapText="1"/>
    </xf>
    <xf numFmtId="181" fontId="102" fillId="20" borderId="34" xfId="16" applyNumberFormat="1" applyFont="1" applyFill="1" applyBorder="1" applyAlignment="1">
      <alignment horizontal="left" vertical="top" wrapText="1"/>
    </xf>
    <xf numFmtId="181" fontId="101" fillId="20" borderId="106" xfId="16" applyNumberFormat="1" applyFont="1" applyFill="1" applyBorder="1" applyAlignment="1">
      <alignment horizontal="left" vertical="top" wrapText="1"/>
    </xf>
    <xf numFmtId="181" fontId="100" fillId="20" borderId="34" xfId="16" applyNumberFormat="1" applyFont="1" applyFill="1" applyBorder="1" applyAlignment="1">
      <alignment horizontal="left" vertical="top" wrapText="1"/>
    </xf>
    <xf numFmtId="181" fontId="102" fillId="20" borderId="106" xfId="16" applyNumberFormat="1" applyFont="1" applyFill="1" applyBorder="1" applyAlignment="1">
      <alignment horizontal="left" vertical="top" wrapText="1"/>
    </xf>
    <xf numFmtId="181" fontId="101" fillId="20" borderId="34" xfId="16" applyNumberFormat="1" applyFont="1" applyFill="1" applyBorder="1" applyAlignment="1">
      <alignment horizontal="left" vertical="top" wrapText="1"/>
    </xf>
    <xf numFmtId="179" fontId="101" fillId="18" borderId="34" xfId="16" applyNumberFormat="1" applyFont="1" applyFill="1" applyBorder="1" applyAlignment="1">
      <alignment horizontal="left" wrapText="1"/>
    </xf>
    <xf numFmtId="179" fontId="102" fillId="18" borderId="34" xfId="16" applyNumberFormat="1" applyFont="1" applyFill="1" applyBorder="1" applyAlignment="1">
      <alignment horizontal="left" wrapText="1"/>
    </xf>
    <xf numFmtId="2" fontId="102" fillId="18" borderId="33" xfId="16" applyNumberFormat="1" applyFont="1" applyFill="1" applyBorder="1" applyAlignment="1">
      <alignment horizontal="left" wrapText="1"/>
    </xf>
    <xf numFmtId="179" fontId="101" fillId="18" borderId="106" xfId="16" applyNumberFormat="1" applyFont="1" applyFill="1" applyBorder="1" applyAlignment="1">
      <alignment horizontal="left" wrapText="1"/>
    </xf>
    <xf numFmtId="180" fontId="102" fillId="18" borderId="34" xfId="16" applyNumberFormat="1" applyFont="1" applyFill="1" applyBorder="1" applyAlignment="1">
      <alignment horizontal="left" wrapText="1"/>
    </xf>
    <xf numFmtId="180" fontId="101" fillId="20" borderId="34" xfId="16" applyNumberFormat="1" applyFont="1" applyFill="1" applyBorder="1" applyAlignment="1">
      <alignment horizontal="left" vertical="top" wrapText="1"/>
    </xf>
    <xf numFmtId="0" fontId="95" fillId="0" borderId="112" xfId="16" applyBorder="1">
      <alignment vertical="top" wrapText="1"/>
    </xf>
    <xf numFmtId="0" fontId="108" fillId="0" borderId="14" xfId="6" applyFont="1" applyBorder="1" applyAlignment="1">
      <alignment horizontal="left" vertical="top"/>
    </xf>
    <xf numFmtId="0" fontId="110" fillId="0" borderId="15" xfId="6" applyFont="1" applyBorder="1" applyAlignment="1">
      <alignment horizontal="center" vertical="top" wrapText="1"/>
    </xf>
    <xf numFmtId="0" fontId="110" fillId="0" borderId="16" xfId="6" applyFont="1" applyBorder="1" applyAlignment="1">
      <alignment horizontal="center" vertical="top" wrapText="1"/>
    </xf>
    <xf numFmtId="0" fontId="46" fillId="0" borderId="0" xfId="6" applyBorder="1"/>
    <xf numFmtId="0" fontId="111" fillId="0" borderId="2" xfId="6" applyFont="1" applyBorder="1" applyAlignment="1">
      <alignment horizontal="left" vertical="top"/>
    </xf>
    <xf numFmtId="0" fontId="109" fillId="0" borderId="53" xfId="6" applyFont="1" applyBorder="1" applyAlignment="1">
      <alignment horizontal="left" vertical="top"/>
    </xf>
    <xf numFmtId="0" fontId="109" fillId="0" borderId="3" xfId="6" applyFont="1" applyBorder="1" applyAlignment="1">
      <alignment horizontal="left" vertical="top"/>
    </xf>
    <xf numFmtId="0" fontId="112" fillId="0" borderId="53" xfId="6" applyFont="1" applyBorder="1" applyAlignment="1">
      <alignment horizontal="left" vertical="top"/>
    </xf>
    <xf numFmtId="0" fontId="112" fillId="0" borderId="5" xfId="6" applyFont="1" applyBorder="1" applyAlignment="1">
      <alignment vertical="top"/>
    </xf>
    <xf numFmtId="0" fontId="46" fillId="0" borderId="2" xfId="6" applyBorder="1" applyAlignment="1">
      <alignment horizontal="left" vertical="top"/>
    </xf>
    <xf numFmtId="0" fontId="113" fillId="0" borderId="53" xfId="6" applyFont="1" applyBorder="1" applyAlignment="1">
      <alignment horizontal="left" vertical="top"/>
    </xf>
    <xf numFmtId="0" fontId="46" fillId="0" borderId="53" xfId="6" applyBorder="1" applyAlignment="1">
      <alignment horizontal="left" vertical="top"/>
    </xf>
    <xf numFmtId="0" fontId="46" fillId="0" borderId="3" xfId="6" applyBorder="1" applyAlignment="1">
      <alignment horizontal="left" vertical="top"/>
    </xf>
    <xf numFmtId="0" fontId="115" fillId="0" borderId="5" xfId="6" applyFont="1" applyBorder="1" applyAlignment="1">
      <alignment vertical="top"/>
    </xf>
    <xf numFmtId="1" fontId="116" fillId="0" borderId="2" xfId="6" applyNumberFormat="1" applyFont="1" applyBorder="1" applyAlignment="1">
      <alignment horizontal="center" vertical="top"/>
    </xf>
    <xf numFmtId="0" fontId="117" fillId="0" borderId="53" xfId="6" applyFont="1" applyBorder="1" applyAlignment="1">
      <alignment horizontal="left" vertical="top"/>
    </xf>
    <xf numFmtId="0" fontId="117" fillId="0" borderId="3" xfId="6" applyFont="1" applyBorder="1" applyAlignment="1">
      <alignment horizontal="left" vertical="top"/>
    </xf>
    <xf numFmtId="0" fontId="117" fillId="0" borderId="5" xfId="6" applyFont="1" applyBorder="1" applyAlignment="1">
      <alignment vertical="top"/>
    </xf>
    <xf numFmtId="0" fontId="75" fillId="0" borderId="0" xfId="6" applyFont="1" applyBorder="1" applyAlignment="1">
      <alignment wrapText="1"/>
    </xf>
    <xf numFmtId="0" fontId="109" fillId="0" borderId="5" xfId="6" applyFont="1" applyBorder="1" applyAlignment="1">
      <alignment vertical="top" wrapText="1"/>
    </xf>
    <xf numFmtId="0" fontId="111" fillId="0" borderId="2" xfId="6" applyFont="1" applyBorder="1" applyAlignment="1">
      <alignment horizontal="left" vertical="top" wrapText="1"/>
    </xf>
    <xf numFmtId="0" fontId="109" fillId="0" borderId="53" xfId="6" applyFont="1" applyBorder="1" applyAlignment="1">
      <alignment horizontal="left" vertical="top" wrapText="1"/>
    </xf>
    <xf numFmtId="0" fontId="109" fillId="0" borderId="53" xfId="6" applyFont="1" applyBorder="1" applyAlignment="1">
      <alignment horizontal="center" vertical="top" wrapText="1"/>
    </xf>
    <xf numFmtId="0" fontId="109" fillId="0" borderId="3" xfId="6" applyFont="1" applyBorder="1" applyAlignment="1">
      <alignment horizontal="left" vertical="top" wrapText="1"/>
    </xf>
    <xf numFmtId="43" fontId="16" fillId="0" borderId="0" xfId="0" applyNumberFormat="1" applyFont="1"/>
    <xf numFmtId="0" fontId="2" fillId="0" borderId="0" xfId="0" applyFont="1" applyAlignment="1">
      <alignment horizontal="center" vertical="center"/>
    </xf>
    <xf numFmtId="1" fontId="0" fillId="0" borderId="0" xfId="0" applyNumberFormat="1" applyFill="1"/>
    <xf numFmtId="0" fontId="16" fillId="15" borderId="43" xfId="0" applyFont="1" applyFill="1" applyBorder="1"/>
    <xf numFmtId="0" fontId="16" fillId="0" borderId="43" xfId="0" applyFont="1" applyBorder="1"/>
    <xf numFmtId="9" fontId="0" fillId="0" borderId="0" xfId="2" applyFont="1" applyAlignment="1">
      <alignment wrapText="1"/>
    </xf>
    <xf numFmtId="10" fontId="16" fillId="0" borderId="0" xfId="2" applyNumberFormat="1" applyFont="1"/>
    <xf numFmtId="0" fontId="17" fillId="0" borderId="0" xfId="0" applyFont="1" applyAlignment="1">
      <alignment wrapText="1"/>
    </xf>
    <xf numFmtId="0" fontId="2" fillId="0" borderId="53" xfId="0" applyFont="1" applyBorder="1"/>
    <xf numFmtId="173" fontId="0" fillId="0" borderId="53" xfId="2" applyNumberFormat="1" applyFont="1" applyBorder="1"/>
    <xf numFmtId="0" fontId="0" fillId="0" borderId="0" xfId="0" applyAlignment="1">
      <alignment wrapText="1"/>
    </xf>
    <xf numFmtId="0" fontId="67" fillId="0" borderId="0" xfId="0" applyFont="1" applyAlignment="1">
      <alignment wrapText="1"/>
    </xf>
    <xf numFmtId="0" fontId="0" fillId="0" borderId="0" xfId="0" applyAlignment="1">
      <alignment horizontal="left" vertical="top" wrapText="1"/>
    </xf>
    <xf numFmtId="0" fontId="44" fillId="7" borderId="49"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18" borderId="49" xfId="0" applyFont="1" applyFill="1" applyBorder="1" applyAlignment="1">
      <alignment horizontal="center" vertical="center" wrapText="1"/>
    </xf>
    <xf numFmtId="0" fontId="44" fillId="18" borderId="50" xfId="0" applyFont="1" applyFill="1" applyBorder="1" applyAlignment="1">
      <alignment horizontal="center" vertical="center" wrapText="1"/>
    </xf>
    <xf numFmtId="165" fontId="15" fillId="0" borderId="0" xfId="1" applyNumberFormat="1" applyFont="1" applyBorder="1" applyAlignment="1">
      <alignment horizontal="center" vertical="center" wrapText="1"/>
    </xf>
    <xf numFmtId="164" fontId="15" fillId="0" borderId="0" xfId="1" applyFont="1" applyBorder="1" applyAlignment="1">
      <alignment horizontal="center" wrapText="1"/>
    </xf>
    <xf numFmtId="0" fontId="5" fillId="0" borderId="0" xfId="0" applyFont="1" applyBorder="1" applyAlignment="1">
      <alignment horizontal="center"/>
    </xf>
    <xf numFmtId="170" fontId="52" fillId="0" borderId="53" xfId="8" applyNumberFormat="1" applyFont="1" applyBorder="1" applyAlignment="1">
      <alignment horizontal="left" vertical="top" indent="1" shrinkToFit="1"/>
    </xf>
    <xf numFmtId="0" fontId="55" fillId="0" borderId="53" xfId="8" applyFont="1" applyBorder="1" applyAlignment="1">
      <alignment horizontal="left" vertical="top" wrapText="1"/>
    </xf>
    <xf numFmtId="2" fontId="52" fillId="0" borderId="53" xfId="8" applyNumberFormat="1" applyFont="1" applyBorder="1" applyAlignment="1">
      <alignment horizontal="left" vertical="top" indent="1" shrinkToFit="1"/>
    </xf>
    <xf numFmtId="0" fontId="55" fillId="0" borderId="53" xfId="8" applyFont="1" applyBorder="1" applyAlignment="1">
      <alignment horizontal="left" vertical="top" wrapText="1" indent="1"/>
    </xf>
    <xf numFmtId="0" fontId="53" fillId="0" borderId="53" xfId="8" applyFont="1" applyBorder="1" applyAlignment="1">
      <alignment horizontal="center" vertical="top" wrapText="1"/>
    </xf>
    <xf numFmtId="0" fontId="55" fillId="0" borderId="53" xfId="8" applyFont="1" applyBorder="1" applyAlignment="1">
      <alignment horizontal="left" vertical="center" wrapText="1" indent="3"/>
    </xf>
    <xf numFmtId="0" fontId="55" fillId="0" borderId="53" xfId="8" applyFont="1" applyBorder="1" applyAlignment="1">
      <alignment horizontal="left" vertical="center" wrapText="1" indent="1"/>
    </xf>
    <xf numFmtId="2" fontId="52" fillId="0" borderId="53" xfId="8" applyNumberFormat="1" applyFont="1" applyBorder="1" applyAlignment="1">
      <alignment horizontal="left" vertical="center" indent="1" shrinkToFit="1"/>
    </xf>
    <xf numFmtId="169" fontId="52" fillId="0" borderId="53" xfId="8" applyNumberFormat="1" applyFont="1" applyBorder="1" applyAlignment="1">
      <alignment horizontal="left" vertical="center" indent="3" shrinkToFit="1"/>
    </xf>
    <xf numFmtId="0" fontId="55" fillId="0" borderId="53" xfId="8" applyFont="1" applyBorder="1" applyAlignment="1">
      <alignment horizontal="center" vertical="top" wrapText="1"/>
    </xf>
    <xf numFmtId="0" fontId="55" fillId="0" borderId="53" xfId="8" applyFont="1" applyBorder="1" applyAlignment="1">
      <alignment horizontal="center" vertical="center" wrapText="1"/>
    </xf>
    <xf numFmtId="0" fontId="53" fillId="0" borderId="53" xfId="8" applyFont="1" applyBorder="1" applyAlignment="1">
      <alignment horizontal="left" vertical="top" wrapText="1" indent="1"/>
    </xf>
    <xf numFmtId="1" fontId="52" fillId="0" borderId="53" xfId="8" applyNumberFormat="1" applyFont="1" applyBorder="1" applyAlignment="1">
      <alignment horizontal="left" vertical="center" indent="3" shrinkToFit="1"/>
    </xf>
    <xf numFmtId="170" fontId="52" fillId="0" borderId="52" xfId="8" applyNumberFormat="1" applyFont="1" applyBorder="1" applyAlignment="1">
      <alignment horizontal="left" vertical="top" indent="1" shrinkToFit="1"/>
    </xf>
    <xf numFmtId="0" fontId="55" fillId="0" borderId="52" xfId="8" applyFont="1" applyBorder="1" applyAlignment="1">
      <alignment horizontal="left" vertical="top" wrapText="1"/>
    </xf>
    <xf numFmtId="0" fontId="55" fillId="0" borderId="51" xfId="8" applyFont="1" applyBorder="1" applyAlignment="1">
      <alignment horizontal="left" vertical="top" wrapText="1" indent="1"/>
    </xf>
    <xf numFmtId="1" fontId="52" fillId="0" borderId="53" xfId="8" applyNumberFormat="1" applyFont="1" applyBorder="1" applyAlignment="1">
      <alignment horizontal="left" vertical="top" indent="3" shrinkToFit="1"/>
    </xf>
    <xf numFmtId="0" fontId="84" fillId="0" borderId="0" xfId="8" applyFont="1" applyBorder="1" applyAlignment="1">
      <alignment horizontal="center" vertical="center" wrapText="1"/>
    </xf>
    <xf numFmtId="0" fontId="73" fillId="0" borderId="0" xfId="8" applyFont="1" applyBorder="1" applyAlignment="1">
      <alignment horizontal="center" vertical="center" wrapText="1"/>
    </xf>
    <xf numFmtId="0" fontId="73" fillId="0" borderId="0" xfId="8" applyFont="1" applyBorder="1" applyAlignment="1">
      <alignment horizontal="right"/>
    </xf>
    <xf numFmtId="0" fontId="71" fillId="25" borderId="70" xfId="8" applyFont="1" applyFill="1" applyBorder="1" applyAlignment="1">
      <alignment horizontal="center" vertical="center"/>
    </xf>
    <xf numFmtId="2" fontId="73" fillId="0" borderId="0" xfId="8" applyNumberFormat="1" applyFont="1" applyBorder="1" applyAlignment="1">
      <alignment horizontal="right"/>
    </xf>
    <xf numFmtId="0" fontId="77" fillId="0" borderId="0" xfId="8" applyFont="1" applyFill="1" applyBorder="1" applyAlignment="1">
      <alignment horizontal="left"/>
    </xf>
    <xf numFmtId="0" fontId="79" fillId="0" borderId="0" xfId="8" applyFont="1" applyFill="1" applyBorder="1" applyAlignment="1">
      <alignment horizontal="left"/>
    </xf>
    <xf numFmtId="0" fontId="79" fillId="0" borderId="0" xfId="8" applyFont="1" applyFill="1" applyBorder="1" applyAlignment="1">
      <alignment horizontal="left" vertical="justify"/>
    </xf>
    <xf numFmtId="2" fontId="71" fillId="3" borderId="83" xfId="8" applyNumberFormat="1" applyFont="1" applyFill="1" applyBorder="1" applyAlignment="1">
      <alignment horizontal="right" vertical="center"/>
    </xf>
    <xf numFmtId="2" fontId="71" fillId="3" borderId="98" xfId="8" applyNumberFormat="1" applyFont="1" applyFill="1" applyBorder="1" applyAlignment="1">
      <alignment horizontal="right" vertical="center"/>
    </xf>
    <xf numFmtId="0" fontId="79" fillId="0" borderId="0" xfId="8" applyFont="1" applyFill="1" applyBorder="1" applyAlignment="1">
      <alignment horizontal="left" wrapText="1"/>
    </xf>
    <xf numFmtId="0" fontId="71" fillId="25" borderId="89" xfId="8" applyFont="1" applyFill="1" applyBorder="1" applyAlignment="1">
      <alignment horizontal="center" vertical="center"/>
    </xf>
    <xf numFmtId="0" fontId="72" fillId="0" borderId="0" xfId="8" applyFont="1" applyBorder="1" applyAlignment="1">
      <alignment horizontal="center" vertical="center" wrapText="1"/>
    </xf>
    <xf numFmtId="0" fontId="73" fillId="0" borderId="0" xfId="8" applyFont="1" applyBorder="1" applyAlignment="1">
      <alignment horizontal="center" vertical="center"/>
    </xf>
    <xf numFmtId="0" fontId="74" fillId="0" borderId="0" xfId="8" applyFont="1" applyBorder="1" applyAlignment="1">
      <alignment horizontal="center" vertical="center" wrapText="1"/>
    </xf>
    <xf numFmtId="0" fontId="0" fillId="0" borderId="0" xfId="0" applyAlignment="1">
      <alignment horizontal="center"/>
    </xf>
    <xf numFmtId="0" fontId="0" fillId="0" borderId="0" xfId="0" applyAlignment="1">
      <alignment horizontal="right" wrapText="1"/>
    </xf>
    <xf numFmtId="0" fontId="0" fillId="0" borderId="0" xfId="0" applyFill="1" applyAlignment="1">
      <alignment horizontal="right" wrapText="1"/>
    </xf>
    <xf numFmtId="175" fontId="0" fillId="0" borderId="0" xfId="0" applyNumberFormat="1" applyAlignment="1">
      <alignment horizontal="right"/>
    </xf>
    <xf numFmtId="165" fontId="0" fillId="0" borderId="0" xfId="1" applyNumberFormat="1" applyFont="1" applyFill="1" applyAlignment="1">
      <alignment horizontal="right"/>
    </xf>
    <xf numFmtId="169" fontId="0" fillId="0" borderId="0" xfId="0" applyNumberFormat="1" applyAlignment="1">
      <alignment horizontal="right"/>
    </xf>
    <xf numFmtId="43" fontId="0" fillId="0" borderId="0" xfId="0" applyNumberFormat="1" applyFill="1" applyAlignment="1">
      <alignment horizontal="right"/>
    </xf>
    <xf numFmtId="0" fontId="0" fillId="0" borderId="0" xfId="0" applyFill="1" applyAlignment="1">
      <alignment horizontal="right"/>
    </xf>
    <xf numFmtId="9" fontId="0" fillId="0" borderId="0" xfId="0" applyNumberFormat="1" applyAlignment="1">
      <alignment horizontal="right"/>
    </xf>
    <xf numFmtId="43" fontId="0" fillId="0" borderId="0" xfId="0" applyNumberFormat="1" applyAlignment="1">
      <alignment horizontal="right"/>
    </xf>
    <xf numFmtId="1" fontId="116" fillId="0" borderId="2" xfId="6" applyNumberFormat="1" applyFont="1" applyFill="1" applyBorder="1" applyAlignment="1">
      <alignment horizontal="center" vertical="top"/>
    </xf>
    <xf numFmtId="0" fontId="117" fillId="0" borderId="53" xfId="6" applyFont="1" applyFill="1" applyBorder="1" applyAlignment="1">
      <alignment horizontal="left" vertical="top"/>
    </xf>
    <xf numFmtId="0" fontId="117" fillId="0" borderId="3" xfId="6" applyFont="1" applyFill="1" applyBorder="1" applyAlignment="1">
      <alignment horizontal="left" vertical="top"/>
    </xf>
    <xf numFmtId="0" fontId="117" fillId="0" borderId="5" xfId="6" applyFont="1" applyFill="1" applyBorder="1" applyAlignment="1">
      <alignment vertical="top"/>
    </xf>
    <xf numFmtId="0" fontId="46" fillId="0" borderId="0" xfId="6" applyFill="1" applyBorder="1"/>
    <xf numFmtId="0" fontId="109" fillId="0" borderId="53" xfId="6" applyFont="1" applyFill="1" applyBorder="1" applyAlignment="1">
      <alignment horizontal="left" vertical="top"/>
    </xf>
    <xf numFmtId="0" fontId="15" fillId="0" borderId="53" xfId="0" applyFont="1" applyBorder="1" applyAlignment="1">
      <alignment wrapText="1"/>
    </xf>
    <xf numFmtId="0" fontId="8" fillId="0" borderId="53" xfId="0" applyFont="1" applyBorder="1"/>
    <xf numFmtId="9" fontId="17" fillId="0" borderId="0" xfId="2" applyFont="1" applyFill="1"/>
    <xf numFmtId="9" fontId="15" fillId="0" borderId="0" xfId="2" applyFont="1" applyFill="1" applyBorder="1"/>
    <xf numFmtId="0" fontId="17" fillId="0" borderId="53" xfId="0" applyNumberFormat="1" applyFont="1" applyBorder="1"/>
    <xf numFmtId="1" fontId="17" fillId="0" borderId="0" xfId="1" applyNumberFormat="1" applyFont="1" applyFill="1" applyBorder="1"/>
    <xf numFmtId="164" fontId="8" fillId="0" borderId="53" xfId="1" applyFont="1" applyBorder="1"/>
    <xf numFmtId="0" fontId="2" fillId="0" borderId="0" xfId="0" applyFont="1" applyFill="1"/>
    <xf numFmtId="0" fontId="5" fillId="0" borderId="53" xfId="0" applyNumberFormat="1" applyFont="1" applyBorder="1" applyAlignment="1">
      <alignment horizontal="left"/>
    </xf>
    <xf numFmtId="0" fontId="6" fillId="0" borderId="53" xfId="0" applyFont="1" applyBorder="1" applyAlignment="1">
      <alignment horizontal="center"/>
    </xf>
    <xf numFmtId="0" fontId="5" fillId="0" borderId="53" xfId="0" applyNumberFormat="1" applyFont="1" applyFill="1" applyBorder="1" applyAlignment="1">
      <alignment horizontal="center" vertical="center" wrapText="1"/>
    </xf>
    <xf numFmtId="0" fontId="5" fillId="0" borderId="51" xfId="0" applyNumberFormat="1" applyFont="1" applyFill="1" applyBorder="1" applyAlignment="1">
      <alignment horizontal="center" vertical="center" wrapText="1"/>
    </xf>
    <xf numFmtId="2" fontId="6" fillId="0" borderId="59" xfId="0" applyNumberFormat="1" applyFont="1" applyBorder="1"/>
    <xf numFmtId="0" fontId="9" fillId="0" borderId="53" xfId="0" applyFont="1" applyFill="1" applyBorder="1"/>
    <xf numFmtId="0" fontId="50" fillId="21" borderId="53" xfId="8" applyFont="1" applyFill="1" applyBorder="1" applyAlignment="1">
      <alignment horizontal="left" vertical="top" wrapText="1" indent="1"/>
    </xf>
    <xf numFmtId="0" fontId="50" fillId="21" borderId="53" xfId="8" applyFont="1" applyFill="1" applyBorder="1" applyAlignment="1">
      <alignment horizontal="center" vertical="top" wrapText="1"/>
    </xf>
    <xf numFmtId="0" fontId="51" fillId="21" borderId="53" xfId="8" applyFont="1" applyFill="1" applyBorder="1" applyAlignment="1">
      <alignment horizontal="center" vertical="top" wrapText="1"/>
    </xf>
    <xf numFmtId="0" fontId="50" fillId="21" borderId="53" xfId="8" applyFont="1" applyFill="1" applyBorder="1" applyAlignment="1">
      <alignment horizontal="left" vertical="top" wrapText="1" indent="3"/>
    </xf>
    <xf numFmtId="0" fontId="50" fillId="21" borderId="53" xfId="8" applyFont="1" applyFill="1" applyBorder="1" applyAlignment="1">
      <alignment horizontal="center" vertical="center" wrapText="1"/>
    </xf>
    <xf numFmtId="0" fontId="51" fillId="21" borderId="53" xfId="8" applyFont="1" applyFill="1" applyBorder="1" applyAlignment="1">
      <alignment horizontal="center" vertical="center" wrapText="1"/>
    </xf>
    <xf numFmtId="0" fontId="55" fillId="0" borderId="53" xfId="8" applyFont="1" applyBorder="1" applyAlignment="1">
      <alignment horizontal="right" vertical="top" wrapText="1" indent="3"/>
    </xf>
    <xf numFmtId="0" fontId="55" fillId="0" borderId="53" xfId="8" applyFont="1" applyBorder="1" applyAlignment="1">
      <alignment horizontal="right" vertical="top" wrapText="1" indent="4"/>
    </xf>
    <xf numFmtId="1" fontId="57" fillId="0" borderId="53" xfId="8" applyNumberFormat="1" applyFont="1" applyBorder="1" applyAlignment="1">
      <alignment horizontal="left" vertical="top" indent="3" shrinkToFit="1"/>
    </xf>
    <xf numFmtId="0" fontId="50" fillId="0" borderId="53" xfId="8" applyFont="1" applyBorder="1" applyAlignment="1">
      <alignment horizontal="center" vertical="top" wrapText="1"/>
    </xf>
    <xf numFmtId="2" fontId="57" fillId="0" borderId="53" xfId="8" applyNumberFormat="1" applyFont="1" applyBorder="1" applyAlignment="1">
      <alignment horizontal="left" vertical="top" indent="1" shrinkToFit="1"/>
    </xf>
    <xf numFmtId="0" fontId="54" fillId="0" borderId="53" xfId="8" applyFont="1" applyBorder="1" applyAlignment="1">
      <alignment horizontal="left" vertical="center" wrapText="1" indent="3"/>
    </xf>
    <xf numFmtId="0" fontId="54" fillId="0" borderId="53" xfId="8" applyFont="1" applyBorder="1" applyAlignment="1">
      <alignment horizontal="center" vertical="center" wrapText="1"/>
    </xf>
    <xf numFmtId="0" fontId="54" fillId="0" borderId="53" xfId="8" applyFont="1" applyBorder="1" applyAlignment="1">
      <alignment horizontal="right" vertical="center" wrapText="1" indent="1"/>
    </xf>
    <xf numFmtId="0" fontId="62" fillId="0" borderId="0" xfId="0" applyFont="1"/>
    <xf numFmtId="0" fontId="48" fillId="0" borderId="0" xfId="8" applyAlignment="1">
      <alignment horizontal="center" vertical="top"/>
    </xf>
    <xf numFmtId="2" fontId="48" fillId="0" borderId="0" xfId="8" applyNumberFormat="1" applyFill="1"/>
    <xf numFmtId="0" fontId="2" fillId="0" borderId="0" xfId="0" applyFont="1" applyFill="1" applyAlignment="1">
      <alignment horizontal="center"/>
    </xf>
    <xf numFmtId="173" fontId="0" fillId="20" borderId="0" xfId="2" applyNumberFormat="1" applyFont="1" applyFill="1"/>
    <xf numFmtId="9" fontId="0" fillId="9" borderId="0" xfId="0" applyNumberFormat="1" applyFill="1"/>
    <xf numFmtId="0" fontId="118" fillId="0" borderId="0" xfId="0" applyFont="1" applyAlignment="1">
      <alignment vertical="center"/>
    </xf>
    <xf numFmtId="2" fontId="0" fillId="0" borderId="0" xfId="0" applyNumberFormat="1" applyFill="1" applyAlignment="1">
      <alignment horizontal="left" vertical="top"/>
    </xf>
    <xf numFmtId="2" fontId="0" fillId="0" borderId="0" xfId="0" applyNumberFormat="1" applyFill="1" applyAlignment="1">
      <alignment horizontal="left" vertical="center"/>
    </xf>
    <xf numFmtId="2" fontId="0" fillId="28" borderId="53" xfId="0" applyNumberFormat="1" applyFill="1" applyBorder="1" applyAlignment="1">
      <alignment horizontal="center" vertical="center"/>
    </xf>
    <xf numFmtId="2" fontId="0" fillId="29" borderId="53" xfId="0" applyNumberFormat="1" applyFill="1" applyBorder="1" applyAlignment="1">
      <alignment horizontal="center" vertical="center"/>
    </xf>
    <xf numFmtId="2" fontId="69" fillId="0" borderId="53" xfId="0" applyNumberFormat="1" applyFont="1" applyFill="1" applyBorder="1" applyAlignment="1">
      <alignment horizontal="center" vertical="center"/>
    </xf>
    <xf numFmtId="2" fontId="69" fillId="28" borderId="0" xfId="0" applyNumberFormat="1" applyFont="1" applyFill="1" applyBorder="1" applyAlignment="1">
      <alignment horizontal="center" vertical="center"/>
    </xf>
    <xf numFmtId="0" fontId="0" fillId="29" borderId="0" xfId="0" applyFill="1"/>
    <xf numFmtId="2" fontId="0" fillId="20" borderId="0" xfId="0" applyNumberFormat="1" applyFill="1"/>
    <xf numFmtId="2" fontId="0" fillId="9" borderId="0" xfId="0" applyNumberFormat="1" applyFill="1"/>
    <xf numFmtId="0" fontId="120" fillId="0" borderId="0" xfId="17" applyFont="1" applyAlignment="1">
      <alignment horizontal="left"/>
    </xf>
    <xf numFmtId="0" fontId="119" fillId="0" borderId="0" xfId="17" applyFont="1" applyAlignment="1"/>
    <xf numFmtId="0" fontId="121" fillId="0" borderId="0" xfId="17" applyFont="1" applyAlignment="1"/>
    <xf numFmtId="0" fontId="122" fillId="0" borderId="0" xfId="17" applyFont="1" applyAlignment="1">
      <alignment horizontal="left"/>
    </xf>
    <xf numFmtId="0" fontId="76" fillId="0" borderId="0" xfId="17" applyFont="1" applyAlignment="1">
      <alignment horizontal="left"/>
    </xf>
    <xf numFmtId="0" fontId="17" fillId="0" borderId="0" xfId="17" applyFont="1" applyAlignment="1"/>
    <xf numFmtId="184" fontId="8" fillId="0" borderId="0" xfId="17" applyNumberFormat="1" applyFont="1" applyAlignment="1">
      <alignment horizontal="left"/>
    </xf>
    <xf numFmtId="0" fontId="121" fillId="0" borderId="0" xfId="17" applyFont="1"/>
    <xf numFmtId="0" fontId="15" fillId="0" borderId="0" xfId="17" applyFont="1" applyAlignment="1"/>
    <xf numFmtId="0" fontId="8" fillId="0" borderId="0" xfId="17" applyFont="1" applyAlignment="1">
      <alignment horizontal="left"/>
    </xf>
    <xf numFmtId="0" fontId="17" fillId="0" borderId="0" xfId="17" applyFont="1" applyAlignment="1">
      <alignment horizontal="center"/>
    </xf>
    <xf numFmtId="0" fontId="17" fillId="0" borderId="35" xfId="17" applyFont="1" applyBorder="1" applyAlignment="1"/>
    <xf numFmtId="0" fontId="123" fillId="0" borderId="32" xfId="17" applyFont="1" applyBorder="1" applyAlignment="1"/>
    <xf numFmtId="0" fontId="15" fillId="0" borderId="35" xfId="17" applyFont="1" applyBorder="1" applyAlignment="1"/>
    <xf numFmtId="0" fontId="15" fillId="0" borderId="39" xfId="17" applyFont="1" applyBorder="1" applyAlignment="1"/>
    <xf numFmtId="0" fontId="8" fillId="0" borderId="35" xfId="17" applyFont="1" applyBorder="1" applyAlignment="1">
      <alignment wrapText="1"/>
    </xf>
    <xf numFmtId="0" fontId="124" fillId="0" borderId="53" xfId="5" applyFont="1" applyBorder="1"/>
    <xf numFmtId="0" fontId="15" fillId="0" borderId="0" xfId="17" applyFont="1" applyAlignment="1">
      <alignment horizontal="center"/>
    </xf>
    <xf numFmtId="0" fontId="119" fillId="0" borderId="0" xfId="17" applyFont="1" applyAlignment="1">
      <alignment horizontal="center"/>
    </xf>
    <xf numFmtId="0" fontId="119" fillId="0" borderId="0" xfId="17" applyFont="1" applyAlignment="1">
      <alignment horizontal="left"/>
    </xf>
    <xf numFmtId="0" fontId="16" fillId="0" borderId="0" xfId="0" applyFont="1" applyAlignment="1">
      <alignment horizontal="center" vertical="top"/>
    </xf>
    <xf numFmtId="0" fontId="8" fillId="0" borderId="0" xfId="0" applyFont="1" applyAlignment="1">
      <alignment horizontal="left" vertical="top"/>
    </xf>
    <xf numFmtId="0" fontId="125" fillId="0" borderId="0" xfId="0" applyFont="1" applyAlignment="1">
      <alignment horizontal="center" vertical="top"/>
    </xf>
    <xf numFmtId="0" fontId="126" fillId="0" borderId="0" xfId="17" applyFont="1" applyAlignment="1">
      <alignment horizontal="center"/>
    </xf>
    <xf numFmtId="0" fontId="2" fillId="20" borderId="0" xfId="0" applyFont="1" applyFill="1"/>
    <xf numFmtId="2" fontId="2" fillId="20" borderId="0" xfId="0" applyNumberFormat="1" applyFont="1" applyFill="1"/>
    <xf numFmtId="0" fontId="17" fillId="0" borderId="30" xfId="17" applyFont="1" applyBorder="1" applyAlignment="1">
      <alignment horizontal="center"/>
    </xf>
    <xf numFmtId="0" fontId="8" fillId="0" borderId="108" xfId="17" applyFont="1" applyBorder="1"/>
    <xf numFmtId="0" fontId="8" fillId="0" borderId="109" xfId="17" applyFont="1" applyBorder="1"/>
    <xf numFmtId="0" fontId="81" fillId="0" borderId="56" xfId="18" applyFont="1" applyBorder="1" applyAlignment="1">
      <alignment horizontal="left" vertical="center" wrapText="1"/>
    </xf>
    <xf numFmtId="0" fontId="81" fillId="0" borderId="113" xfId="18" applyFont="1" applyBorder="1" applyAlignment="1">
      <alignment horizontal="left" vertical="center" wrapText="1"/>
    </xf>
    <xf numFmtId="0" fontId="81" fillId="0" borderId="114" xfId="18" applyFont="1" applyBorder="1" applyAlignment="1">
      <alignment horizontal="left" vertical="center" wrapText="1"/>
    </xf>
    <xf numFmtId="0" fontId="81" fillId="0" borderId="6" xfId="18" applyFont="1" applyBorder="1" applyAlignment="1">
      <alignment horizontal="left" vertical="center" wrapText="1"/>
    </xf>
    <xf numFmtId="0" fontId="81" fillId="0" borderId="60" xfId="18" applyFont="1" applyBorder="1" applyAlignment="1">
      <alignment horizontal="left" vertical="center" wrapText="1"/>
    </xf>
    <xf numFmtId="0" fontId="81" fillId="0" borderId="98" xfId="18" applyFont="1" applyBorder="1" applyAlignment="1">
      <alignment horizontal="left" vertical="center" wrapText="1"/>
    </xf>
    <xf numFmtId="0" fontId="81" fillId="0" borderId="6" xfId="18" applyFont="1" applyBorder="1" applyAlignment="1">
      <alignment wrapText="1"/>
    </xf>
    <xf numFmtId="0" fontId="81" fillId="0" borderId="60" xfId="18" applyFont="1" applyBorder="1" applyAlignment="1">
      <alignment wrapText="1"/>
    </xf>
    <xf numFmtId="0" fontId="81" fillId="0" borderId="98" xfId="18" applyFont="1" applyBorder="1" applyAlignment="1">
      <alignment wrapText="1"/>
    </xf>
    <xf numFmtId="0" fontId="0" fillId="0" borderId="0" xfId="0" applyAlignment="1">
      <alignment wrapText="1"/>
    </xf>
    <xf numFmtId="0" fontId="67" fillId="0" borderId="0" xfId="0" applyFont="1" applyAlignment="1">
      <alignment wrapText="1"/>
    </xf>
    <xf numFmtId="0" fontId="96" fillId="18" borderId="0" xfId="16" applyFont="1" applyFill="1" applyAlignment="1">
      <alignment vertical="top"/>
    </xf>
    <xf numFmtId="0" fontId="97" fillId="18" borderId="0" xfId="16" applyFont="1" applyFill="1" applyAlignment="1">
      <alignment vertical="center"/>
    </xf>
    <xf numFmtId="0" fontId="97" fillId="18" borderId="0" xfId="16" applyFont="1" applyFill="1" applyAlignment="1">
      <alignment vertical="top"/>
    </xf>
    <xf numFmtId="0" fontId="98" fillId="18" borderId="33" xfId="16" applyFont="1" applyFill="1" applyBorder="1" applyAlignment="1">
      <alignment vertical="top" wrapText="1"/>
    </xf>
    <xf numFmtId="0" fontId="98" fillId="18" borderId="34" xfId="16" applyFont="1" applyFill="1" applyBorder="1" applyAlignment="1">
      <alignment vertical="top" wrapText="1"/>
    </xf>
    <xf numFmtId="179" fontId="99" fillId="18" borderId="33" xfId="16" applyNumberFormat="1" applyFont="1" applyFill="1" applyBorder="1" applyAlignment="1">
      <alignment vertical="top" wrapText="1"/>
    </xf>
    <xf numFmtId="179" fontId="99" fillId="18" borderId="34" xfId="16" applyNumberFormat="1" applyFont="1" applyFill="1" applyBorder="1" applyAlignment="1">
      <alignment vertical="top" wrapText="1"/>
    </xf>
    <xf numFmtId="179" fontId="99" fillId="18" borderId="33" xfId="16" applyNumberFormat="1" applyFont="1" applyFill="1" applyBorder="1" applyAlignment="1">
      <alignment horizontal="left" vertical="top" wrapText="1"/>
    </xf>
    <xf numFmtId="179" fontId="99" fillId="18" borderId="34" xfId="16" applyNumberFormat="1" applyFont="1" applyFill="1" applyBorder="1" applyAlignment="1">
      <alignment horizontal="left" vertical="top" wrapText="1"/>
    </xf>
    <xf numFmtId="179" fontId="102" fillId="18" borderId="33" xfId="16" applyNumberFormat="1" applyFont="1" applyFill="1" applyBorder="1" applyAlignment="1">
      <alignment horizontal="left" vertical="top" wrapText="1"/>
    </xf>
    <xf numFmtId="179" fontId="102" fillId="18" borderId="34" xfId="16" applyNumberFormat="1" applyFont="1" applyFill="1" applyBorder="1" applyAlignment="1">
      <alignment horizontal="left" vertical="top" wrapText="1"/>
    </xf>
    <xf numFmtId="179" fontId="99" fillId="18" borderId="108" xfId="16" applyNumberFormat="1" applyFont="1" applyFill="1" applyBorder="1" applyAlignment="1">
      <alignment horizontal="left" vertical="top" wrapText="1"/>
    </xf>
    <xf numFmtId="179" fontId="99" fillId="18" borderId="109" xfId="16" applyNumberFormat="1" applyFont="1" applyFill="1" applyBorder="1" applyAlignment="1">
      <alignment horizontal="left" vertical="top" wrapText="1"/>
    </xf>
    <xf numFmtId="179" fontId="99" fillId="18" borderId="0" xfId="16" applyNumberFormat="1" applyFont="1" applyFill="1" applyBorder="1" applyAlignment="1">
      <alignment horizontal="left" vertical="top" wrapText="1"/>
    </xf>
    <xf numFmtId="179" fontId="99" fillId="18" borderId="36" xfId="16" applyNumberFormat="1" applyFont="1" applyFill="1" applyBorder="1" applyAlignment="1">
      <alignment horizontal="left" vertical="top" wrapText="1"/>
    </xf>
    <xf numFmtId="179" fontId="99" fillId="18" borderId="31" xfId="16" applyNumberFormat="1" applyFont="1" applyFill="1" applyBorder="1" applyAlignment="1">
      <alignment horizontal="left" vertical="top" wrapText="1"/>
    </xf>
    <xf numFmtId="179" fontId="99" fillId="18" borderId="110" xfId="16" applyNumberFormat="1" applyFont="1" applyFill="1" applyBorder="1" applyAlignment="1">
      <alignment horizontal="left" vertical="top" wrapText="1"/>
    </xf>
    <xf numFmtId="179" fontId="102" fillId="18" borderId="109" xfId="16" applyNumberFormat="1" applyFont="1" applyFill="1" applyBorder="1" applyAlignment="1">
      <alignment horizontal="left" vertical="top" wrapText="1"/>
    </xf>
    <xf numFmtId="179" fontId="102" fillId="18" borderId="36" xfId="16" applyNumberFormat="1" applyFont="1" applyFill="1" applyBorder="1" applyAlignment="1">
      <alignment horizontal="left" vertical="top" wrapText="1"/>
    </xf>
    <xf numFmtId="179" fontId="102" fillId="18" borderId="110" xfId="16" applyNumberFormat="1" applyFont="1" applyFill="1" applyBorder="1" applyAlignment="1">
      <alignment horizontal="left" vertical="top" wrapText="1"/>
    </xf>
    <xf numFmtId="179" fontId="103" fillId="18" borderId="109" xfId="16" applyNumberFormat="1" applyFont="1" applyFill="1" applyBorder="1" applyAlignment="1">
      <alignment horizontal="left" vertical="top" wrapText="1"/>
    </xf>
    <xf numFmtId="179" fontId="103" fillId="18" borderId="36" xfId="16" applyNumberFormat="1" applyFont="1" applyFill="1" applyBorder="1" applyAlignment="1">
      <alignment horizontal="left" vertical="top" wrapText="1"/>
    </xf>
    <xf numFmtId="179" fontId="103" fillId="18" borderId="110" xfId="16" applyNumberFormat="1" applyFont="1" applyFill="1" applyBorder="1" applyAlignment="1">
      <alignment horizontal="left" vertical="top" wrapText="1"/>
    </xf>
    <xf numFmtId="180" fontId="103" fillId="18" borderId="109" xfId="16" applyNumberFormat="1" applyFont="1" applyFill="1" applyBorder="1" applyAlignment="1">
      <alignment horizontal="left" vertical="top" wrapText="1"/>
    </xf>
    <xf numFmtId="180" fontId="103" fillId="18" borderId="36" xfId="16" applyNumberFormat="1" applyFont="1" applyFill="1" applyBorder="1" applyAlignment="1">
      <alignment horizontal="left" vertical="top" wrapText="1"/>
    </xf>
    <xf numFmtId="180" fontId="103" fillId="18" borderId="110" xfId="16" applyNumberFormat="1" applyFont="1" applyFill="1" applyBorder="1" applyAlignment="1">
      <alignment horizontal="left" vertical="top" wrapText="1"/>
    </xf>
    <xf numFmtId="179" fontId="101" fillId="18" borderId="108" xfId="16" applyNumberFormat="1" applyFont="1" applyFill="1" applyBorder="1" applyAlignment="1">
      <alignment horizontal="left" vertical="top" wrapText="1"/>
    </xf>
    <xf numFmtId="179" fontId="101" fillId="18" borderId="109" xfId="16" applyNumberFormat="1" applyFont="1" applyFill="1" applyBorder="1" applyAlignment="1">
      <alignment horizontal="left" vertical="top" wrapText="1"/>
    </xf>
    <xf numFmtId="179" fontId="101" fillId="18" borderId="0" xfId="16" applyNumberFormat="1" applyFont="1" applyFill="1" applyBorder="1" applyAlignment="1">
      <alignment horizontal="left" vertical="top" wrapText="1"/>
    </xf>
    <xf numFmtId="179" fontId="101" fillId="18" borderId="36" xfId="16" applyNumberFormat="1" applyFont="1" applyFill="1" applyBorder="1" applyAlignment="1">
      <alignment horizontal="left" vertical="top" wrapText="1"/>
    </xf>
    <xf numFmtId="179" fontId="101" fillId="18" borderId="31" xfId="16" applyNumberFormat="1" applyFont="1" applyFill="1" applyBorder="1" applyAlignment="1">
      <alignment horizontal="left" vertical="top" wrapText="1"/>
    </xf>
    <xf numFmtId="179" fontId="101" fillId="18" borderId="110" xfId="16" applyNumberFormat="1" applyFont="1" applyFill="1" applyBorder="1" applyAlignment="1">
      <alignment horizontal="left" vertical="top" wrapText="1"/>
    </xf>
    <xf numFmtId="179" fontId="102" fillId="18" borderId="109" xfId="16" applyNumberFormat="1" applyFont="1" applyFill="1" applyBorder="1" applyAlignment="1">
      <alignment horizontal="left" wrapText="1"/>
    </xf>
    <xf numFmtId="179" fontId="102" fillId="18" borderId="36" xfId="16" applyNumberFormat="1" applyFont="1" applyFill="1" applyBorder="1" applyAlignment="1">
      <alignment horizontal="left" wrapText="1"/>
    </xf>
    <xf numFmtId="179" fontId="102" fillId="18" borderId="110" xfId="16" applyNumberFormat="1" applyFont="1" applyFill="1" applyBorder="1" applyAlignment="1">
      <alignment horizontal="left" wrapText="1"/>
    </xf>
    <xf numFmtId="179" fontId="102" fillId="18" borderId="108" xfId="16" applyNumberFormat="1" applyFont="1" applyFill="1" applyBorder="1" applyAlignment="1">
      <alignment horizontal="left" vertical="top" wrapText="1"/>
    </xf>
    <xf numFmtId="179" fontId="102" fillId="18" borderId="0" xfId="16" applyNumberFormat="1" applyFont="1" applyFill="1" applyBorder="1" applyAlignment="1">
      <alignment horizontal="left" vertical="top" wrapText="1"/>
    </xf>
    <xf numFmtId="179" fontId="102" fillId="18" borderId="31" xfId="16" applyNumberFormat="1" applyFont="1" applyFill="1" applyBorder="1" applyAlignment="1">
      <alignment horizontal="left" vertical="top" wrapText="1"/>
    </xf>
    <xf numFmtId="180" fontId="101" fillId="18" borderId="109" xfId="16" applyNumberFormat="1" applyFont="1" applyFill="1" applyBorder="1" applyAlignment="1">
      <alignment horizontal="left" vertical="top" wrapText="1"/>
    </xf>
    <xf numFmtId="180" fontId="101" fillId="18" borderId="36" xfId="16" applyNumberFormat="1" applyFont="1" applyFill="1" applyBorder="1" applyAlignment="1">
      <alignment horizontal="left" vertical="top" wrapText="1"/>
    </xf>
    <xf numFmtId="180" fontId="101" fillId="18" borderId="110" xfId="16" applyNumberFormat="1" applyFont="1" applyFill="1" applyBorder="1" applyAlignment="1">
      <alignment horizontal="left" vertical="top" wrapText="1"/>
    </xf>
    <xf numFmtId="179" fontId="102" fillId="18" borderId="108" xfId="16" applyNumberFormat="1" applyFont="1" applyFill="1" applyBorder="1" applyAlignment="1">
      <alignment vertical="top" wrapText="1"/>
    </xf>
    <xf numFmtId="179" fontId="102" fillId="18" borderId="109" xfId="16" applyNumberFormat="1" applyFont="1" applyFill="1" applyBorder="1" applyAlignment="1">
      <alignment vertical="top" wrapText="1"/>
    </xf>
    <xf numFmtId="179" fontId="102" fillId="18" borderId="0" xfId="16" applyNumberFormat="1" applyFont="1" applyFill="1" applyBorder="1" applyAlignment="1">
      <alignment vertical="top" wrapText="1"/>
    </xf>
    <xf numFmtId="179" fontId="102" fillId="18" borderId="36" xfId="16" applyNumberFormat="1" applyFont="1" applyFill="1" applyBorder="1" applyAlignment="1">
      <alignment vertical="top" wrapText="1"/>
    </xf>
    <xf numFmtId="179" fontId="102" fillId="18" borderId="31" xfId="16" applyNumberFormat="1" applyFont="1" applyFill="1" applyBorder="1" applyAlignment="1">
      <alignment vertical="top" wrapText="1"/>
    </xf>
    <xf numFmtId="179" fontId="102" fillId="18" borderId="110" xfId="16" applyNumberFormat="1" applyFont="1" applyFill="1" applyBorder="1" applyAlignment="1">
      <alignment vertical="top" wrapText="1"/>
    </xf>
    <xf numFmtId="179" fontId="102" fillId="18" borderId="109" xfId="16" applyNumberFormat="1" applyFont="1" applyFill="1" applyBorder="1" applyAlignment="1">
      <alignment wrapText="1"/>
    </xf>
    <xf numFmtId="179" fontId="102" fillId="18" borderId="36" xfId="16" applyNumberFormat="1" applyFont="1" applyFill="1" applyBorder="1" applyAlignment="1">
      <alignment wrapText="1"/>
    </xf>
    <xf numFmtId="179" fontId="102" fillId="18" borderId="110" xfId="16" applyNumberFormat="1" applyFont="1" applyFill="1" applyBorder="1" applyAlignment="1">
      <alignment wrapText="1"/>
    </xf>
    <xf numFmtId="180" fontId="102" fillId="18" borderId="109" xfId="16" applyNumberFormat="1" applyFont="1" applyFill="1" applyBorder="1" applyAlignment="1">
      <alignment vertical="top" wrapText="1"/>
    </xf>
    <xf numFmtId="180" fontId="102" fillId="18" borderId="36" xfId="16" applyNumberFormat="1" applyFont="1" applyFill="1" applyBorder="1" applyAlignment="1">
      <alignment vertical="top" wrapText="1"/>
    </xf>
    <xf numFmtId="180" fontId="102" fillId="18" borderId="110" xfId="16" applyNumberFormat="1" applyFont="1" applyFill="1" applyBorder="1" applyAlignment="1">
      <alignment vertical="top" wrapText="1"/>
    </xf>
    <xf numFmtId="180" fontId="103" fillId="18" borderId="109" xfId="16" applyNumberFormat="1" applyFont="1" applyFill="1" applyBorder="1" applyAlignment="1">
      <alignment vertical="top" wrapText="1"/>
    </xf>
    <xf numFmtId="180" fontId="103" fillId="18" borderId="36" xfId="16" applyNumberFormat="1" applyFont="1" applyFill="1" applyBorder="1" applyAlignment="1">
      <alignment vertical="top" wrapText="1"/>
    </xf>
    <xf numFmtId="180" fontId="103" fillId="18" borderId="110" xfId="16" applyNumberFormat="1" applyFont="1" applyFill="1" applyBorder="1" applyAlignment="1">
      <alignment vertical="top" wrapText="1"/>
    </xf>
    <xf numFmtId="183" fontId="104" fillId="18" borderId="108" xfId="16" applyNumberFormat="1" applyFont="1" applyFill="1" applyBorder="1" applyAlignment="1">
      <alignment horizontal="left" vertical="top" wrapText="1"/>
    </xf>
    <xf numFmtId="183" fontId="104" fillId="18" borderId="109" xfId="16" applyNumberFormat="1" applyFont="1" applyFill="1" applyBorder="1" applyAlignment="1">
      <alignment horizontal="left" vertical="top" wrapText="1"/>
    </xf>
    <xf numFmtId="183" fontId="104" fillId="18" borderId="0" xfId="16" applyNumberFormat="1" applyFont="1" applyFill="1" applyBorder="1" applyAlignment="1">
      <alignment horizontal="left" vertical="top" wrapText="1"/>
    </xf>
    <xf numFmtId="183" fontId="104" fillId="18" borderId="36" xfId="16" applyNumberFormat="1" applyFont="1" applyFill="1" applyBorder="1" applyAlignment="1">
      <alignment horizontal="left" vertical="top" wrapText="1"/>
    </xf>
    <xf numFmtId="183" fontId="104" fillId="18" borderId="31" xfId="16" applyNumberFormat="1" applyFont="1" applyFill="1" applyBorder="1" applyAlignment="1">
      <alignment horizontal="left" vertical="top" wrapText="1"/>
    </xf>
    <xf numFmtId="183" fontId="104" fillId="18" borderId="110" xfId="16" applyNumberFormat="1" applyFont="1" applyFill="1" applyBorder="1" applyAlignment="1">
      <alignment horizontal="left" vertical="top" wrapText="1"/>
    </xf>
    <xf numFmtId="181" fontId="102" fillId="18" borderId="33" xfId="16" applyNumberFormat="1" applyFont="1" applyFill="1" applyBorder="1" applyAlignment="1">
      <alignment horizontal="left" vertical="top" wrapText="1"/>
    </xf>
    <xf numFmtId="181" fontId="102" fillId="18" borderId="34" xfId="16" applyNumberFormat="1" applyFont="1" applyFill="1" applyBorder="1" applyAlignment="1">
      <alignment horizontal="left" vertical="top" wrapText="1"/>
    </xf>
    <xf numFmtId="181" fontId="101" fillId="18" borderId="108" xfId="16" applyNumberFormat="1" applyFont="1" applyFill="1" applyBorder="1" applyAlignment="1">
      <alignment horizontal="left" vertical="top" wrapText="1"/>
    </xf>
    <xf numFmtId="181" fontId="101" fillId="18" borderId="109" xfId="16" applyNumberFormat="1" applyFont="1" applyFill="1" applyBorder="1" applyAlignment="1">
      <alignment horizontal="left" vertical="top" wrapText="1"/>
    </xf>
    <xf numFmtId="181" fontId="101" fillId="18" borderId="0" xfId="16" applyNumberFormat="1" applyFont="1" applyFill="1" applyBorder="1" applyAlignment="1">
      <alignment horizontal="left" vertical="top" wrapText="1"/>
    </xf>
    <xf numFmtId="181" fontId="101" fillId="18" borderId="36" xfId="16" applyNumberFormat="1" applyFont="1" applyFill="1" applyBorder="1" applyAlignment="1">
      <alignment horizontal="left" vertical="top" wrapText="1"/>
    </xf>
    <xf numFmtId="181" fontId="101" fillId="18" borderId="31" xfId="16" applyNumberFormat="1" applyFont="1" applyFill="1" applyBorder="1" applyAlignment="1">
      <alignment horizontal="left" vertical="top" wrapText="1"/>
    </xf>
    <xf numFmtId="181" fontId="101" fillId="18" borderId="110" xfId="16" applyNumberFormat="1" applyFont="1" applyFill="1" applyBorder="1" applyAlignment="1">
      <alignment horizontal="left" vertical="top" wrapText="1"/>
    </xf>
    <xf numFmtId="179" fontId="102" fillId="18" borderId="108" xfId="16" applyNumberFormat="1" applyFont="1" applyFill="1" applyBorder="1" applyAlignment="1">
      <alignment horizontal="left" wrapText="1"/>
    </xf>
    <xf numFmtId="179" fontId="102" fillId="18" borderId="0" xfId="16" applyNumberFormat="1" applyFont="1" applyFill="1" applyBorder="1" applyAlignment="1">
      <alignment horizontal="left" wrapText="1"/>
    </xf>
    <xf numFmtId="179" fontId="102" fillId="18" borderId="31" xfId="16" applyNumberFormat="1" applyFont="1" applyFill="1" applyBorder="1" applyAlignment="1">
      <alignment horizontal="left" wrapText="1"/>
    </xf>
    <xf numFmtId="180" fontId="103" fillId="18" borderId="109" xfId="16" applyNumberFormat="1" applyFont="1" applyFill="1" applyBorder="1" applyAlignment="1">
      <alignment horizontal="left" wrapText="1"/>
    </xf>
    <xf numFmtId="180" fontId="103" fillId="18" borderId="36" xfId="16" applyNumberFormat="1" applyFont="1" applyFill="1" applyBorder="1" applyAlignment="1">
      <alignment horizontal="left" wrapText="1"/>
    </xf>
    <xf numFmtId="180" fontId="103" fillId="18" borderId="110" xfId="16" applyNumberFormat="1" applyFont="1" applyFill="1" applyBorder="1" applyAlignment="1">
      <alignment horizontal="left" wrapText="1"/>
    </xf>
    <xf numFmtId="179" fontId="101" fillId="20" borderId="108" xfId="16" applyNumberFormat="1" applyFont="1" applyFill="1" applyBorder="1" applyAlignment="1">
      <alignment horizontal="left" vertical="top" wrapText="1"/>
    </xf>
    <xf numFmtId="179" fontId="101" fillId="20" borderId="109" xfId="16" applyNumberFormat="1" applyFont="1" applyFill="1" applyBorder="1" applyAlignment="1">
      <alignment horizontal="left" vertical="top" wrapText="1"/>
    </xf>
    <xf numFmtId="179" fontId="101" fillId="20" borderId="0" xfId="16" applyNumberFormat="1" applyFont="1" applyFill="1" applyBorder="1" applyAlignment="1">
      <alignment horizontal="left" vertical="top" wrapText="1"/>
    </xf>
    <xf numFmtId="179" fontId="101" fillId="20" borderId="36" xfId="16" applyNumberFormat="1" applyFont="1" applyFill="1" applyBorder="1" applyAlignment="1">
      <alignment horizontal="left" vertical="top" wrapText="1"/>
    </xf>
    <xf numFmtId="179" fontId="101" fillId="20" borderId="31" xfId="16" applyNumberFormat="1" applyFont="1" applyFill="1" applyBorder="1" applyAlignment="1">
      <alignment horizontal="left" vertical="top" wrapText="1"/>
    </xf>
    <xf numFmtId="179" fontId="101" fillId="20" borderId="110" xfId="16" applyNumberFormat="1" applyFont="1" applyFill="1" applyBorder="1" applyAlignment="1">
      <alignment horizontal="left" vertical="top" wrapText="1"/>
    </xf>
    <xf numFmtId="179" fontId="102" fillId="20" borderId="109" xfId="16" applyNumberFormat="1" applyFont="1" applyFill="1" applyBorder="1" applyAlignment="1">
      <alignment horizontal="left" vertical="top" wrapText="1"/>
    </xf>
    <xf numFmtId="179" fontId="102" fillId="20" borderId="36" xfId="16" applyNumberFormat="1" applyFont="1" applyFill="1" applyBorder="1" applyAlignment="1">
      <alignment horizontal="left" vertical="top" wrapText="1"/>
    </xf>
    <xf numFmtId="179" fontId="102" fillId="20" borderId="110" xfId="16" applyNumberFormat="1" applyFont="1" applyFill="1" applyBorder="1" applyAlignment="1">
      <alignment horizontal="left" vertical="top" wrapText="1"/>
    </xf>
    <xf numFmtId="180" fontId="103" fillId="20" borderId="109" xfId="16" applyNumberFormat="1" applyFont="1" applyFill="1" applyBorder="1" applyAlignment="1">
      <alignment horizontal="left" vertical="top" wrapText="1"/>
    </xf>
    <xf numFmtId="180" fontId="103" fillId="20" borderId="36" xfId="16" applyNumberFormat="1" applyFont="1" applyFill="1" applyBorder="1" applyAlignment="1">
      <alignment horizontal="left" vertical="top" wrapText="1"/>
    </xf>
    <xf numFmtId="180" fontId="103" fillId="20" borderId="110" xfId="16" applyNumberFormat="1" applyFont="1" applyFill="1" applyBorder="1" applyAlignment="1">
      <alignment horizontal="left" vertical="top" wrapText="1"/>
    </xf>
    <xf numFmtId="179" fontId="102" fillId="20" borderId="108" xfId="16" applyNumberFormat="1" applyFont="1" applyFill="1" applyBorder="1" applyAlignment="1">
      <alignment horizontal="left" vertical="top" wrapText="1"/>
    </xf>
    <xf numFmtId="179" fontId="102" fillId="20" borderId="0" xfId="16" applyNumberFormat="1" applyFont="1" applyFill="1" applyBorder="1" applyAlignment="1">
      <alignment horizontal="left" vertical="top" wrapText="1"/>
    </xf>
    <xf numFmtId="179" fontId="102" fillId="20" borderId="31" xfId="16" applyNumberFormat="1" applyFont="1" applyFill="1" applyBorder="1" applyAlignment="1">
      <alignment horizontal="left" vertical="top" wrapText="1"/>
    </xf>
    <xf numFmtId="179" fontId="102" fillId="20" borderId="109" xfId="16" applyNumberFormat="1" applyFont="1" applyFill="1" applyBorder="1" applyAlignment="1">
      <alignment horizontal="left" wrapText="1"/>
    </xf>
    <xf numFmtId="179" fontId="102" fillId="20" borderId="36" xfId="16" applyNumberFormat="1" applyFont="1" applyFill="1" applyBorder="1" applyAlignment="1">
      <alignment horizontal="left" wrapText="1"/>
    </xf>
    <xf numFmtId="179" fontId="102" fillId="20" borderId="110" xfId="16" applyNumberFormat="1" applyFont="1" applyFill="1" applyBorder="1" applyAlignment="1">
      <alignment horizontal="left" wrapText="1"/>
    </xf>
    <xf numFmtId="181" fontId="102" fillId="18" borderId="109" xfId="16" applyNumberFormat="1" applyFont="1" applyFill="1" applyBorder="1" applyAlignment="1">
      <alignment horizontal="left" vertical="top" wrapText="1"/>
    </xf>
    <xf numFmtId="181" fontId="102" fillId="18" borderId="36" xfId="16" applyNumberFormat="1" applyFont="1" applyFill="1" applyBorder="1" applyAlignment="1">
      <alignment horizontal="left" vertical="top" wrapText="1"/>
    </xf>
    <xf numFmtId="181" fontId="102" fillId="18" borderId="110" xfId="16" applyNumberFormat="1" applyFont="1" applyFill="1" applyBorder="1" applyAlignment="1">
      <alignment horizontal="left" vertical="top" wrapText="1"/>
    </xf>
    <xf numFmtId="179" fontId="99" fillId="20" borderId="108" xfId="16" applyNumberFormat="1" applyFont="1" applyFill="1" applyBorder="1" applyAlignment="1">
      <alignment horizontal="left" vertical="top" wrapText="1"/>
    </xf>
    <xf numFmtId="179" fontId="99" fillId="20" borderId="109" xfId="16" applyNumberFormat="1" applyFont="1" applyFill="1" applyBorder="1" applyAlignment="1">
      <alignment horizontal="left" vertical="top" wrapText="1"/>
    </xf>
    <xf numFmtId="179" fontId="99" fillId="20" borderId="0" xfId="16" applyNumberFormat="1" applyFont="1" applyFill="1" applyBorder="1" applyAlignment="1">
      <alignment horizontal="left" vertical="top" wrapText="1"/>
    </xf>
    <xf numFmtId="179" fontId="99" fillId="20" borderId="36" xfId="16" applyNumberFormat="1" applyFont="1" applyFill="1" applyBorder="1" applyAlignment="1">
      <alignment horizontal="left" vertical="top" wrapText="1"/>
    </xf>
    <xf numFmtId="179" fontId="99" fillId="20" borderId="31" xfId="16" applyNumberFormat="1" applyFont="1" applyFill="1" applyBorder="1" applyAlignment="1">
      <alignment horizontal="left" vertical="top" wrapText="1"/>
    </xf>
    <xf numFmtId="179" fontId="99" fillId="20" borderId="110" xfId="16" applyNumberFormat="1" applyFont="1" applyFill="1" applyBorder="1" applyAlignment="1">
      <alignment horizontal="left" vertical="top" wrapText="1"/>
    </xf>
    <xf numFmtId="179" fontId="99" fillId="18" borderId="108" xfId="16" applyNumberFormat="1" applyFont="1" applyFill="1" applyBorder="1" applyAlignment="1">
      <alignment vertical="top" wrapText="1"/>
    </xf>
    <xf numFmtId="179" fontId="99" fillId="18" borderId="109" xfId="16" applyNumberFormat="1" applyFont="1" applyFill="1" applyBorder="1" applyAlignment="1">
      <alignment vertical="top" wrapText="1"/>
    </xf>
    <xf numFmtId="179" fontId="99" fillId="18" borderId="0" xfId="16" applyNumberFormat="1" applyFont="1" applyFill="1" applyBorder="1" applyAlignment="1">
      <alignment vertical="top" wrapText="1"/>
    </xf>
    <xf numFmtId="179" fontId="99" fillId="18" borderId="36" xfId="16" applyNumberFormat="1" applyFont="1" applyFill="1" applyBorder="1" applyAlignment="1">
      <alignment vertical="top" wrapText="1"/>
    </xf>
    <xf numFmtId="179" fontId="99" fillId="18" borderId="31" xfId="16" applyNumberFormat="1" applyFont="1" applyFill="1" applyBorder="1" applyAlignment="1">
      <alignment vertical="top" wrapText="1"/>
    </xf>
    <xf numFmtId="179" fontId="99" fillId="18" borderId="110" xfId="16" applyNumberFormat="1" applyFont="1" applyFill="1" applyBorder="1" applyAlignment="1">
      <alignment vertical="top" wrapText="1"/>
    </xf>
    <xf numFmtId="180" fontId="101" fillId="18" borderId="109" xfId="16" applyNumberFormat="1" applyFont="1" applyFill="1" applyBorder="1" applyAlignment="1">
      <alignment vertical="top" wrapText="1"/>
    </xf>
    <xf numFmtId="180" fontId="101" fillId="18" borderId="36" xfId="16" applyNumberFormat="1" applyFont="1" applyFill="1" applyBorder="1" applyAlignment="1">
      <alignment vertical="top" wrapText="1"/>
    </xf>
    <xf numFmtId="180" fontId="101" fillId="18" borderId="110" xfId="16" applyNumberFormat="1" applyFont="1" applyFill="1" applyBorder="1" applyAlignment="1">
      <alignment vertical="top" wrapText="1"/>
    </xf>
    <xf numFmtId="180" fontId="103" fillId="18" borderId="30" xfId="16" applyNumberFormat="1" applyFont="1" applyFill="1" applyBorder="1" applyAlignment="1">
      <alignment horizontal="center" vertical="top" wrapText="1"/>
    </xf>
    <xf numFmtId="180" fontId="103" fillId="18" borderId="37" xfId="16" applyNumberFormat="1" applyFont="1" applyFill="1" applyBorder="1" applyAlignment="1">
      <alignment horizontal="center" vertical="top" wrapText="1"/>
    </xf>
    <xf numFmtId="180" fontId="103" fillId="18" borderId="111" xfId="16" applyNumberFormat="1" applyFont="1" applyFill="1" applyBorder="1" applyAlignment="1">
      <alignment horizontal="center" vertical="top" wrapText="1"/>
    </xf>
    <xf numFmtId="0" fontId="116" fillId="0" borderId="9" xfId="6" applyFont="1" applyBorder="1" applyAlignment="1">
      <alignment horizontal="left" vertical="top" wrapText="1"/>
    </xf>
    <xf numFmtId="0" fontId="116" fillId="0" borderId="10" xfId="6" applyFont="1" applyBorder="1" applyAlignment="1">
      <alignment horizontal="left" vertical="top" wrapText="1"/>
    </xf>
    <xf numFmtId="0" fontId="116" fillId="0" borderId="12" xfId="6" applyFont="1" applyBorder="1" applyAlignment="1">
      <alignment horizontal="left" vertical="top" wrapText="1"/>
    </xf>
    <xf numFmtId="0" fontId="2" fillId="0" borderId="0" xfId="0" applyFont="1" applyAlignment="1">
      <alignment horizontal="center" wrapText="1"/>
    </xf>
    <xf numFmtId="0" fontId="2" fillId="0" borderId="0" xfId="0" applyFont="1" applyAlignment="1">
      <alignment horizontal="center"/>
    </xf>
    <xf numFmtId="0" fontId="0" fillId="0" borderId="0" xfId="0" applyAlignment="1">
      <alignment horizontal="left" vertical="top" wrapText="1"/>
    </xf>
    <xf numFmtId="0" fontId="44" fillId="7" borderId="49"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5" fillId="7" borderId="49" xfId="5" applyFill="1" applyBorder="1" applyAlignment="1">
      <alignment horizontal="center" vertical="center" wrapText="1"/>
    </xf>
    <xf numFmtId="0" fontId="45" fillId="7" borderId="50" xfId="5" applyFill="1" applyBorder="1" applyAlignment="1">
      <alignment horizontal="center" vertical="center" wrapText="1"/>
    </xf>
    <xf numFmtId="0" fontId="44" fillId="18" borderId="49" xfId="0" applyFont="1" applyFill="1" applyBorder="1" applyAlignment="1">
      <alignment horizontal="center" vertical="center" wrapText="1"/>
    </xf>
    <xf numFmtId="0" fontId="44" fillId="18" borderId="50" xfId="0" applyFont="1" applyFill="1" applyBorder="1" applyAlignment="1">
      <alignment horizontal="center" vertical="center" wrapText="1"/>
    </xf>
    <xf numFmtId="0" fontId="45" fillId="18" borderId="49" xfId="5" applyFill="1" applyBorder="1" applyAlignment="1">
      <alignment horizontal="center" vertical="center" wrapText="1"/>
    </xf>
    <xf numFmtId="0" fontId="45" fillId="18" borderId="50" xfId="5" applyFill="1" applyBorder="1" applyAlignment="1">
      <alignment horizontal="center" vertical="center" wrapText="1"/>
    </xf>
    <xf numFmtId="165" fontId="15" fillId="0" borderId="0" xfId="1" applyNumberFormat="1" applyFont="1" applyBorder="1" applyAlignment="1">
      <alignment horizontal="center" vertical="center" wrapText="1"/>
    </xf>
    <xf numFmtId="1" fontId="15" fillId="0" borderId="0" xfId="1" applyNumberFormat="1" applyFont="1" applyBorder="1" applyAlignment="1">
      <alignment horizontal="center" vertical="center" wrapText="1"/>
    </xf>
    <xf numFmtId="164" fontId="15" fillId="0" borderId="0" xfId="1" applyFont="1" applyBorder="1" applyAlignment="1">
      <alignment horizontal="center" wrapText="1"/>
    </xf>
    <xf numFmtId="0" fontId="6" fillId="0" borderId="9" xfId="0" applyFont="1" applyBorder="1" applyAlignment="1">
      <alignment horizontal="left"/>
    </xf>
    <xf numFmtId="0" fontId="6" fillId="0" borderId="10"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5" fillId="0" borderId="0" xfId="0" applyFont="1" applyBorder="1" applyAlignment="1">
      <alignment horizontal="center"/>
    </xf>
    <xf numFmtId="0" fontId="5" fillId="0" borderId="53" xfId="0" applyFont="1" applyFill="1" applyBorder="1" applyAlignment="1">
      <alignment horizontal="center"/>
    </xf>
    <xf numFmtId="0" fontId="7" fillId="0" borderId="53" xfId="0" applyFont="1" applyBorder="1" applyAlignment="1">
      <alignment horizontal="center" vertical="center"/>
    </xf>
    <xf numFmtId="0" fontId="5" fillId="0" borderId="52" xfId="0" applyNumberFormat="1" applyFont="1" applyFill="1" applyBorder="1" applyAlignment="1">
      <alignment horizontal="center" vertical="center" wrapText="1"/>
    </xf>
    <xf numFmtId="0" fontId="5" fillId="0" borderId="51" xfId="0" applyNumberFormat="1" applyFont="1" applyFill="1" applyBorder="1" applyAlignment="1">
      <alignment horizontal="center" vertical="center" wrapText="1"/>
    </xf>
    <xf numFmtId="0" fontId="5" fillId="0" borderId="59" xfId="0" applyFont="1" applyFill="1" applyBorder="1" applyAlignment="1">
      <alignment horizontal="center"/>
    </xf>
    <xf numFmtId="0" fontId="5" fillId="0" borderId="4" xfId="0" applyFont="1" applyFill="1" applyBorder="1" applyAlignment="1">
      <alignment horizontal="center"/>
    </xf>
    <xf numFmtId="0" fontId="5" fillId="0" borderId="5" xfId="0" applyFont="1" applyFill="1" applyBorder="1" applyAlignment="1">
      <alignment horizontal="center"/>
    </xf>
    <xf numFmtId="0" fontId="5" fillId="0" borderId="53" xfId="0" applyNumberFormat="1" applyFont="1" applyFill="1" applyBorder="1" applyAlignment="1">
      <alignment horizontal="center" vertical="center" wrapText="1"/>
    </xf>
    <xf numFmtId="0" fontId="5" fillId="0" borderId="5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3" xfId="0" applyFont="1" applyBorder="1" applyAlignment="1">
      <alignment horizontal="center" vertical="center"/>
    </xf>
    <xf numFmtId="165" fontId="2" fillId="0" borderId="0" xfId="1" applyNumberFormat="1" applyFont="1" applyBorder="1" applyAlignment="1">
      <alignment horizontal="center"/>
    </xf>
    <xf numFmtId="165" fontId="2" fillId="0" borderId="0" xfId="1" applyNumberFormat="1" applyFont="1" applyFill="1" applyBorder="1" applyAlignment="1">
      <alignment horizontal="center" wrapText="1"/>
    </xf>
    <xf numFmtId="0" fontId="11" fillId="7" borderId="21" xfId="0" applyFont="1" applyFill="1" applyBorder="1" applyAlignment="1">
      <alignment horizontal="center" vertical="center" wrapText="1"/>
    </xf>
    <xf numFmtId="0" fontId="11" fillId="7" borderId="22" xfId="0" applyFont="1" applyFill="1" applyBorder="1" applyAlignment="1">
      <alignment horizontal="center" vertical="center" wrapText="1"/>
    </xf>
    <xf numFmtId="0" fontId="13" fillId="7" borderId="21" xfId="0" applyFont="1" applyFill="1" applyBorder="1" applyAlignment="1">
      <alignment horizontal="justify" vertical="center" wrapText="1"/>
    </xf>
    <xf numFmtId="0" fontId="13" fillId="7" borderId="27" xfId="0" applyFont="1" applyFill="1" applyBorder="1" applyAlignment="1">
      <alignment horizontal="justify" vertical="center" wrapText="1"/>
    </xf>
    <xf numFmtId="0" fontId="13" fillId="7" borderId="22" xfId="0" applyFont="1" applyFill="1" applyBorder="1" applyAlignment="1">
      <alignment horizontal="justify" vertical="center" wrapText="1"/>
    </xf>
    <xf numFmtId="0" fontId="12" fillId="7" borderId="21" xfId="0" applyFont="1" applyFill="1" applyBorder="1" applyAlignment="1">
      <alignment horizontal="center" vertical="center" wrapText="1"/>
    </xf>
    <xf numFmtId="0" fontId="12" fillId="7" borderId="22" xfId="0" applyFont="1" applyFill="1" applyBorder="1" applyAlignment="1">
      <alignment horizontal="center" vertical="center" wrapText="1"/>
    </xf>
    <xf numFmtId="0" fontId="13" fillId="7" borderId="21" xfId="0" applyFont="1" applyFill="1" applyBorder="1" applyAlignment="1">
      <alignment horizontal="center" vertical="center" wrapText="1"/>
    </xf>
    <xf numFmtId="0" fontId="13" fillId="7" borderId="22" xfId="0" applyFont="1" applyFill="1" applyBorder="1" applyAlignment="1">
      <alignment horizontal="center" vertical="center" wrapText="1"/>
    </xf>
    <xf numFmtId="0" fontId="12" fillId="8" borderId="21"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13" fillId="8" borderId="21" xfId="0" applyFont="1" applyFill="1" applyBorder="1" applyAlignment="1">
      <alignment horizontal="justify" vertical="center" wrapText="1"/>
    </xf>
    <xf numFmtId="0" fontId="13" fillId="8" borderId="22" xfId="0" applyFont="1" applyFill="1" applyBorder="1" applyAlignment="1">
      <alignment horizontal="justify" vertical="center" wrapText="1"/>
    </xf>
    <xf numFmtId="0" fontId="13" fillId="8" borderId="21" xfId="0" applyFont="1" applyFill="1" applyBorder="1" applyAlignment="1">
      <alignment horizontal="center" vertical="center" wrapText="1"/>
    </xf>
    <xf numFmtId="0" fontId="13" fillId="8" borderId="22" xfId="0" applyFont="1" applyFill="1" applyBorder="1" applyAlignment="1">
      <alignment horizontal="center" vertical="center" wrapText="1"/>
    </xf>
    <xf numFmtId="0" fontId="11" fillId="7" borderId="28" xfId="0" applyFont="1" applyFill="1" applyBorder="1" applyAlignment="1">
      <alignment horizontal="center" vertical="center" wrapText="1"/>
    </xf>
    <xf numFmtId="0" fontId="11" fillId="7" borderId="29" xfId="0" applyFont="1" applyFill="1" applyBorder="1" applyAlignment="1">
      <alignment horizontal="center" vertical="center" wrapText="1"/>
    </xf>
    <xf numFmtId="0" fontId="11" fillId="7" borderId="23" xfId="0" applyFont="1" applyFill="1" applyBorder="1" applyAlignment="1">
      <alignment horizontal="center" vertical="center" wrapText="1"/>
    </xf>
    <xf numFmtId="0" fontId="18" fillId="0" borderId="31" xfId="4" applyFill="1" applyBorder="1" applyAlignment="1">
      <alignment horizontal="center" vertical="top" wrapText="1"/>
    </xf>
    <xf numFmtId="0" fontId="24" fillId="0" borderId="32" xfId="4" applyFont="1" applyFill="1" applyBorder="1" applyAlignment="1">
      <alignment horizontal="center" vertical="top" wrapText="1"/>
    </xf>
    <xf numFmtId="0" fontId="24" fillId="0" borderId="33" xfId="4" applyFont="1" applyFill="1" applyBorder="1" applyAlignment="1">
      <alignment horizontal="center" vertical="top" wrapText="1"/>
    </xf>
    <xf numFmtId="0" fontId="24" fillId="0" borderId="34" xfId="4" applyFont="1" applyFill="1" applyBorder="1" applyAlignment="1">
      <alignment horizontal="center" vertical="top" wrapText="1"/>
    </xf>
    <xf numFmtId="0" fontId="27" fillId="11" borderId="0" xfId="4" applyFont="1" applyFill="1" applyBorder="1" applyAlignment="1">
      <alignment horizontal="center" vertical="top" wrapText="1"/>
    </xf>
    <xf numFmtId="0" fontId="27" fillId="12" borderId="0" xfId="4" applyFont="1" applyFill="1" applyBorder="1" applyAlignment="1">
      <alignment horizontal="center" vertical="top" wrapText="1"/>
    </xf>
    <xf numFmtId="0" fontId="27" fillId="12" borderId="36" xfId="4" applyFont="1" applyFill="1" applyBorder="1" applyAlignment="1">
      <alignment horizontal="center" vertical="top" wrapText="1"/>
    </xf>
    <xf numFmtId="0" fontId="18" fillId="0" borderId="0" xfId="4" applyFill="1" applyBorder="1" applyAlignment="1">
      <alignment horizontal="left" vertical="top" wrapText="1" indent="28"/>
    </xf>
    <xf numFmtId="0" fontId="24" fillId="0" borderId="32" xfId="4" applyFont="1" applyFill="1" applyBorder="1" applyAlignment="1">
      <alignment horizontal="center" vertical="center" wrapText="1"/>
    </xf>
    <xf numFmtId="0" fontId="24" fillId="0" borderId="33" xfId="4" applyFont="1" applyFill="1" applyBorder="1" applyAlignment="1">
      <alignment horizontal="center" vertical="center" wrapText="1"/>
    </xf>
    <xf numFmtId="0" fontId="24" fillId="0" borderId="34" xfId="4" applyFont="1" applyFill="1" applyBorder="1" applyAlignment="1">
      <alignment horizontal="center" vertical="center" wrapText="1"/>
    </xf>
    <xf numFmtId="0" fontId="27" fillId="11" borderId="32" xfId="4" applyFont="1" applyFill="1" applyBorder="1" applyAlignment="1">
      <alignment horizontal="center" vertical="top" wrapText="1"/>
    </xf>
    <xf numFmtId="0" fontId="27" fillId="11" borderId="33" xfId="4" applyFont="1" applyFill="1" applyBorder="1" applyAlignment="1">
      <alignment horizontal="center" vertical="top" wrapText="1"/>
    </xf>
    <xf numFmtId="0" fontId="27" fillId="12" borderId="32" xfId="4" applyFont="1" applyFill="1" applyBorder="1" applyAlignment="1">
      <alignment horizontal="center" vertical="top" wrapText="1"/>
    </xf>
    <xf numFmtId="0" fontId="27" fillId="12" borderId="33" xfId="4" applyFont="1" applyFill="1" applyBorder="1" applyAlignment="1">
      <alignment horizontal="center" vertical="top" wrapText="1"/>
    </xf>
    <xf numFmtId="0" fontId="27" fillId="12" borderId="34" xfId="4" applyFont="1" applyFill="1" applyBorder="1" applyAlignment="1">
      <alignment horizontal="center" vertical="top" wrapText="1"/>
    </xf>
    <xf numFmtId="0" fontId="31" fillId="11" borderId="32" xfId="4" applyFont="1" applyFill="1" applyBorder="1" applyAlignment="1">
      <alignment horizontal="center" vertical="top" wrapText="1"/>
    </xf>
    <xf numFmtId="0" fontId="31" fillId="11" borderId="33" xfId="4" applyFont="1" applyFill="1" applyBorder="1" applyAlignment="1">
      <alignment horizontal="center" vertical="top" wrapText="1"/>
    </xf>
    <xf numFmtId="0" fontId="31" fillId="16" borderId="32" xfId="4" applyFont="1" applyFill="1" applyBorder="1" applyAlignment="1">
      <alignment horizontal="center" vertical="top" wrapText="1"/>
    </xf>
    <xf numFmtId="0" fontId="31" fillId="16" borderId="33" xfId="4" applyFont="1" applyFill="1" applyBorder="1" applyAlignment="1">
      <alignment horizontal="center" vertical="top" wrapText="1"/>
    </xf>
    <xf numFmtId="0" fontId="31" fillId="16" borderId="34" xfId="4" applyFont="1" applyFill="1" applyBorder="1" applyAlignment="1">
      <alignment horizontal="center" vertical="top" wrapText="1"/>
    </xf>
    <xf numFmtId="0" fontId="27" fillId="16" borderId="32" xfId="4" applyFont="1" applyFill="1" applyBorder="1" applyAlignment="1">
      <alignment horizontal="center" vertical="top" wrapText="1"/>
    </xf>
    <xf numFmtId="0" fontId="27" fillId="16" borderId="33" xfId="4" applyFont="1" applyFill="1" applyBorder="1" applyAlignment="1">
      <alignment horizontal="center" vertical="top" wrapText="1"/>
    </xf>
    <xf numFmtId="0" fontId="27" fillId="16" borderId="34" xfId="4" applyFont="1" applyFill="1" applyBorder="1" applyAlignment="1">
      <alignment horizontal="center" vertical="top" wrapText="1"/>
    </xf>
    <xf numFmtId="170" fontId="52" fillId="22" borderId="53" xfId="8" applyNumberFormat="1" applyFont="1" applyFill="1" applyBorder="1" applyAlignment="1">
      <alignment horizontal="center" vertical="center" wrapText="1" indent="1" shrinkToFit="1"/>
    </xf>
    <xf numFmtId="0" fontId="49" fillId="0" borderId="0" xfId="8" applyFont="1" applyBorder="1" applyAlignment="1">
      <alignment horizontal="left" vertical="top" wrapText="1"/>
    </xf>
    <xf numFmtId="170" fontId="52" fillId="0" borderId="53" xfId="8" applyNumberFormat="1" applyFont="1" applyBorder="1" applyAlignment="1">
      <alignment horizontal="left" vertical="top" indent="1" shrinkToFit="1"/>
    </xf>
    <xf numFmtId="0" fontId="53" fillId="0" borderId="53" xfId="8" applyFont="1" applyBorder="1" applyAlignment="1">
      <alignment horizontal="left" vertical="top" wrapText="1" indent="4"/>
    </xf>
    <xf numFmtId="0" fontId="55" fillId="0" borderId="53" xfId="8" applyFont="1" applyBorder="1" applyAlignment="1">
      <alignment horizontal="left" vertical="top" wrapText="1"/>
    </xf>
    <xf numFmtId="1" fontId="52" fillId="0" borderId="53" xfId="8" applyNumberFormat="1" applyFont="1" applyBorder="1" applyAlignment="1">
      <alignment horizontal="left" vertical="top" indent="3" shrinkToFit="1"/>
    </xf>
    <xf numFmtId="0" fontId="55" fillId="0" borderId="53" xfId="8" applyFont="1" applyBorder="1" applyAlignment="1">
      <alignment horizontal="left" vertical="top" wrapText="1" indent="1"/>
    </xf>
    <xf numFmtId="2" fontId="52" fillId="0" borderId="53" xfId="8" applyNumberFormat="1" applyFont="1" applyBorder="1" applyAlignment="1">
      <alignment horizontal="left" vertical="top" indent="1" shrinkToFit="1"/>
    </xf>
    <xf numFmtId="0" fontId="53" fillId="0" borderId="53" xfId="8" applyFont="1" applyBorder="1" applyAlignment="1">
      <alignment horizontal="left" vertical="top" wrapText="1" indent="1"/>
    </xf>
    <xf numFmtId="2" fontId="52" fillId="0" borderId="53" xfId="8" applyNumberFormat="1" applyFont="1" applyBorder="1" applyAlignment="1">
      <alignment horizontal="left" vertical="center" indent="3" shrinkToFit="1"/>
    </xf>
    <xf numFmtId="0" fontId="55" fillId="0" borderId="53" xfId="8" applyFont="1" applyBorder="1" applyAlignment="1">
      <alignment horizontal="left" vertical="center" wrapText="1" indent="1"/>
    </xf>
    <xf numFmtId="2" fontId="52" fillId="0" borderId="53" xfId="8" applyNumberFormat="1" applyFont="1" applyBorder="1" applyAlignment="1">
      <alignment horizontal="left" vertical="center" indent="1" shrinkToFit="1"/>
    </xf>
    <xf numFmtId="170" fontId="52" fillId="0" borderId="51" xfId="8" applyNumberFormat="1" applyFont="1" applyBorder="1" applyAlignment="1">
      <alignment horizontal="left" vertical="top" indent="1" shrinkToFit="1"/>
    </xf>
    <xf numFmtId="0" fontId="53" fillId="0" borderId="51" xfId="8" applyFont="1" applyBorder="1" applyAlignment="1">
      <alignment horizontal="left" vertical="top" wrapText="1" indent="3"/>
    </xf>
    <xf numFmtId="0" fontId="55" fillId="0" borderId="51" xfId="8" applyFont="1" applyBorder="1" applyAlignment="1">
      <alignment horizontal="left" vertical="top" wrapText="1"/>
    </xf>
    <xf numFmtId="2" fontId="52" fillId="0" borderId="51" xfId="8" applyNumberFormat="1" applyFont="1" applyBorder="1" applyAlignment="1">
      <alignment horizontal="left" vertical="top" indent="1" shrinkToFit="1"/>
    </xf>
    <xf numFmtId="0" fontId="55" fillId="0" borderId="51" xfId="8" applyFont="1" applyBorder="1" applyAlignment="1">
      <alignment horizontal="left" vertical="top" wrapText="1" indent="1"/>
    </xf>
    <xf numFmtId="169" fontId="52" fillId="0" borderId="53" xfId="8" applyNumberFormat="1" applyFont="1" applyBorder="1" applyAlignment="1">
      <alignment horizontal="left" vertical="center" indent="3" shrinkToFit="1"/>
    </xf>
    <xf numFmtId="0" fontId="53" fillId="0" borderId="53" xfId="8" applyFont="1" applyBorder="1" applyAlignment="1">
      <alignment horizontal="left" vertical="top" wrapText="1" indent="3"/>
    </xf>
    <xf numFmtId="1" fontId="52" fillId="0" borderId="53" xfId="8" applyNumberFormat="1" applyFont="1" applyBorder="1" applyAlignment="1">
      <alignment horizontal="left" vertical="center" indent="3" shrinkToFit="1"/>
    </xf>
    <xf numFmtId="170" fontId="52" fillId="0" borderId="52" xfId="8" applyNumberFormat="1" applyFont="1" applyBorder="1" applyAlignment="1">
      <alignment horizontal="left" vertical="top" indent="1" shrinkToFit="1"/>
    </xf>
    <xf numFmtId="0" fontId="53" fillId="0" borderId="52" xfId="8" applyFont="1" applyBorder="1" applyAlignment="1">
      <alignment horizontal="left" vertical="top" wrapText="1" indent="3"/>
    </xf>
    <xf numFmtId="0" fontId="55" fillId="0" borderId="52" xfId="8" applyFont="1" applyBorder="1" applyAlignment="1">
      <alignment horizontal="left" vertical="top" wrapText="1"/>
    </xf>
    <xf numFmtId="1" fontId="52" fillId="0" borderId="52" xfId="8" applyNumberFormat="1" applyFont="1" applyBorder="1" applyAlignment="1">
      <alignment horizontal="left" vertical="center" indent="3" shrinkToFit="1"/>
    </xf>
    <xf numFmtId="0" fontId="55" fillId="0" borderId="52" xfId="8" applyFont="1" applyBorder="1" applyAlignment="1">
      <alignment horizontal="left" vertical="center" wrapText="1" indent="1"/>
    </xf>
    <xf numFmtId="0" fontId="53" fillId="0" borderId="53" xfId="8" applyFont="1" applyBorder="1" applyAlignment="1">
      <alignment horizontal="center" vertical="top" wrapText="1"/>
    </xf>
    <xf numFmtId="0" fontId="55" fillId="0" borderId="53" xfId="8" applyFont="1" applyBorder="1" applyAlignment="1">
      <alignment horizontal="center" vertical="top" wrapText="1"/>
    </xf>
    <xf numFmtId="0" fontId="55" fillId="0" borderId="53" xfId="8" applyFont="1" applyBorder="1" applyAlignment="1">
      <alignment horizontal="center" vertical="center" wrapText="1"/>
    </xf>
    <xf numFmtId="0" fontId="48" fillId="0" borderId="53" xfId="8" applyBorder="1" applyAlignment="1">
      <alignment horizontal="left" vertical="top" wrapText="1"/>
    </xf>
    <xf numFmtId="0" fontId="55" fillId="0" borderId="51" xfId="8" applyFont="1" applyBorder="1" applyAlignment="1">
      <alignment horizontal="left" vertical="center" wrapText="1" indent="1"/>
    </xf>
    <xf numFmtId="169" fontId="52" fillId="0" borderId="53" xfId="8" applyNumberFormat="1" applyFont="1" applyBorder="1" applyAlignment="1">
      <alignment horizontal="left" vertical="top" indent="3" shrinkToFit="1"/>
    </xf>
    <xf numFmtId="0" fontId="55" fillId="0" borderId="51" xfId="8" applyFont="1" applyBorder="1" applyAlignment="1">
      <alignment horizontal="left" vertical="center" wrapText="1" indent="3"/>
    </xf>
    <xf numFmtId="2" fontId="52" fillId="0" borderId="51" xfId="8" applyNumberFormat="1" applyFont="1" applyBorder="1" applyAlignment="1">
      <alignment horizontal="left" vertical="center" indent="1" shrinkToFit="1"/>
    </xf>
    <xf numFmtId="0" fontId="55" fillId="0" borderId="53" xfId="8" applyFont="1" applyBorder="1" applyAlignment="1">
      <alignment horizontal="left" vertical="center" wrapText="1" indent="3"/>
    </xf>
    <xf numFmtId="0" fontId="55" fillId="0" borderId="53" xfId="8" applyFont="1" applyBorder="1" applyAlignment="1">
      <alignment horizontal="left" vertical="top" wrapText="1" indent="3"/>
    </xf>
    <xf numFmtId="2" fontId="57" fillId="0" borderId="53" xfId="8" applyNumberFormat="1" applyFont="1" applyBorder="1" applyAlignment="1">
      <alignment horizontal="left" vertical="top" indent="1" shrinkToFit="1"/>
    </xf>
    <xf numFmtId="0" fontId="50" fillId="0" borderId="53" xfId="8" applyFont="1" applyBorder="1" applyAlignment="1">
      <alignment horizontal="left" vertical="top" wrapText="1" indent="1"/>
    </xf>
    <xf numFmtId="2" fontId="56" fillId="0" borderId="53" xfId="8" applyNumberFormat="1" applyFont="1" applyBorder="1" applyAlignment="1">
      <alignment horizontal="left" vertical="top" indent="3" shrinkToFit="1"/>
    </xf>
    <xf numFmtId="0" fontId="71" fillId="25" borderId="42" xfId="8" applyFont="1" applyFill="1" applyBorder="1" applyAlignment="1">
      <alignment horizontal="center" vertical="center" wrapText="1"/>
    </xf>
    <xf numFmtId="0" fontId="71" fillId="25" borderId="69" xfId="8" applyFont="1" applyFill="1" applyBorder="1" applyAlignment="1">
      <alignment horizontal="center" vertical="center" wrapText="1"/>
    </xf>
    <xf numFmtId="2" fontId="71" fillId="25" borderId="72" xfId="8" applyNumberFormat="1" applyFont="1" applyFill="1" applyBorder="1" applyAlignment="1">
      <alignment horizontal="center" vertical="center" wrapText="1"/>
    </xf>
    <xf numFmtId="2" fontId="71" fillId="25" borderId="75" xfId="8" applyNumberFormat="1" applyFont="1" applyFill="1" applyBorder="1" applyAlignment="1">
      <alignment horizontal="center" vertical="center" wrapText="1"/>
    </xf>
    <xf numFmtId="0" fontId="76" fillId="14" borderId="67" xfId="8" applyFont="1" applyFill="1" applyBorder="1" applyAlignment="1">
      <alignment horizontal="center" vertical="center" wrapText="1"/>
    </xf>
    <xf numFmtId="0" fontId="76" fillId="15" borderId="82" xfId="8" applyFont="1" applyFill="1" applyBorder="1" applyAlignment="1">
      <alignment horizontal="center" vertical="center" wrapText="1"/>
    </xf>
    <xf numFmtId="0" fontId="76" fillId="15" borderId="67" xfId="8" applyFont="1" applyFill="1" applyBorder="1" applyAlignment="1">
      <alignment horizontal="center" vertical="center" wrapText="1"/>
    </xf>
    <xf numFmtId="0" fontId="76" fillId="15" borderId="74" xfId="8" applyFont="1" applyFill="1" applyBorder="1" applyAlignment="1">
      <alignment horizontal="center" vertical="center" wrapText="1"/>
    </xf>
    <xf numFmtId="0" fontId="72" fillId="0" borderId="0" xfId="8" applyFont="1" applyBorder="1" applyAlignment="1">
      <alignment horizontal="center" vertical="center" wrapText="1"/>
    </xf>
    <xf numFmtId="0" fontId="73" fillId="0" borderId="0" xfId="8" applyFont="1" applyBorder="1" applyAlignment="1">
      <alignment horizontal="center" vertical="center"/>
    </xf>
    <xf numFmtId="0" fontId="73" fillId="0" borderId="0" xfId="8" applyFont="1" applyBorder="1" applyAlignment="1">
      <alignment horizontal="center" vertical="center" wrapText="1"/>
    </xf>
    <xf numFmtId="0" fontId="74" fillId="0" borderId="0" xfId="8" applyFont="1" applyBorder="1" applyAlignment="1">
      <alignment horizontal="center" vertical="center" wrapText="1"/>
    </xf>
    <xf numFmtId="0" fontId="71" fillId="25" borderId="61" xfId="8" applyFont="1" applyFill="1" applyBorder="1" applyAlignment="1">
      <alignment horizontal="center" vertical="center"/>
    </xf>
    <xf numFmtId="0" fontId="71" fillId="25" borderId="67" xfId="8" applyFont="1" applyFill="1" applyBorder="1" applyAlignment="1">
      <alignment horizontal="center" vertical="center"/>
    </xf>
    <xf numFmtId="0" fontId="71" fillId="25" borderId="74" xfId="8" applyFont="1" applyFill="1" applyBorder="1" applyAlignment="1">
      <alignment horizontal="center" vertical="center"/>
    </xf>
    <xf numFmtId="0" fontId="71" fillId="25" borderId="62" xfId="8" applyFont="1" applyFill="1" applyBorder="1" applyAlignment="1">
      <alignment horizontal="center" vertical="center" wrapText="1"/>
    </xf>
    <xf numFmtId="0" fontId="71" fillId="25" borderId="68" xfId="8" applyFont="1" applyFill="1" applyBorder="1" applyAlignment="1">
      <alignment horizontal="center" vertical="center" wrapText="1"/>
    </xf>
    <xf numFmtId="0" fontId="71" fillId="25" borderId="75" xfId="8" applyFont="1" applyFill="1" applyBorder="1" applyAlignment="1">
      <alignment horizontal="center" vertical="center" wrapText="1"/>
    </xf>
    <xf numFmtId="0" fontId="71" fillId="25" borderId="63" xfId="8" applyFont="1" applyFill="1" applyBorder="1" applyAlignment="1">
      <alignment horizontal="center" vertical="top"/>
    </xf>
    <xf numFmtId="0" fontId="71" fillId="25" borderId="64" xfId="8" applyFont="1" applyFill="1" applyBorder="1" applyAlignment="1">
      <alignment horizontal="center" vertical="top"/>
    </xf>
    <xf numFmtId="0" fontId="71" fillId="25" borderId="65" xfId="8" applyFont="1" applyFill="1" applyBorder="1" applyAlignment="1">
      <alignment horizontal="center" vertical="top"/>
    </xf>
    <xf numFmtId="0" fontId="71" fillId="25" borderId="66" xfId="8" applyFont="1" applyFill="1" applyBorder="1" applyAlignment="1">
      <alignment horizontal="center" vertical="center" wrapText="1"/>
    </xf>
    <xf numFmtId="0" fontId="71" fillId="25" borderId="73" xfId="8" applyFont="1" applyFill="1" applyBorder="1" applyAlignment="1">
      <alignment horizontal="center" vertical="center" wrapText="1"/>
    </xf>
    <xf numFmtId="0" fontId="71" fillId="25" borderId="77" xfId="8" applyFont="1" applyFill="1" applyBorder="1" applyAlignment="1">
      <alignment horizontal="center" vertical="center" wrapText="1"/>
    </xf>
    <xf numFmtId="0" fontId="71" fillId="25" borderId="69" xfId="8" applyFont="1" applyFill="1" applyBorder="1" applyAlignment="1">
      <alignment horizontal="center" vertical="center"/>
    </xf>
    <xf numFmtId="0" fontId="71" fillId="25" borderId="70" xfId="8" applyFont="1" applyFill="1" applyBorder="1" applyAlignment="1">
      <alignment horizontal="center" vertical="center"/>
    </xf>
    <xf numFmtId="0" fontId="71" fillId="25" borderId="71" xfId="8" applyFont="1" applyFill="1" applyBorder="1" applyAlignment="1">
      <alignment horizontal="center" vertical="center"/>
    </xf>
    <xf numFmtId="0" fontId="76" fillId="14" borderId="82" xfId="8" applyFont="1" applyFill="1" applyBorder="1" applyAlignment="1">
      <alignment horizontal="center" vertical="center" wrapText="1"/>
    </xf>
    <xf numFmtId="0" fontId="76" fillId="14" borderId="83" xfId="8" applyFont="1" applyFill="1" applyBorder="1" applyAlignment="1">
      <alignment horizontal="center" vertical="center" wrapText="1"/>
    </xf>
    <xf numFmtId="0" fontId="79" fillId="0" borderId="0" xfId="8" applyFont="1" applyFill="1" applyBorder="1" applyAlignment="1">
      <alignment horizontal="left" wrapText="1"/>
    </xf>
    <xf numFmtId="0" fontId="79" fillId="0" borderId="0" xfId="8" applyFont="1" applyFill="1" applyBorder="1" applyAlignment="1">
      <alignment horizontal="left"/>
    </xf>
    <xf numFmtId="0" fontId="71" fillId="25" borderId="88" xfId="8" applyNumberFormat="1" applyFont="1" applyFill="1" applyBorder="1" applyAlignment="1">
      <alignment horizontal="center" vertical="center" wrapText="1"/>
    </xf>
    <xf numFmtId="0" fontId="71" fillId="25" borderId="92" xfId="8" applyNumberFormat="1" applyFont="1" applyFill="1" applyBorder="1" applyAlignment="1">
      <alignment horizontal="center" vertical="center"/>
    </xf>
    <xf numFmtId="0" fontId="71" fillId="25" borderId="89" xfId="8" applyNumberFormat="1" applyFont="1" applyFill="1" applyBorder="1" applyAlignment="1">
      <alignment horizontal="center" vertical="center"/>
    </xf>
    <xf numFmtId="0" fontId="71" fillId="25" borderId="93" xfId="8" applyNumberFormat="1" applyFont="1" applyFill="1" applyBorder="1" applyAlignment="1">
      <alignment horizontal="center" vertical="center"/>
    </xf>
    <xf numFmtId="0" fontId="71" fillId="25" borderId="90" xfId="8" applyFont="1" applyFill="1" applyBorder="1" applyAlignment="1">
      <alignment horizontal="center" vertical="center"/>
    </xf>
    <xf numFmtId="0" fontId="71" fillId="25" borderId="91" xfId="8" applyFont="1" applyFill="1" applyBorder="1" applyAlignment="1">
      <alignment horizontal="center" vertical="center"/>
    </xf>
    <xf numFmtId="0" fontId="71" fillId="25" borderId="92" xfId="8" applyFont="1" applyFill="1" applyBorder="1" applyAlignment="1">
      <alignment horizontal="center" vertical="center"/>
    </xf>
    <xf numFmtId="0" fontId="71" fillId="25" borderId="89" xfId="8" applyFont="1" applyFill="1" applyBorder="1" applyAlignment="1">
      <alignment horizontal="center" vertical="center"/>
    </xf>
    <xf numFmtId="0" fontId="71" fillId="25" borderId="93" xfId="8" applyFont="1" applyFill="1" applyBorder="1" applyAlignment="1">
      <alignment horizontal="center" vertical="center"/>
    </xf>
    <xf numFmtId="0" fontId="71" fillId="25" borderId="5" xfId="8" applyFont="1" applyFill="1" applyBorder="1" applyAlignment="1">
      <alignment horizontal="center" vertical="center" wrapText="1"/>
    </xf>
    <xf numFmtId="0" fontId="71" fillId="25" borderId="95" xfId="8" applyFont="1" applyFill="1" applyBorder="1" applyAlignment="1">
      <alignment horizontal="center" vertical="center"/>
    </xf>
    <xf numFmtId="0" fontId="77" fillId="0" borderId="0" xfId="8" applyFont="1" applyFill="1" applyBorder="1" applyAlignment="1">
      <alignment horizontal="left"/>
    </xf>
    <xf numFmtId="0" fontId="71" fillId="25" borderId="59" xfId="8" applyFont="1" applyFill="1" applyBorder="1" applyAlignment="1">
      <alignment horizontal="left" vertical="center"/>
    </xf>
    <xf numFmtId="0" fontId="71" fillId="25" borderId="4" xfId="8" applyFont="1" applyFill="1" applyBorder="1" applyAlignment="1">
      <alignment horizontal="left" vertical="center"/>
    </xf>
    <xf numFmtId="0" fontId="71" fillId="25" borderId="101" xfId="8" applyFont="1" applyFill="1" applyBorder="1" applyAlignment="1">
      <alignment horizontal="left" vertical="center"/>
    </xf>
    <xf numFmtId="0" fontId="79" fillId="0" borderId="0" xfId="8" applyFont="1" applyFill="1" applyBorder="1" applyAlignment="1">
      <alignment horizontal="left" vertical="justify"/>
    </xf>
    <xf numFmtId="0" fontId="71" fillId="25" borderId="77" xfId="8" applyFont="1" applyFill="1" applyBorder="1" applyAlignment="1">
      <alignment horizontal="center" vertical="center"/>
    </xf>
    <xf numFmtId="0" fontId="71" fillId="25" borderId="94" xfId="8" applyFont="1" applyFill="1" applyBorder="1" applyAlignment="1">
      <alignment horizontal="center" vertical="center"/>
    </xf>
    <xf numFmtId="2" fontId="71" fillId="3" borderId="97" xfId="8" applyNumberFormat="1" applyFont="1" applyFill="1" applyBorder="1" applyAlignment="1">
      <alignment horizontal="right" vertical="center"/>
    </xf>
    <xf numFmtId="2" fontId="71" fillId="3" borderId="83" xfId="8" applyNumberFormat="1" applyFont="1" applyFill="1" applyBorder="1" applyAlignment="1">
      <alignment horizontal="right" vertical="center"/>
    </xf>
    <xf numFmtId="2" fontId="71" fillId="3" borderId="98" xfId="8" applyNumberFormat="1" applyFont="1" applyFill="1" applyBorder="1" applyAlignment="1">
      <alignment horizontal="right" vertical="center"/>
    </xf>
    <xf numFmtId="0" fontId="71" fillId="25" borderId="59" xfId="8" applyFont="1" applyFill="1" applyBorder="1" applyAlignment="1">
      <alignment horizontal="justify" vertical="justify" wrapText="1"/>
    </xf>
    <xf numFmtId="0" fontId="71" fillId="25" borderId="4" xfId="8" applyFont="1" applyFill="1" applyBorder="1" applyAlignment="1">
      <alignment horizontal="justify" vertical="justify" wrapText="1"/>
    </xf>
    <xf numFmtId="0" fontId="71" fillId="25" borderId="4" xfId="8" applyFont="1" applyFill="1" applyBorder="1" applyAlignment="1">
      <alignment vertical="center"/>
    </xf>
    <xf numFmtId="0" fontId="71" fillId="25" borderId="101" xfId="8" applyFont="1" applyFill="1" applyBorder="1" applyAlignment="1">
      <alignment vertical="center"/>
    </xf>
    <xf numFmtId="0" fontId="84" fillId="0" borderId="0" xfId="8" applyFont="1" applyBorder="1" applyAlignment="1">
      <alignment horizontal="center" vertical="center" wrapText="1"/>
    </xf>
    <xf numFmtId="0" fontId="73" fillId="0" borderId="0" xfId="8" applyFont="1" applyBorder="1" applyAlignment="1">
      <alignment horizontal="right"/>
    </xf>
    <xf numFmtId="0" fontId="71" fillId="26" borderId="103" xfId="8" applyFont="1" applyFill="1" applyBorder="1" applyAlignment="1">
      <alignment horizontal="center" vertical="center" wrapText="1"/>
    </xf>
    <xf numFmtId="0" fontId="71" fillId="26" borderId="81" xfId="8" applyFont="1" applyFill="1" applyBorder="1" applyAlignment="1">
      <alignment horizontal="center" vertical="center" wrapText="1"/>
    </xf>
    <xf numFmtId="0" fontId="76" fillId="15" borderId="83" xfId="8" applyFont="1" applyFill="1" applyBorder="1" applyAlignment="1">
      <alignment horizontal="center" vertical="center" wrapText="1"/>
    </xf>
    <xf numFmtId="2" fontId="73" fillId="0" borderId="0" xfId="8" applyNumberFormat="1" applyFont="1" applyBorder="1" applyAlignment="1">
      <alignment horizontal="right"/>
    </xf>
    <xf numFmtId="0" fontId="69" fillId="0" borderId="60" xfId="0" applyFont="1" applyBorder="1" applyAlignment="1">
      <alignment horizontal="center" wrapText="1"/>
    </xf>
    <xf numFmtId="0" fontId="69" fillId="0" borderId="53" xfId="0" applyFont="1" applyBorder="1" applyAlignment="1">
      <alignment horizontal="center"/>
    </xf>
    <xf numFmtId="9" fontId="69" fillId="0" borderId="53" xfId="0" applyNumberFormat="1" applyFont="1" applyBorder="1" applyAlignment="1">
      <alignment horizontal="center"/>
    </xf>
    <xf numFmtId="0" fontId="0" fillId="0" borderId="59" xfId="0" applyBorder="1" applyAlignment="1">
      <alignment horizontal="center" vertical="center"/>
    </xf>
    <xf numFmtId="0" fontId="0" fillId="0" borderId="59" xfId="0" applyBorder="1" applyAlignment="1">
      <alignment horizontal="center" vertical="center" wrapText="1"/>
    </xf>
    <xf numFmtId="0" fontId="0" fillId="0" borderId="0" xfId="0" applyAlignment="1">
      <alignment horizontal="center"/>
    </xf>
  </cellXfs>
  <cellStyles count="20">
    <cellStyle name="Comma" xfId="1" builtinId="3"/>
    <cellStyle name="Comma 2" xfId="15"/>
    <cellStyle name="Hyperlink" xfId="5" builtinId="8"/>
    <cellStyle name="Normal" xfId="0" builtinId="0"/>
    <cellStyle name="Normal 2" xfId="3"/>
    <cellStyle name="Normal 2 2" xfId="17"/>
    <cellStyle name="Normal 3" xfId="4"/>
    <cellStyle name="Normal 3 2" xfId="6"/>
    <cellStyle name="Normal 3 3" xfId="19"/>
    <cellStyle name="Normal 4" xfId="7"/>
    <cellStyle name="Normal 5" xfId="8"/>
    <cellStyle name="Normal 6" xfId="16"/>
    <cellStyle name="Normal 6 2" xfId="18"/>
    <cellStyle name="Percent" xfId="2" builtinId="5"/>
    <cellStyle name="Pivot Table Category" xfId="11"/>
    <cellStyle name="Pivot Table Corner" xfId="9"/>
    <cellStyle name="Pivot Table Field" xfId="10"/>
    <cellStyle name="Pivot Table Result" xfId="14"/>
    <cellStyle name="Pivot Table Title" xfId="12"/>
    <cellStyle name="Pivot Table Value" xfId="13"/>
  </cellStyles>
  <dxfs count="17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2" formatCode="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77" formatCode="0.0000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auto="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border outline="0">
        <left style="thin">
          <color theme="4" tint="0.39997558519241921"/>
        </left>
      </border>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0" formatCode="General"/>
    </dxf>
    <dxf>
      <numFmt numFmtId="165" formatCode="_(* #,##0_);_(* \(#,##0\);_(* &quot;-&quot;??_);_(@_)"/>
    </dxf>
    <dxf>
      <numFmt numFmtId="0" formatCode="General"/>
    </dxf>
    <dxf>
      <numFmt numFmtId="0" formatCode="General"/>
    </dxf>
    <dxf>
      <numFmt numFmtId="0" formatCode="General"/>
    </dxf>
    <dxf>
      <numFmt numFmtId="2" formatCode="0.00"/>
    </dxf>
    <dxf>
      <font>
        <b val="0"/>
        <i val="0"/>
        <strike val="0"/>
        <condense val="0"/>
        <extend val="0"/>
        <outline val="0"/>
        <shadow val="0"/>
        <u val="none"/>
        <vertAlign val="baseline"/>
        <sz val="11"/>
        <color theme="1"/>
        <name val="Calibri"/>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style="thin">
          <color theme="4" tint="0.39997558519241921"/>
        </bottom>
        <vertical/>
        <horizontal/>
      </border>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215900</xdr:rowOff>
    </xdr:from>
    <xdr:to>
      <xdr:col>3</xdr:col>
      <xdr:colOff>1728108</xdr:colOff>
      <xdr:row>23</xdr:row>
      <xdr:rowOff>180221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184400"/>
          <a:ext cx="7176408" cy="2821821"/>
        </a:xfrm>
        <a:prstGeom prst="rect">
          <a:avLst/>
        </a:prstGeom>
      </xdr:spPr>
    </xdr:pic>
    <xdr:clientData/>
  </xdr:twoCellAnchor>
  <xdr:twoCellAnchor editAs="oneCell">
    <xdr:from>
      <xdr:col>0</xdr:col>
      <xdr:colOff>12700</xdr:colOff>
      <xdr:row>24</xdr:row>
      <xdr:rowOff>134543</xdr:rowOff>
    </xdr:from>
    <xdr:to>
      <xdr:col>3</xdr:col>
      <xdr:colOff>1550308</xdr:colOff>
      <xdr:row>35</xdr:row>
      <xdr:rowOff>259130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2700" y="5151043"/>
          <a:ext cx="6985908" cy="22200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2154225</xdr:colOff>
      <xdr:row>0</xdr:row>
      <xdr:rowOff>0</xdr:rowOff>
    </xdr:from>
    <xdr:ext cx="446412" cy="543548"/>
    <xdr:pic>
      <xdr:nvPicPr>
        <xdr:cNvPr id="2" name="image7.jpe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0250" y="0"/>
          <a:ext cx="446412" cy="54354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4</xdr:col>
      <xdr:colOff>2154225</xdr:colOff>
      <xdr:row>0</xdr:row>
      <xdr:rowOff>0</xdr:rowOff>
    </xdr:from>
    <xdr:ext cx="446412" cy="543548"/>
    <xdr:pic>
      <xdr:nvPicPr>
        <xdr:cNvPr id="2" name="image7.jpe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0250" y="0"/>
          <a:ext cx="446412" cy="5435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7</xdr:col>
      <xdr:colOff>157320</xdr:colOff>
      <xdr:row>44</xdr:row>
      <xdr:rowOff>210240</xdr:rowOff>
    </xdr:from>
    <xdr:to>
      <xdr:col>7</xdr:col>
      <xdr:colOff>558720</xdr:colOff>
      <xdr:row>44</xdr:row>
      <xdr:rowOff>216360</xdr:rowOff>
    </xdr:to>
    <xdr:sp macro="" textlink="">
      <xdr:nvSpPr>
        <xdr:cNvPr id="2" name="CustomShape 1">
          <a:extLst>
            <a:ext uri="{FF2B5EF4-FFF2-40B4-BE49-F238E27FC236}">
              <a16:creationId xmlns:a16="http://schemas.microsoft.com/office/drawing/2014/main" id="{00000000-0008-0000-1100-000002000000}"/>
            </a:ext>
          </a:extLst>
        </xdr:cNvPr>
        <xdr:cNvSpPr/>
      </xdr:nvSpPr>
      <xdr:spPr>
        <a:xfrm>
          <a:off x="6348570" y="11144940"/>
          <a:ext cx="401400" cy="6120"/>
        </a:xfrm>
        <a:custGeom>
          <a:avLst/>
          <a:gdLst/>
          <a:ahLst/>
          <a:cxnLst/>
          <a:rect l="l" t="t" r="r" b="b"/>
          <a:pathLst>
            <a:path w="304800" h="6350">
              <a:moveTo>
                <a:pt x="304800" y="0"/>
              </a:moveTo>
              <a:lnTo>
                <a:pt x="0" y="0"/>
              </a:lnTo>
              <a:lnTo>
                <a:pt x="0" y="6096"/>
              </a:lnTo>
              <a:lnTo>
                <a:pt x="304800" y="6096"/>
              </a:lnTo>
              <a:lnTo>
                <a:pt x="304800" y="0"/>
              </a:lnTo>
              <a:close/>
            </a:path>
          </a:pathLst>
        </a:custGeom>
        <a:solidFill>
          <a:srgbClr val="000000">
            <a:alpha val="50000"/>
          </a:srgbClr>
        </a:solidFill>
        <a:ln>
          <a:noFill/>
        </a:ln>
      </xdr:spPr>
      <xdr:style>
        <a:lnRef idx="0">
          <a:scrgbClr r="0" g="0" b="0"/>
        </a:lnRef>
        <a:fillRef idx="0">
          <a:scrgbClr r="0" g="0" b="0"/>
        </a:fillRef>
        <a:effectRef idx="0">
          <a:scrgbClr r="0" g="0" b="0"/>
        </a:effectRef>
        <a:fontRef idx="minor"/>
      </xdr:style>
    </xdr:sp>
    <xdr:clientData/>
  </xdr:twoCellAnchor>
  <xdr:twoCellAnchor>
    <xdr:from>
      <xdr:col>8</xdr:col>
      <xdr:colOff>234720</xdr:colOff>
      <xdr:row>44</xdr:row>
      <xdr:rowOff>210240</xdr:rowOff>
    </xdr:from>
    <xdr:to>
      <xdr:col>8</xdr:col>
      <xdr:colOff>557640</xdr:colOff>
      <xdr:row>44</xdr:row>
      <xdr:rowOff>216360</xdr:rowOff>
    </xdr:to>
    <xdr:sp macro="" textlink="">
      <xdr:nvSpPr>
        <xdr:cNvPr id="3" name="CustomShape 1">
          <a:extLst>
            <a:ext uri="{FF2B5EF4-FFF2-40B4-BE49-F238E27FC236}">
              <a16:creationId xmlns:a16="http://schemas.microsoft.com/office/drawing/2014/main" id="{00000000-0008-0000-1100-000003000000}"/>
            </a:ext>
          </a:extLst>
        </xdr:cNvPr>
        <xdr:cNvSpPr/>
      </xdr:nvSpPr>
      <xdr:spPr>
        <a:xfrm>
          <a:off x="7092720" y="11144940"/>
          <a:ext cx="322920" cy="6120"/>
        </a:xfrm>
        <a:custGeom>
          <a:avLst/>
          <a:gdLst/>
          <a:ahLst/>
          <a:cxnLst/>
          <a:rect l="l" t="t" r="r" b="b"/>
          <a:pathLst>
            <a:path w="323215" h="6350">
              <a:moveTo>
                <a:pt x="323088" y="0"/>
              </a:moveTo>
              <a:lnTo>
                <a:pt x="0" y="0"/>
              </a:lnTo>
              <a:lnTo>
                <a:pt x="0" y="6096"/>
              </a:lnTo>
              <a:lnTo>
                <a:pt x="323088" y="6096"/>
              </a:lnTo>
              <a:lnTo>
                <a:pt x="323088" y="0"/>
              </a:lnTo>
              <a:close/>
            </a:path>
          </a:pathLst>
        </a:custGeom>
        <a:solidFill>
          <a:srgbClr val="000000">
            <a:alpha val="50000"/>
          </a:srgbClr>
        </a:solidFill>
        <a:ln>
          <a:noFill/>
        </a:ln>
      </xdr:spPr>
      <xdr:style>
        <a:lnRef idx="0">
          <a:scrgbClr r="0" g="0" b="0"/>
        </a:lnRef>
        <a:fillRef idx="0">
          <a:scrgbClr r="0" g="0" b="0"/>
        </a:fillRef>
        <a:effectRef idx="0">
          <a:scrgbClr r="0" g="0" b="0"/>
        </a:effectRef>
        <a:fontRef idx="minor"/>
      </xdr:style>
    </xdr:sp>
    <xdr:clientData/>
  </xdr:twoCellAnchor>
</xdr:wsDr>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EnergyConvTech" tableColumnId="8"/>
      <queryTableField id="2" name="ModelGeography" tableColumnId="9"/>
      <queryTableField id="3" name="SubGeography1" tableColumnId="10"/>
      <queryTableField id="4" name="SubGeography2" tableColumnId="11"/>
      <queryTableField id="5" name="Year" tableColumnId="12"/>
      <queryTableField id="6" name="MaxCapacity" tableColumnId="13"/>
      <queryTableField id="7" name="MinCapacity" tableColumnId="14"/>
    </queryTableFields>
  </queryTableRefresh>
</queryTable>
</file>

<file path=xl/tables/_rels/table2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8" name="Regions" displayName="Regions" ref="A1:C26" totalsRowShown="0">
  <autoFilter ref="A1:C26"/>
  <tableColumns count="3">
    <tableColumn id="1" name="ModelGeography"/>
    <tableColumn id="2" name="SubGeography1" dataDxfId="172"/>
    <tableColumn id="3" name="SubGeography2" dataDxfId="171"/>
  </tableColumns>
  <tableStyleInfo name="TableStyleMedium2" showFirstColumn="0" showLastColumn="0" showRowStripes="1" showColumnStripes="0"/>
</table>
</file>

<file path=xl/tables/table10.xml><?xml version="1.0" encoding="utf-8"?>
<table xmlns="http://schemas.openxmlformats.org/spreadsheetml/2006/main" id="15" name="EG_OCGT_max" displayName="EG_OCGT_max" ref="W66:AH91" totalsRowShown="0">
  <autoFilter ref="W66:AH91"/>
  <tableColumns count="12">
    <tableColumn id="1" name="SubGeography2"/>
    <tableColumn id="2" name="2021" dataDxfId="153">
      <calculatedColumnFormula>EG_OCGT_min[[#This Row],[2021]]</calculatedColumnFormula>
    </tableColumn>
    <tableColumn id="3" name="2022">
      <calculatedColumnFormula>EG_OCGT_min[[#This Row],[2022]]</calculatedColumnFormula>
    </tableColumn>
    <tableColumn id="4" name="2023" dataDxfId="152">
      <calculatedColumnFormula>Z$92*$V38</calculatedColumnFormula>
    </tableColumn>
    <tableColumn id="5" name="2024">
      <calculatedColumnFormula>AA$92*$V38</calculatedColumnFormula>
    </tableColumn>
    <tableColumn id="6" name="2025">
      <calculatedColumnFormula>AB$92*$V38</calculatedColumnFormula>
    </tableColumn>
    <tableColumn id="7" name="2026">
      <calculatedColumnFormula>AC$92*$V38</calculatedColumnFormula>
    </tableColumn>
    <tableColumn id="8" name="2027">
      <calculatedColumnFormula>AD$92*$V38</calculatedColumnFormula>
    </tableColumn>
    <tableColumn id="9" name="2028">
      <calculatedColumnFormula>AE$92*$V38</calculatedColumnFormula>
    </tableColumn>
    <tableColumn id="10" name="2029">
      <calculatedColumnFormula>AF$92*$V38</calculatedColumnFormula>
    </tableColumn>
    <tableColumn id="11" name="2030">
      <calculatedColumnFormula>AG$92*$V38</calculatedColumnFormula>
    </tableColumn>
    <tableColumn id="12" name="2031">
      <calculatedColumnFormula>AH$92*$V38</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id="2" name="EG_WIND_min" displayName="EG_WIND_min" ref="S4:AD29" totalsRowShown="0" headerRowDxfId="151" dataDxfId="150">
  <autoFilter ref="S4:AD29"/>
  <tableColumns count="12">
    <tableColumn id="1" name="SubGeography2" dataDxfId="149">
      <calculatedColumnFormula>B5</calculatedColumnFormula>
    </tableColumn>
    <tableColumn id="2" name="2021" dataDxfId="148">
      <calculatedColumnFormula>H5</calculatedColumnFormula>
    </tableColumn>
    <tableColumn id="3" name="2022" dataDxfId="147">
      <calculatedColumnFormula>L5+P5</calculatedColumnFormula>
    </tableColumn>
    <tableColumn id="4" name="2023" dataDxfId="146">
      <calculatedColumnFormula>M5+Q5</calculatedColumnFormula>
    </tableColumn>
    <tableColumn id="5" name="2024" dataDxfId="145">
      <calculatedColumnFormula>N5+R5</calculatedColumnFormula>
    </tableColumn>
    <tableColumn id="6" name="2025" dataDxfId="144"/>
    <tableColumn id="7" name="2026" dataDxfId="143"/>
    <tableColumn id="8" name="2027" dataDxfId="142"/>
    <tableColumn id="9" name="2028" dataDxfId="141"/>
    <tableColumn id="10" name="2029" dataDxfId="140"/>
    <tableColumn id="11" name="2030" dataDxfId="139"/>
    <tableColumn id="12" name="2031" dataDxfId="138"/>
  </tableColumns>
  <tableStyleInfo name="TableStyleMedium2" showFirstColumn="0" showLastColumn="0" showRowStripes="1" showColumnStripes="0"/>
</table>
</file>

<file path=xl/tables/table12.xml><?xml version="1.0" encoding="utf-8"?>
<table xmlns="http://schemas.openxmlformats.org/spreadsheetml/2006/main" id="3" name="EG_SOLARPV_min" displayName="EG_SOLARPV_min" ref="S38:AD63" totalsRowShown="0" headerRowDxfId="137" dataDxfId="136" tableBorderDxfId="135">
  <autoFilter ref="S38:AD63"/>
  <tableColumns count="12">
    <tableColumn id="1" name="SubGeography2" dataDxfId="134">
      <calculatedColumnFormula>B39</calculatedColumnFormula>
    </tableColumn>
    <tableColumn id="2" name="2021" dataDxfId="133" dataCellStyle="Comma">
      <calculatedColumnFormula>H39</calculatedColumnFormula>
    </tableColumn>
    <tableColumn id="3" name="2022" dataDxfId="132" dataCellStyle="Comma">
      <calculatedColumnFormula>L39+P39</calculatedColumnFormula>
    </tableColumn>
    <tableColumn id="4" name="2023" dataDxfId="131" dataCellStyle="Comma">
      <calculatedColumnFormula>M39+Q39</calculatedColumnFormula>
    </tableColumn>
    <tableColumn id="5" name="2024" dataDxfId="130">
      <calculatedColumnFormula>R39</calculatedColumnFormula>
    </tableColumn>
    <tableColumn id="6" name="2025" dataDxfId="129"/>
    <tableColumn id="7" name="2026" dataDxfId="128"/>
    <tableColumn id="8" name="2027" dataDxfId="127"/>
    <tableColumn id="9" name="2028" dataDxfId="126"/>
    <tableColumn id="10" name="2029" dataDxfId="125"/>
    <tableColumn id="11" name="2030" dataDxfId="124"/>
    <tableColumn id="12" name="2031" dataDxfId="123"/>
  </tableColumns>
  <tableStyleInfo name="TableStyleMedium2" showFirstColumn="0" showLastColumn="0" showRowStripes="1" showColumnStripes="0"/>
</table>
</file>

<file path=xl/tables/table13.xml><?xml version="1.0" encoding="utf-8"?>
<table xmlns="http://schemas.openxmlformats.org/spreadsheetml/2006/main" id="11" name="EG_WIND_max" displayName="EG_WIND_max" ref="AK4:AV29" totalsRowShown="0" headerRowDxfId="122" dataDxfId="121">
  <autoFilter ref="AK4:AV29"/>
  <tableColumns count="12">
    <tableColumn id="1" name="SubGeography2" dataDxfId="120">
      <calculatedColumnFormula>EG_WIND_min[[#This Row],[SubGeography2]]</calculatedColumnFormula>
    </tableColumn>
    <tableColumn id="2" name="2021" dataDxfId="119">
      <calculatedColumnFormula>EG_WIND_min[[#This Row],[2021]]*(1+$AH5)</calculatedColumnFormula>
    </tableColumn>
    <tableColumn id="3" name="2022" dataDxfId="118">
      <calculatedColumnFormula>EG_WIND_min[[#This Row],[2022]]*(1+$AH5)</calculatedColumnFormula>
    </tableColumn>
    <tableColumn id="4" name="2023" dataDxfId="117">
      <calculatedColumnFormula>EG_WIND_min[[#This Row],[2023]]*(1+$AH5)</calculatedColumnFormula>
    </tableColumn>
    <tableColumn id="5" name="2024" dataDxfId="116">
      <calculatedColumnFormula>MAX($AJ5*AO$31,EG_WIND_min[[#This Row],[2024]]*(1+$AH11))</calculatedColumnFormula>
    </tableColumn>
    <tableColumn id="6" name="2025" dataDxfId="115">
      <calculatedColumnFormula>$AJ5*AP$31</calculatedColumnFormula>
    </tableColumn>
    <tableColumn id="7" name="2026" dataDxfId="114">
      <calculatedColumnFormula>$AJ5*AQ$31</calculatedColumnFormula>
    </tableColumn>
    <tableColumn id="8" name="2027" dataDxfId="113">
      <calculatedColumnFormula>$AJ5*AR$31</calculatedColumnFormula>
    </tableColumn>
    <tableColumn id="9" name="2028" dataDxfId="112">
      <calculatedColumnFormula>$AJ5*AS$31</calculatedColumnFormula>
    </tableColumn>
    <tableColumn id="10" name="2029" dataDxfId="111">
      <calculatedColumnFormula>$AJ5*AT$31</calculatedColumnFormula>
    </tableColumn>
    <tableColumn id="11" name="2030" dataDxfId="110">
      <calculatedColumnFormula>$AJ5*AU$31</calculatedColumnFormula>
    </tableColumn>
    <tableColumn id="12" name="2031" dataDxfId="109">
      <calculatedColumnFormula>$AJ5*AV$31</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id="12" name="EG_SOLARPV_max" displayName="EG_SOLARPV_max" ref="AK38:AV63" totalsRowShown="0" headerRowDxfId="108" dataDxfId="107">
  <autoFilter ref="AK38:AV63"/>
  <tableColumns count="12">
    <tableColumn id="1" name="SubGeography2" dataDxfId="106">
      <calculatedColumnFormula>EG_SOLARPV_min[[#This Row],[SubGeography2]]</calculatedColumnFormula>
    </tableColumn>
    <tableColumn id="2" name="2021" dataDxfId="105">
      <calculatedColumnFormula>EG_SOLARPV_min[[#This Row],[2021]]*(1+$AH39)</calculatedColumnFormula>
    </tableColumn>
    <tableColumn id="3" name="2022" dataDxfId="104">
      <calculatedColumnFormula>EG_SOLARPV_min[[#This Row],[2022]]*(1+$AH39)</calculatedColumnFormula>
    </tableColumn>
    <tableColumn id="4" name="2023" dataDxfId="103">
      <calculatedColumnFormula>MAX($AJ39*AN$65,(EG_SOLARPV_min[[#This Row],[2023]]*(1+$AH39)))</calculatedColumnFormula>
    </tableColumn>
    <tableColumn id="5" name="2024" dataDxfId="102">
      <calculatedColumnFormula>MAX($AJ39*AO$65,(EG_SOLARPV_min[[#This Row],[2024]]*(1+$AH39)))</calculatedColumnFormula>
    </tableColumn>
    <tableColumn id="6" name="2025" dataDxfId="101">
      <calculatedColumnFormula>$AJ39*AP$65</calculatedColumnFormula>
    </tableColumn>
    <tableColumn id="7" name="2026" dataDxfId="100">
      <calculatedColumnFormula>$AJ39*AQ$65</calculatedColumnFormula>
    </tableColumn>
    <tableColumn id="8" name="2027" dataDxfId="99">
      <calculatedColumnFormula>$AJ39*AR$65</calculatedColumnFormula>
    </tableColumn>
    <tableColumn id="9" name="2028" dataDxfId="98">
      <calculatedColumnFormula>$AJ39*AS$65</calculatedColumnFormula>
    </tableColumn>
    <tableColumn id="10" name="2029" dataDxfId="97">
      <calculatedColumnFormula>$AJ39*AT$65</calculatedColumnFormula>
    </tableColumn>
    <tableColumn id="11" name="2030" dataDxfId="96">
      <calculatedColumnFormula>$AJ39*AU$65</calculatedColumnFormula>
    </tableColumn>
    <tableColumn id="12" name="2031" dataDxfId="95">
      <calculatedColumnFormula>$AJ39*AV$65</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8" name="Table1" displayName="Table1" ref="J4:K40" totalsRowShown="0">
  <autoFilter ref="J4:K40"/>
  <tableColumns count="2">
    <tableColumn id="1" name="STATE "/>
    <tableColumn id="2" name="Code"/>
  </tableColumns>
  <tableStyleInfo name="TableStyleMedium2" showFirstColumn="0" showLastColumn="0" showRowStripes="1" showColumnStripes="0"/>
</table>
</file>

<file path=xl/tables/table16.xml><?xml version="1.0" encoding="utf-8"?>
<table xmlns="http://schemas.openxmlformats.org/spreadsheetml/2006/main" id="13" name="EG_COAL_min" displayName="EG_COAL_min" ref="A37:L62" totalsRowShown="0" headerRowDxfId="94">
  <autoFilter ref="A37:L62"/>
  <tableColumns count="12">
    <tableColumn id="1" name="SubGeography2" dataDxfId="93"/>
    <tableColumn id="2" name="2021" dataDxfId="92">
      <calculatedColumnFormula>COAL_FY21additions!S10+(COAL_FY21additions!$S$37*COAL!P38)</calculatedColumnFormula>
    </tableColumn>
    <tableColumn id="3" name="2022" dataDxfId="91">
      <calculatedColumnFormula>C3</calculatedColumnFormula>
    </tableColumn>
    <tableColumn id="4" name="2023" dataDxfId="90">
      <calculatedColumnFormula>D3</calculatedColumnFormula>
    </tableColumn>
    <tableColumn id="5" name="2024" dataDxfId="89">
      <calculatedColumnFormula>E3</calculatedColumnFormula>
    </tableColumn>
    <tableColumn id="6" name="2025" dataDxfId="88">
      <calculatedColumnFormula>F3</calculatedColumnFormula>
    </tableColumn>
    <tableColumn id="7" name="2026" dataDxfId="87">
      <calculatedColumnFormula>G3/3</calculatedColumnFormula>
    </tableColumn>
    <tableColumn id="8" name="2027" dataDxfId="86">
      <calculatedColumnFormula>G3/3</calculatedColumnFormula>
    </tableColumn>
    <tableColumn id="9" name="2028" dataDxfId="85"/>
    <tableColumn id="10" name="2029" dataDxfId="84"/>
    <tableColumn id="11" name="2030" dataDxfId="83"/>
    <tableColumn id="12" name="2031" dataDxfId="82"/>
  </tableColumns>
  <tableStyleInfo name="TableStyleMedium2" showFirstColumn="0" showLastColumn="0" showRowStripes="1" showColumnStripes="0"/>
</table>
</file>

<file path=xl/tables/table17.xml><?xml version="1.0" encoding="utf-8"?>
<table xmlns="http://schemas.openxmlformats.org/spreadsheetml/2006/main" id="14" name="EG_COAL_max" displayName="EG_COAL_max" ref="Q37:AB62" totalsRowShown="0" headerRowDxfId="81">
  <autoFilter ref="Q37:AB62"/>
  <tableColumns count="12">
    <tableColumn id="1" name="SubGeography2" dataDxfId="80"/>
    <tableColumn id="2" name="2021" dataDxfId="79">
      <calculatedColumnFormula>EG_COAL_min[[#This Row],[2021]]*(1+$N38)</calculatedColumnFormula>
    </tableColumn>
    <tableColumn id="3" name="2022" dataDxfId="78">
      <calculatedColumnFormula>EG_COAL_min[[#This Row],[2022]]*(1+$N38)</calculatedColumnFormula>
    </tableColumn>
    <tableColumn id="4" name="2023" dataDxfId="77">
      <calculatedColumnFormula>EG_COAL_min[[#This Row],[2023]]*(1+$N38)</calculatedColumnFormula>
    </tableColumn>
    <tableColumn id="5" name="2024" dataDxfId="76">
      <calculatedColumnFormula>EG_COAL_min[[#This Row],[2024]]*(1+$N38)</calculatedColumnFormula>
    </tableColumn>
    <tableColumn id="6" name="2025" dataDxfId="75">
      <calculatedColumnFormula>MAX(EG_COAL_min[[#This Row],[2025]]*(1+$N38),$P38*V$64)</calculatedColumnFormula>
    </tableColumn>
    <tableColumn id="7" name="2026" dataDxfId="74">
      <calculatedColumnFormula>$P38*W$64</calculatedColumnFormula>
    </tableColumn>
    <tableColumn id="8" name="2027" dataDxfId="73">
      <calculatedColumnFormula>$P38*X$64</calculatedColumnFormula>
    </tableColumn>
    <tableColumn id="9" name="2028" dataDxfId="72">
      <calculatedColumnFormula>$P38*Y$64</calculatedColumnFormula>
    </tableColumn>
    <tableColumn id="10" name="2029" dataDxfId="71">
      <calculatedColumnFormula>$P38*Z$64</calculatedColumnFormula>
    </tableColumn>
    <tableColumn id="11" name="2030" dataDxfId="70">
      <calculatedColumnFormula>$P38*AA$64</calculatedColumnFormula>
    </tableColumn>
    <tableColumn id="12" name="2031" dataDxfId="69">
      <calculatedColumnFormula>$P38*AB$64</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id="19" name="EG_BIOMASS_min" displayName="EG_BIOMASS_min" ref="A3:L28" totalsRowShown="0" headerRowDxfId="68">
  <autoFilter ref="A3:L28"/>
  <tableColumns count="12">
    <tableColumn id="1" name="SubGeography2" dataDxfId="67"/>
    <tableColumn id="2" name="2021" dataDxfId="66">
      <calculatedColumnFormula>MAX(SUMIF('Source-MNRE'!$AA$6:$AA$42,EG_BIOMASS_min[[#This Row],[SubGeography2]],'Source-MNRE'!$AD$6:$AD$42),0)</calculatedColumnFormula>
    </tableColumn>
    <tableColumn id="3" name="2022" dataDxfId="65"/>
    <tableColumn id="4" name="2023" dataDxfId="64"/>
    <tableColumn id="5" name="2024" dataDxfId="63"/>
    <tableColumn id="6" name="2025" dataDxfId="62"/>
    <tableColumn id="7" name="2026" dataDxfId="61"/>
    <tableColumn id="8" name="2027" dataDxfId="60">
      <calculatedColumnFormula>#REF!/3</calculatedColumnFormula>
    </tableColumn>
    <tableColumn id="9" name="2028" dataDxfId="59"/>
    <tableColumn id="10" name="2029" dataDxfId="58"/>
    <tableColumn id="11" name="2030" dataDxfId="57"/>
    <tableColumn id="12" name="2031" dataDxfId="56"/>
  </tableColumns>
  <tableStyleInfo name="TableStyleMedium2" showFirstColumn="0" showLastColumn="0" showRowStripes="1" showColumnStripes="0"/>
</table>
</file>

<file path=xl/tables/table19.xml><?xml version="1.0" encoding="utf-8"?>
<table xmlns="http://schemas.openxmlformats.org/spreadsheetml/2006/main" id="21" name="EG_BIOMASS_max" displayName="EG_BIOMASS_max" ref="P3:AA28" totalsRowShown="0" headerRowDxfId="55">
  <autoFilter ref="P3:AA28"/>
  <tableColumns count="12">
    <tableColumn id="1" name="SubGeography2" dataDxfId="54"/>
    <tableColumn id="2" name="2021" dataDxfId="53">
      <calculatedColumnFormula>EG_BIOMASS_min[[#This Row],[2021]]</calculatedColumnFormula>
    </tableColumn>
    <tableColumn id="3" name="2022" dataDxfId="52">
      <calculatedColumnFormula>$O4*R$29</calculatedColumnFormula>
    </tableColumn>
    <tableColumn id="4" name="2023" dataDxfId="51">
      <calculatedColumnFormula>$O4*S$29</calculatedColumnFormula>
    </tableColumn>
    <tableColumn id="5" name="2024" dataDxfId="50">
      <calculatedColumnFormula>$O4*T$29</calculatedColumnFormula>
    </tableColumn>
    <tableColumn id="6" name="2025" dataDxfId="49">
      <calculatedColumnFormula>$O4*U$29</calculatedColumnFormula>
    </tableColumn>
    <tableColumn id="7" name="2026" dataDxfId="48">
      <calculatedColumnFormula>$O4*V$29</calculatedColumnFormula>
    </tableColumn>
    <tableColumn id="8" name="2027" dataDxfId="47">
      <calculatedColumnFormula>$O4*W$29</calculatedColumnFormula>
    </tableColumn>
    <tableColumn id="9" name="2028" dataDxfId="46">
      <calculatedColumnFormula>$O4*X$29</calculatedColumnFormula>
    </tableColumn>
    <tableColumn id="10" name="2029" dataDxfId="45">
      <calculatedColumnFormula>$O4*Y$29</calculatedColumnFormula>
    </tableColumn>
    <tableColumn id="11" name="2030" dataDxfId="44">
      <calculatedColumnFormula>$O4*Z$29</calculatedColumnFormula>
    </tableColumn>
    <tableColumn id="12" name="2031" dataDxfId="43">
      <calculatedColumnFormula>$O4*AA$29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0" name="Table3" displayName="Table3" ref="A4:N13" totalsRowShown="0">
  <tableColumns count="14">
    <tableColumn id="1" name="MW"/>
    <tableColumn id="2" name="2020"/>
    <tableColumn id="3" name="2021"/>
    <tableColumn id="4" name="2022"/>
    <tableColumn id="5" name="2023"/>
    <tableColumn id="6" name="2024"/>
    <tableColumn id="7" name="2025"/>
    <tableColumn id="8" name="2026"/>
    <tableColumn id="9" name="2027"/>
    <tableColumn id="10" name="2028"/>
    <tableColumn id="11" name="2029"/>
    <tableColumn id="12" name="2030"/>
    <tableColumn id="13" name="2031"/>
    <tableColumn id="14" name="Unit"/>
  </tableColumns>
  <tableStyleInfo name="TableStyleMedium2" showFirstColumn="0" showLastColumn="0" showRowStripes="1" showColumnStripes="0"/>
</table>
</file>

<file path=xl/tables/table20.xml><?xml version="1.0" encoding="utf-8"?>
<table xmlns="http://schemas.openxmlformats.org/spreadsheetml/2006/main" id="22" name="EG_SH_min" displayName="EG_SH_min" ref="A34:L59" totalsRowShown="0" headerRowDxfId="42">
  <autoFilter ref="A34:L59"/>
  <tableColumns count="12">
    <tableColumn id="1" name="SubGeography2" dataDxfId="41"/>
    <tableColumn id="2" name="2021" dataDxfId="40">
      <calculatedColumnFormula>MAX(SUMIF('Source-MNRE'!$AA$6:$AA$42,EG_SH_min[[#This Row],[SubGeography2]],'Source-MNRE'!$AE$6:$AE$42),0)</calculatedColumnFormula>
    </tableColumn>
    <tableColumn id="3" name="2022" dataDxfId="39"/>
    <tableColumn id="4" name="2023" dataDxfId="38"/>
    <tableColumn id="5" name="2024" dataDxfId="37"/>
    <tableColumn id="6" name="2025" dataDxfId="36"/>
    <tableColumn id="7" name="2026" dataDxfId="35"/>
    <tableColumn id="8" name="2027" dataDxfId="34">
      <calculatedColumnFormula>#REF!/3</calculatedColumnFormula>
    </tableColumn>
    <tableColumn id="9" name="2028" dataDxfId="33"/>
    <tableColumn id="10" name="2029" dataDxfId="32"/>
    <tableColumn id="11" name="2030" dataDxfId="31"/>
    <tableColumn id="12" name="2031" dataDxfId="30"/>
  </tableColumns>
  <tableStyleInfo name="TableStyleMedium2" showFirstColumn="0" showLastColumn="0" showRowStripes="1" showColumnStripes="0"/>
</table>
</file>

<file path=xl/tables/table21.xml><?xml version="1.0" encoding="utf-8"?>
<table xmlns="http://schemas.openxmlformats.org/spreadsheetml/2006/main" id="23" name="EG_SH_max" displayName="EG_SH_max" ref="P34:AA59" totalsRowShown="0" headerRowDxfId="29">
  <autoFilter ref="P34:AA59"/>
  <tableColumns count="12">
    <tableColumn id="1" name="SubGeography2" dataDxfId="28"/>
    <tableColumn id="2" name="2021" dataDxfId="27">
      <calculatedColumnFormula>EG_SH_min[[#This Row],[2021]]</calculatedColumnFormula>
    </tableColumn>
    <tableColumn id="3" name="2022" dataDxfId="26">
      <calculatedColumnFormula>$O35*R$60</calculatedColumnFormula>
    </tableColumn>
    <tableColumn id="4" name="2023" dataDxfId="25">
      <calculatedColumnFormula>$O35*S$60</calculatedColumnFormula>
    </tableColumn>
    <tableColumn id="5" name="2024" dataDxfId="24">
      <calculatedColumnFormula>$O35*T$60</calculatedColumnFormula>
    </tableColumn>
    <tableColumn id="6" name="2025" dataDxfId="23">
      <calculatedColumnFormula>$O35*U$60</calculatedColumnFormula>
    </tableColumn>
    <tableColumn id="7" name="2026" dataDxfId="22">
      <calculatedColumnFormula>$O35*V$60</calculatedColumnFormula>
    </tableColumn>
    <tableColumn id="8" name="2027" dataDxfId="21">
      <calculatedColumnFormula>$O35*W$60</calculatedColumnFormula>
    </tableColumn>
    <tableColumn id="9" name="2028" dataDxfId="20">
      <calculatedColumnFormula>$O35*X$60</calculatedColumnFormula>
    </tableColumn>
    <tableColumn id="10" name="2029" dataDxfId="19">
      <calculatedColumnFormula>$O35*Y$60</calculatedColumnFormula>
    </tableColumn>
    <tableColumn id="11" name="2030" dataDxfId="18">
      <calculatedColumnFormula>$O35*Z$60</calculatedColumnFormula>
    </tableColumn>
    <tableColumn id="12" name="2031" dataDxfId="17">
      <calculatedColumnFormula>$O35*AA$60</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id="16" name="RF_MTPA" displayName="RF_MTPA" ref="A2:G57" totalsRowShown="0" headerRowDxfId="16" dataDxfId="15" tableBorderDxfId="14">
  <autoFilter ref="A2:G57"/>
  <tableColumns count="7">
    <tableColumn id="1" name="EnergyConvTech" dataDxfId="13"/>
    <tableColumn id="2" name="ModelGeography" dataDxfId="12"/>
    <tableColumn id="3" name="SubGeography1" dataDxfId="11"/>
    <tableColumn id="4" name="SubGeography2" dataDxfId="10"/>
    <tableColumn id="5" name="Year" dataDxfId="9"/>
    <tableColumn id="6" name="MaxCapacity" dataDxfId="8"/>
    <tableColumn id="7" name="MinCapacity" dataDxfId="7"/>
  </tableColumns>
  <tableStyleInfo name="TableStyleMedium2" showFirstColumn="0" showLastColumn="0" showRowStripes="1" showColumnStripes="0"/>
</table>
</file>

<file path=xl/tables/table23.xml><?xml version="1.0" encoding="utf-8"?>
<table xmlns="http://schemas.openxmlformats.org/spreadsheetml/2006/main" id="17" name="ECT_CapAddBounds" displayName="ECT_CapAddBounds" ref="A1:G2531" tableType="queryTable" totalsRowShown="0">
  <autoFilter ref="A1:G2531"/>
  <tableColumns count="7">
    <tableColumn id="8" uniqueName="8" name="EnergyConvTech" queryTableFieldId="1" dataDxfId="6"/>
    <tableColumn id="9" uniqueName="9" name="ModelGeography" queryTableFieldId="2" dataDxfId="5"/>
    <tableColumn id="10" uniqueName="10" name="SubGeography1" queryTableFieldId="3" dataDxfId="4"/>
    <tableColumn id="11" uniqueName="11" name="SubGeography2" queryTableFieldId="4" dataDxfId="3"/>
    <tableColumn id="12" uniqueName="12" name="Year" queryTableFieldId="5" dataDxfId="2"/>
    <tableColumn id="13" uniqueName="13" name="MaxCapacity" queryTableFieldId="6" dataDxfId="1"/>
    <tableColumn id="14" uniqueName="14" name="MinCapacity" queryTableFieldId="7" dataDxfId="0"/>
  </tableColumns>
  <tableStyleInfo name="TableStyleMedium7" showFirstColumn="0" showLastColumn="0" showRowStripes="1" showColumnStripes="0"/>
</table>
</file>

<file path=xl/tables/table3.xml><?xml version="1.0" encoding="utf-8"?>
<table xmlns="http://schemas.openxmlformats.org/spreadsheetml/2006/main" id="9" name="EG_LH_min" displayName="EG_LH_min" ref="T4:AE29" totalsRowShown="0">
  <autoFilter ref="T4:AE29"/>
  <tableColumns count="12">
    <tableColumn id="1" name="SubGeography2"/>
    <tableColumn id="2" name="2021" dataDxfId="170">
      <calculatedColumnFormula>Q5</calculatedColumnFormula>
    </tableColumn>
    <tableColumn id="3" name="2022" dataDxfId="169">
      <calculatedColumnFormula>P5/6</calculatedColumnFormula>
    </tableColumn>
    <tableColumn id="4" name="2023" dataDxfId="168">
      <calculatedColumnFormula>EG_LH_min[[#This Row],[2022]]</calculatedColumnFormula>
    </tableColumn>
    <tableColumn id="5" name="2024">
      <calculatedColumnFormula>EG_LH_min[[#This Row],[2023]]</calculatedColumnFormula>
    </tableColumn>
    <tableColumn id="6" name="2025">
      <calculatedColumnFormula>EG_LH_min[[#This Row],[2023]]</calculatedColumnFormula>
    </tableColumn>
    <tableColumn id="7" name="2026">
      <calculatedColumnFormula>EG_LH_min[[#This Row],[2024]]</calculatedColumnFormula>
    </tableColumn>
    <tableColumn id="8" name="2027">
      <calculatedColumnFormula>EG_LH_min[[#This Row],[2025]]</calculatedColumnFormula>
    </tableColumn>
    <tableColumn id="9" name="2028"/>
    <tableColumn id="10" name="2029"/>
    <tableColumn id="11" name="2030"/>
    <tableColumn id="12" name="2031"/>
  </tableColumns>
  <tableStyleInfo name="TableStyleMedium2" showFirstColumn="0" showLastColumn="0" showRowStripes="1" showColumnStripes="0"/>
</table>
</file>

<file path=xl/tables/table4.xml><?xml version="1.0" encoding="utf-8"?>
<table xmlns="http://schemas.openxmlformats.org/spreadsheetml/2006/main" id="4" name="EG_LH_max" displayName="EG_LH_max" ref="AJ4:AU29" totalsRowShown="0">
  <autoFilter ref="AJ4:AU29"/>
  <tableColumns count="12">
    <tableColumn id="1" name="SubGeography2"/>
    <tableColumn id="2" name="2021" dataDxfId="167">
      <calculatedColumnFormula>EG_LH_min[[#This Row],[2021]]*(1+$AH5)</calculatedColumnFormula>
    </tableColumn>
    <tableColumn id="3" name="2022" dataDxfId="166">
      <calculatedColumnFormula>EG_LH_min[[#This Row],[2022]]*(1+$AH5)</calculatedColumnFormula>
    </tableColumn>
    <tableColumn id="4" name="2023" dataDxfId="165">
      <calculatedColumnFormula>EG_LH_min[[#This Row],[2023]]*(1+$AH5)</calculatedColumnFormula>
    </tableColumn>
    <tableColumn id="5" name="2024">
      <calculatedColumnFormula>EG_LH_min[[#This Row],[2024]]*(1+$AH5)</calculatedColumnFormula>
    </tableColumn>
    <tableColumn id="6" name="2025">
      <calculatedColumnFormula>EG_LH_min[[#This Row],[2025]]*(1+$AH5)</calculatedColumnFormula>
    </tableColumn>
    <tableColumn id="7" name="2026">
      <calculatedColumnFormula>EG_LH_min[[#This Row],[2026]]*(1+$AH5)</calculatedColumnFormula>
    </tableColumn>
    <tableColumn id="8" name="2027" dataDxfId="164">
      <calculatedColumnFormula>MAX(EG_LH_min[[#This Row],[2027]]*(1+$AH5),AQ$31*$S5)</calculatedColumnFormula>
    </tableColumn>
    <tableColumn id="9" name="2028" dataDxfId="163">
      <calculatedColumnFormula>AR$31*$S5</calculatedColumnFormula>
    </tableColumn>
    <tableColumn id="10" name="2029" dataDxfId="162">
      <calculatedColumnFormula>AS$31*$S5</calculatedColumnFormula>
    </tableColumn>
    <tableColumn id="11" name="2030" dataDxfId="161">
      <calculatedColumnFormula>AT$31*$S5</calculatedColumnFormula>
    </tableColumn>
    <tableColumn id="12" name="2031" dataDxfId="160">
      <calculatedColumnFormula>AU$31*$S5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EG_PHWR_min" displayName="EG_PHWR_min" ref="E8:P33" totalsRowShown="0">
  <autoFilter ref="E8:P33"/>
  <tableColumns count="12">
    <tableColumn id="1" name="SubGeography2"/>
    <tableColumn id="2" name="2021" dataDxfId="159"/>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6.xml><?xml version="1.0" encoding="utf-8"?>
<table xmlns="http://schemas.openxmlformats.org/spreadsheetml/2006/main" id="1" name="EG_CCGT_min" displayName="EG_CCGT_min" ref="E37:P62" totalsRowShown="0">
  <autoFilter ref="E37:P62"/>
  <tableColumns count="12">
    <tableColumn id="1" name="SubGeography2"/>
    <tableColumn id="2" name="2021" dataDxfId="158"/>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7.xml><?xml version="1.0" encoding="utf-8"?>
<table xmlns="http://schemas.openxmlformats.org/spreadsheetml/2006/main" id="6" name="EG_PHWR_max" displayName="EG_PHWR_max" ref="W8:AH33" totalsRowShown="0">
  <autoFilter ref="W8:AH33"/>
  <tableColumns count="12">
    <tableColumn id="1" name="SubGeography2"/>
    <tableColumn id="2" name="2021" dataDxfId="157">
      <calculatedColumnFormula>EG_PHWR_min[[#This Row],[2021]]</calculatedColumnFormula>
    </tableColumn>
    <tableColumn id="3" name="2022">
      <calculatedColumnFormula>EG_PHWR_min[[#This Row],[2022]]</calculatedColumnFormula>
    </tableColumn>
    <tableColumn id="4" name="2023">
      <calculatedColumnFormula>EG_PHWR_min[[#This Row],[2023]]</calculatedColumnFormula>
    </tableColumn>
    <tableColumn id="5" name="2024">
      <calculatedColumnFormula>EG_PHWR_min[[#This Row],[2024]]</calculatedColumnFormula>
    </tableColumn>
    <tableColumn id="6" name="2025">
      <calculatedColumnFormula>EG_PHWR_min[[#This Row],[2025]]</calculatedColumnFormula>
    </tableColumn>
    <tableColumn id="7" name="2026">
      <calculatedColumnFormula>EG_PHWR_min[[#This Row],[2026]]</calculatedColumnFormula>
    </tableColumn>
    <tableColumn id="8" name="2027">
      <calculatedColumnFormula>EG_PHWR_min[[#This Row],[2027]]</calculatedColumnFormula>
    </tableColumn>
    <tableColumn id="9" name="2028">
      <calculatedColumnFormula>EG_PHWR_min[[#This Row],[2028]]</calculatedColumnFormula>
    </tableColumn>
    <tableColumn id="10" name="2029">
      <calculatedColumnFormula>EG_PHWR_min[[#This Row],[2029]]</calculatedColumnFormula>
    </tableColumn>
    <tableColumn id="11" name="2030">
      <calculatedColumnFormula>EG_PHWR_min[[#This Row],[2030]]</calculatedColumnFormula>
    </tableColumn>
    <tableColumn id="12" name="2031">
      <calculatedColumnFormula>EG_PHWR_min[[#This Row],[2031]]</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7" name="EG_CCGT_max" displayName="EG_CCGT_max" ref="W37:AH62" totalsRowShown="0">
  <autoFilter ref="W37:AH62"/>
  <tableColumns count="12">
    <tableColumn id="1" name="SubGeography2"/>
    <tableColumn id="2" name="2021" dataDxfId="156">
      <calculatedColumnFormula>EG_CCGT_min[[#This Row],[2021]]*(1+$T38)</calculatedColumnFormula>
    </tableColumn>
    <tableColumn id="3" name="2022">
      <calculatedColumnFormula>EG_CCGT_min[[#This Row],[2022]]*(1+$T38)</calculatedColumnFormula>
    </tableColumn>
    <tableColumn id="4" name="2023" dataDxfId="155">
      <calculatedColumnFormula>$V38*Z$63</calculatedColumnFormula>
    </tableColumn>
    <tableColumn id="5" name="2024">
      <calculatedColumnFormula>$V38*AA$63</calculatedColumnFormula>
    </tableColumn>
    <tableColumn id="6" name="2025">
      <calculatedColumnFormula>$V38*AB$63</calculatedColumnFormula>
    </tableColumn>
    <tableColumn id="7" name="2026">
      <calculatedColumnFormula>$V38*AC$63</calculatedColumnFormula>
    </tableColumn>
    <tableColumn id="8" name="2027">
      <calculatedColumnFormula>$V38*AD$63</calculatedColumnFormula>
    </tableColumn>
    <tableColumn id="9" name="2028">
      <calculatedColumnFormula>$V38*AE$63</calculatedColumnFormula>
    </tableColumn>
    <tableColumn id="10" name="2029">
      <calculatedColumnFormula>$V38*AF$63</calculatedColumnFormula>
    </tableColumn>
    <tableColumn id="11" name="2030">
      <calculatedColumnFormula>$V38*AG$63</calculatedColumnFormula>
    </tableColumn>
    <tableColumn id="12" name="2031">
      <calculatedColumnFormula>$V38*AH$63</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10" name="EG_OCGT_min" displayName="EG_OCGT_min" ref="E66:P91" totalsRowShown="0">
  <autoFilter ref="E66:P91"/>
  <tableColumns count="12">
    <tableColumn id="1" name="SubGeography2"/>
    <tableColumn id="2" name="2021" dataDxfId="154"/>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img.saurenergy.com/2020/08/underconstruction.pdf" TargetMode="External"/></Relationships>
</file>

<file path=xl/worksheets/_rels/sheet1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 Id="rId4"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3" Type="http://schemas.openxmlformats.org/officeDocument/2006/relationships/hyperlink" Target="https://www.business-standard.com/article/companies/ioc-to-invest-rs-70-000-cr-to-expand-refining-capacity-118021800151_1.html" TargetMode="External"/><Relationship Id="rId7" Type="http://schemas.openxmlformats.org/officeDocument/2006/relationships/comments" Target="../comments6.xml"/><Relationship Id="rId2" Type="http://schemas.openxmlformats.org/officeDocument/2006/relationships/hyperlink" Target="https://pib.gov.in/PressReleasePage.aspx?PRID=1576808" TargetMode="External"/><Relationship Id="rId1" Type="http://schemas.openxmlformats.org/officeDocument/2006/relationships/hyperlink" Target="https://energy.economictimes.indiatimes.com/news/oil-and-gas/india-plans-to-nearly-double-oil-refining-capacity-by-2030-pradhan/76402815" TargetMode="External"/><Relationship Id="rId6" Type="http://schemas.openxmlformats.org/officeDocument/2006/relationships/table" Target="../tables/table22.xml"/><Relationship Id="rId5" Type="http://schemas.openxmlformats.org/officeDocument/2006/relationships/vmlDrawing" Target="../drawings/vmlDrawing6.vml"/><Relationship Id="rId4"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www.npcil.nic.in/content/831_1_KudankulamNuclearPowerProject.aspx" TargetMode="Externa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hyperlink" Target="https://www.npcil.nic.in/content/300_1_RajasthanAtomicPowerProject.aspx" TargetMode="External"/><Relationship Id="rId1" Type="http://schemas.openxmlformats.org/officeDocument/2006/relationships/hyperlink" Target="https://www.npcil.nic.in/content/301_1_KakraparAtomicPowerProject.aspx" TargetMode="External"/><Relationship Id="rId6" Type="http://schemas.openxmlformats.org/officeDocument/2006/relationships/drawing" Target="../drawings/drawing1.xml"/><Relationship Id="rId11" Type="http://schemas.openxmlformats.org/officeDocument/2006/relationships/table" Target="../tables/table9.xml"/><Relationship Id="rId5" Type="http://schemas.openxmlformats.org/officeDocument/2006/relationships/printerSettings" Target="../printerSettings/printerSettings5.bin"/><Relationship Id="rId10" Type="http://schemas.openxmlformats.org/officeDocument/2006/relationships/table" Target="../tables/table8.xml"/><Relationship Id="rId4" Type="http://schemas.openxmlformats.org/officeDocument/2006/relationships/hyperlink" Target="https://www.npcil.nic.in/content/297_1_ProjectConstructionStatus.aspx" TargetMode="External"/><Relationship Id="rId9"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 Id="rId5" Type="http://schemas.openxmlformats.org/officeDocument/2006/relationships/table" Target="../tables/table14.xml"/><Relationship Id="rId4"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30"/>
  <sheetViews>
    <sheetView showGridLines="0" tabSelected="1" zoomScaleNormal="100" workbookViewId="0"/>
  </sheetViews>
  <sheetFormatPr defaultColWidth="14.42578125" defaultRowHeight="15.75" customHeight="1"/>
  <cols>
    <col min="1" max="1" width="18.42578125" style="742" customWidth="1"/>
    <col min="2" max="2" width="18.5703125" style="742" customWidth="1"/>
    <col min="3" max="3" width="4.85546875" style="742" customWidth="1"/>
    <col min="4" max="4" width="23.28515625" style="742" bestFit="1" customWidth="1"/>
    <col min="5" max="5" width="22" style="742" customWidth="1"/>
    <col min="6" max="16384" width="14.42578125" style="742"/>
  </cols>
  <sheetData>
    <row r="1" spans="1:10" ht="19.5">
      <c r="A1" s="741" t="s">
        <v>1960</v>
      </c>
      <c r="J1" s="743"/>
    </row>
    <row r="2" spans="1:10" ht="16.5">
      <c r="A2" s="744" t="s">
        <v>1961</v>
      </c>
      <c r="J2" s="743"/>
    </row>
    <row r="3" spans="1:10">
      <c r="A3" s="745">
        <v>2021</v>
      </c>
      <c r="J3" s="743"/>
    </row>
    <row r="4" spans="1:10" ht="12.75">
      <c r="A4" s="746" t="s">
        <v>1962</v>
      </c>
      <c r="B4" s="747">
        <v>44470</v>
      </c>
      <c r="J4" s="748"/>
    </row>
    <row r="5" spans="1:10" ht="12.75">
      <c r="A5" s="749" t="s">
        <v>1963</v>
      </c>
      <c r="B5" s="750" t="s">
        <v>1964</v>
      </c>
      <c r="C5" s="751"/>
      <c r="D5" s="751"/>
      <c r="E5" s="751"/>
      <c r="F5" s="751"/>
      <c r="G5" s="751"/>
      <c r="H5" s="751"/>
      <c r="I5" s="751"/>
      <c r="J5" s="748"/>
    </row>
    <row r="6" spans="1:10" ht="12.75">
      <c r="C6" s="751"/>
      <c r="D6" s="751"/>
      <c r="E6" s="751"/>
      <c r="F6" s="751"/>
      <c r="G6" s="751"/>
      <c r="H6" s="751"/>
      <c r="I6" s="751"/>
      <c r="J6" s="748"/>
    </row>
    <row r="7" spans="1:10" ht="12.75">
      <c r="C7" s="767" t="s">
        <v>1965</v>
      </c>
      <c r="D7" s="768"/>
      <c r="E7" s="768"/>
      <c r="F7" s="768"/>
      <c r="G7" s="768"/>
      <c r="H7" s="768"/>
      <c r="I7" s="769"/>
      <c r="J7" s="748"/>
    </row>
    <row r="8" spans="1:10" ht="30" customHeight="1">
      <c r="A8" s="752" t="s">
        <v>1966</v>
      </c>
      <c r="B8" s="753" t="s">
        <v>1967</v>
      </c>
      <c r="C8" s="770" t="s">
        <v>1968</v>
      </c>
      <c r="D8" s="771"/>
      <c r="E8" s="771"/>
      <c r="F8" s="771"/>
      <c r="G8" s="771"/>
      <c r="H8" s="771"/>
      <c r="I8" s="772"/>
      <c r="J8" s="748"/>
    </row>
    <row r="9" spans="1:10" ht="30" customHeight="1">
      <c r="A9" s="752" t="s">
        <v>1969</v>
      </c>
      <c r="B9" s="753" t="s">
        <v>1970</v>
      </c>
      <c r="C9" s="773"/>
      <c r="D9" s="774"/>
      <c r="E9" s="774"/>
      <c r="F9" s="774"/>
      <c r="G9" s="774"/>
      <c r="H9" s="774"/>
      <c r="I9" s="775"/>
      <c r="J9" s="748"/>
    </row>
    <row r="10" spans="1:10" ht="30" customHeight="1">
      <c r="A10" s="752" t="s">
        <v>1971</v>
      </c>
      <c r="B10" s="753" t="s">
        <v>1972</v>
      </c>
      <c r="C10" s="776" t="s">
        <v>1973</v>
      </c>
      <c r="D10" s="777"/>
      <c r="E10" s="777"/>
      <c r="F10" s="777"/>
      <c r="G10" s="777"/>
      <c r="H10" s="777"/>
      <c r="I10" s="778"/>
      <c r="J10" s="748"/>
    </row>
    <row r="11" spans="1:10" ht="12.75">
      <c r="J11" s="748"/>
    </row>
    <row r="12" spans="1:10" ht="12.75">
      <c r="J12" s="748"/>
    </row>
    <row r="13" spans="1:10" ht="12.75">
      <c r="A13" s="754" t="s">
        <v>2008</v>
      </c>
      <c r="B13" s="754" t="s">
        <v>2009</v>
      </c>
      <c r="C13" s="754" t="s">
        <v>2010</v>
      </c>
      <c r="D13" s="755" t="s">
        <v>1974</v>
      </c>
      <c r="J13" s="748"/>
    </row>
    <row r="14" spans="1:10" ht="51">
      <c r="A14" s="756" t="s">
        <v>1975</v>
      </c>
      <c r="B14" s="756" t="s">
        <v>2011</v>
      </c>
      <c r="C14" s="756">
        <v>1</v>
      </c>
      <c r="D14" s="757" t="s">
        <v>1976</v>
      </c>
      <c r="J14" s="743"/>
    </row>
    <row r="15" spans="1:10" ht="12.75">
      <c r="J15" s="748"/>
    </row>
    <row r="16" spans="1:10" ht="12.75">
      <c r="A16" s="758" t="s">
        <v>1977</v>
      </c>
      <c r="B16" s="759"/>
      <c r="C16" s="759"/>
      <c r="D16" s="759"/>
      <c r="E16" s="759"/>
      <c r="J16" s="748"/>
    </row>
    <row r="17" spans="1:10" ht="12.75">
      <c r="A17" s="759"/>
      <c r="B17" s="760"/>
      <c r="C17" s="759"/>
      <c r="D17" s="759"/>
      <c r="E17" s="759"/>
      <c r="J17" s="748"/>
    </row>
    <row r="18" spans="1:10" ht="12.75">
      <c r="A18" s="761">
        <v>1</v>
      </c>
      <c r="B18" s="762" t="s">
        <v>1978</v>
      </c>
      <c r="C18" s="759"/>
      <c r="D18" s="759"/>
      <c r="E18" s="759"/>
      <c r="J18" s="743"/>
    </row>
    <row r="19" spans="1:10" ht="12.75">
      <c r="A19" s="761">
        <v>2</v>
      </c>
      <c r="B19" s="762" t="s">
        <v>1979</v>
      </c>
      <c r="C19" s="759"/>
      <c r="D19" s="759"/>
      <c r="E19" s="759"/>
      <c r="J19" s="743"/>
    </row>
    <row r="20" spans="1:10" ht="12.75">
      <c r="A20" s="761">
        <v>3</v>
      </c>
      <c r="B20" s="762" t="s">
        <v>1980</v>
      </c>
      <c r="C20" s="759"/>
      <c r="D20" s="759"/>
      <c r="E20" s="759"/>
      <c r="J20" s="743"/>
    </row>
    <row r="21" spans="1:10" ht="12.75">
      <c r="A21" s="761">
        <v>4</v>
      </c>
      <c r="B21" s="762" t="s">
        <v>2006</v>
      </c>
      <c r="C21" s="759"/>
      <c r="D21" s="759"/>
      <c r="E21" s="759"/>
      <c r="J21" s="743"/>
    </row>
    <row r="22" spans="1:10" ht="12.75">
      <c r="A22" s="761">
        <v>5</v>
      </c>
      <c r="B22" s="762" t="s">
        <v>1981</v>
      </c>
      <c r="C22" s="759"/>
      <c r="D22" s="759"/>
      <c r="E22" s="759"/>
      <c r="J22" s="743"/>
    </row>
    <row r="23" spans="1:10" ht="12.75">
      <c r="A23" s="761">
        <v>6</v>
      </c>
      <c r="B23" s="760" t="s">
        <v>1982</v>
      </c>
      <c r="C23" s="759"/>
      <c r="D23" s="759"/>
      <c r="E23" s="759"/>
      <c r="J23" s="743"/>
    </row>
    <row r="24" spans="1:10" ht="12.75">
      <c r="A24" s="761">
        <v>7</v>
      </c>
      <c r="B24" s="762" t="s">
        <v>1983</v>
      </c>
      <c r="C24" s="759"/>
      <c r="D24" s="759"/>
      <c r="E24" s="759"/>
      <c r="J24" s="743"/>
    </row>
    <row r="25" spans="1:10" ht="12.75">
      <c r="A25" s="761">
        <v>8</v>
      </c>
      <c r="B25" s="760" t="s">
        <v>1984</v>
      </c>
      <c r="C25" s="759"/>
      <c r="D25" s="759"/>
      <c r="E25" s="759"/>
      <c r="J25" s="743"/>
    </row>
    <row r="26" spans="1:10" ht="12.75">
      <c r="A26" s="761">
        <v>9</v>
      </c>
      <c r="B26" s="762" t="s">
        <v>1381</v>
      </c>
      <c r="C26" s="759"/>
      <c r="D26" s="759"/>
      <c r="E26" s="759"/>
      <c r="J26" s="743"/>
    </row>
    <row r="27" spans="1:10" ht="12.75">
      <c r="A27" s="761">
        <v>10</v>
      </c>
      <c r="B27" s="750" t="s">
        <v>1985</v>
      </c>
      <c r="C27" s="759"/>
      <c r="D27" s="759"/>
      <c r="E27" s="759"/>
      <c r="J27" s="743"/>
    </row>
    <row r="28" spans="1:10" ht="14.25">
      <c r="A28" s="763"/>
      <c r="B28" s="760"/>
      <c r="C28" s="759"/>
      <c r="D28" s="759"/>
      <c r="E28" s="759"/>
      <c r="J28" s="743"/>
    </row>
    <row r="29" spans="1:10" ht="12.75">
      <c r="A29" s="764" t="s">
        <v>1986</v>
      </c>
      <c r="B29" s="760"/>
      <c r="C29" s="759"/>
      <c r="D29" s="759"/>
      <c r="E29" s="759"/>
      <c r="J29" s="748"/>
    </row>
    <row r="30" spans="1:10" ht="12.75">
      <c r="A30" s="759">
        <v>1</v>
      </c>
      <c r="B30" s="750" t="s">
        <v>1987</v>
      </c>
      <c r="C30" s="759"/>
      <c r="D30" s="759"/>
      <c r="E30" s="759"/>
      <c r="J30" s="748"/>
    </row>
    <row r="31" spans="1:10" ht="12.75">
      <c r="A31" s="759">
        <v>2</v>
      </c>
      <c r="B31" s="742" t="s">
        <v>1988</v>
      </c>
      <c r="C31" s="759"/>
      <c r="D31" s="759"/>
      <c r="E31" s="759"/>
      <c r="J31" s="748"/>
    </row>
    <row r="32" spans="1:10" ht="12.75">
      <c r="A32" s="759">
        <v>3</v>
      </c>
      <c r="B32" s="760" t="s">
        <v>1989</v>
      </c>
      <c r="C32" s="759"/>
      <c r="D32" s="759"/>
      <c r="E32" s="759"/>
      <c r="J32" s="748"/>
    </row>
    <row r="33" spans="1:10" ht="12.75">
      <c r="A33" s="759">
        <v>4</v>
      </c>
      <c r="B33" s="760" t="s">
        <v>1990</v>
      </c>
      <c r="C33" s="759"/>
      <c r="D33" s="759"/>
      <c r="E33" s="759"/>
      <c r="J33" s="748"/>
    </row>
    <row r="34" spans="1:10" ht="12.75">
      <c r="A34" s="759">
        <v>5</v>
      </c>
      <c r="B34" s="760" t="s">
        <v>1991</v>
      </c>
      <c r="C34" s="759"/>
      <c r="D34" s="759"/>
      <c r="E34" s="759"/>
      <c r="J34" s="748"/>
    </row>
    <row r="35" spans="1:10" ht="12.75">
      <c r="A35" s="759">
        <v>6</v>
      </c>
      <c r="B35" s="760" t="s">
        <v>1992</v>
      </c>
      <c r="C35" s="759"/>
      <c r="D35" s="759"/>
      <c r="E35" s="759"/>
      <c r="J35" s="748"/>
    </row>
    <row r="36" spans="1:10" ht="12.75">
      <c r="A36" s="759">
        <v>7</v>
      </c>
      <c r="B36" s="760" t="s">
        <v>1993</v>
      </c>
      <c r="C36" s="759"/>
      <c r="D36" s="759"/>
      <c r="E36" s="759"/>
      <c r="J36" s="748"/>
    </row>
    <row r="37" spans="1:10" ht="12.75">
      <c r="A37" s="759">
        <v>8</v>
      </c>
      <c r="B37" s="760" t="s">
        <v>1994</v>
      </c>
      <c r="C37" s="759"/>
      <c r="D37" s="759"/>
      <c r="E37" s="759"/>
      <c r="J37" s="748"/>
    </row>
    <row r="38" spans="1:10" ht="12.75">
      <c r="A38" s="759">
        <v>9</v>
      </c>
      <c r="B38" s="760" t="s">
        <v>1995</v>
      </c>
      <c r="C38" s="759"/>
      <c r="D38" s="759"/>
      <c r="E38" s="759"/>
      <c r="J38" s="748"/>
    </row>
    <row r="39" spans="1:10" ht="12.75">
      <c r="A39" s="759">
        <v>10</v>
      </c>
      <c r="B39" s="742" t="s">
        <v>1996</v>
      </c>
      <c r="C39" s="759"/>
      <c r="D39" s="759"/>
      <c r="E39" s="759"/>
      <c r="J39" s="748"/>
    </row>
    <row r="40" spans="1:10" ht="12.75">
      <c r="A40" s="759">
        <v>11</v>
      </c>
      <c r="B40" s="760" t="s">
        <v>1997</v>
      </c>
      <c r="C40" s="759"/>
      <c r="D40" s="759"/>
      <c r="E40" s="759"/>
      <c r="J40" s="748"/>
    </row>
    <row r="41" spans="1:10" ht="12.75">
      <c r="A41" s="759">
        <v>12</v>
      </c>
      <c r="B41" s="760" t="s">
        <v>1998</v>
      </c>
      <c r="C41" s="759"/>
      <c r="D41" s="759"/>
      <c r="E41" s="759"/>
      <c r="J41" s="748"/>
    </row>
    <row r="42" spans="1:10" ht="12.75">
      <c r="A42" s="759">
        <v>13</v>
      </c>
      <c r="B42" s="760" t="s">
        <v>1999</v>
      </c>
      <c r="C42" s="759"/>
      <c r="D42" s="759"/>
      <c r="E42" s="759"/>
      <c r="J42" s="748"/>
    </row>
    <row r="43" spans="1:10" ht="12.75">
      <c r="A43" s="759">
        <v>14</v>
      </c>
      <c r="B43" s="760" t="s">
        <v>2000</v>
      </c>
      <c r="C43" s="759"/>
      <c r="D43" s="759"/>
      <c r="E43" s="759"/>
      <c r="J43" s="748"/>
    </row>
    <row r="44" spans="1:10" ht="12.75">
      <c r="A44" s="759">
        <v>15</v>
      </c>
      <c r="B44" s="760" t="s">
        <v>2001</v>
      </c>
      <c r="C44" s="759"/>
      <c r="D44" s="759"/>
      <c r="E44" s="759"/>
      <c r="J44" s="748"/>
    </row>
    <row r="45" spans="1:10" ht="12.75">
      <c r="A45" s="759">
        <v>16</v>
      </c>
      <c r="B45" s="760" t="s">
        <v>2002</v>
      </c>
      <c r="C45" s="759"/>
      <c r="D45" s="759"/>
      <c r="E45" s="759"/>
      <c r="J45" s="748"/>
    </row>
    <row r="46" spans="1:10" ht="12.75">
      <c r="A46" s="759"/>
      <c r="B46" s="760"/>
      <c r="C46" s="759"/>
      <c r="D46" s="759"/>
      <c r="E46" s="759"/>
      <c r="J46" s="748"/>
    </row>
    <row r="47" spans="1:10" ht="12.75">
      <c r="A47" s="759"/>
      <c r="B47" s="760"/>
      <c r="C47" s="759"/>
      <c r="D47" s="759"/>
      <c r="E47" s="759"/>
      <c r="J47" s="748"/>
    </row>
    <row r="48" spans="1:10" ht="12.75">
      <c r="A48" s="759"/>
      <c r="B48" s="760"/>
      <c r="C48" s="759"/>
      <c r="D48" s="759"/>
      <c r="E48" s="759"/>
      <c r="J48" s="748"/>
    </row>
    <row r="49" spans="1:10" ht="12.75">
      <c r="A49" s="759"/>
      <c r="C49" s="759"/>
      <c r="D49" s="759"/>
      <c r="E49" s="759"/>
      <c r="J49" s="748"/>
    </row>
    <row r="50" spans="1:10" ht="12.75">
      <c r="A50" s="759"/>
      <c r="B50" s="760"/>
      <c r="C50" s="759"/>
      <c r="D50" s="759"/>
      <c r="E50" s="759"/>
      <c r="J50" s="748"/>
    </row>
    <row r="51" spans="1:10" ht="12.75">
      <c r="A51" s="759"/>
      <c r="C51" s="759"/>
      <c r="D51" s="759"/>
      <c r="E51" s="759"/>
      <c r="J51" s="748"/>
    </row>
    <row r="52" spans="1:10" ht="12.75">
      <c r="A52" s="759"/>
      <c r="B52" s="760"/>
      <c r="C52" s="759"/>
      <c r="D52" s="759"/>
      <c r="E52" s="759"/>
      <c r="J52" s="748"/>
    </row>
    <row r="53" spans="1:10" ht="12.75">
      <c r="A53" s="759"/>
      <c r="B53" s="760"/>
      <c r="C53" s="759"/>
      <c r="D53" s="759"/>
      <c r="E53" s="759"/>
      <c r="J53" s="748"/>
    </row>
    <row r="54" spans="1:10" ht="12.75">
      <c r="A54" s="759"/>
      <c r="B54" s="760"/>
      <c r="C54" s="759"/>
      <c r="D54" s="759"/>
      <c r="E54" s="759"/>
      <c r="J54" s="748"/>
    </row>
    <row r="55" spans="1:10" ht="12.75">
      <c r="A55" s="759"/>
      <c r="B55" s="760"/>
      <c r="C55" s="759"/>
      <c r="D55" s="759"/>
      <c r="E55" s="759"/>
      <c r="J55" s="748"/>
    </row>
    <row r="56" spans="1:10" ht="12.75">
      <c r="A56" s="759"/>
      <c r="B56" s="760"/>
      <c r="C56" s="759"/>
      <c r="D56" s="759"/>
      <c r="E56" s="759"/>
      <c r="J56" s="748"/>
    </row>
    <row r="57" spans="1:10" ht="12.75">
      <c r="A57" s="759"/>
      <c r="B57" s="760"/>
      <c r="C57" s="759"/>
      <c r="D57" s="759"/>
      <c r="E57" s="759"/>
      <c r="J57" s="748"/>
    </row>
    <row r="58" spans="1:10" ht="12.75">
      <c r="A58" s="759"/>
      <c r="B58" s="760"/>
      <c r="C58" s="759"/>
      <c r="D58" s="759"/>
      <c r="E58" s="759"/>
      <c r="J58" s="748"/>
    </row>
    <row r="59" spans="1:10" ht="12.75">
      <c r="A59" s="759"/>
      <c r="B59" s="760"/>
      <c r="C59" s="759"/>
      <c r="D59" s="759"/>
      <c r="E59" s="759"/>
      <c r="J59" s="748"/>
    </row>
    <row r="60" spans="1:10" ht="12.75">
      <c r="A60" s="759"/>
      <c r="B60" s="760"/>
      <c r="C60" s="759"/>
      <c r="D60" s="759"/>
      <c r="E60" s="759"/>
      <c r="J60" s="748"/>
    </row>
    <row r="61" spans="1:10" ht="12.75">
      <c r="A61" s="759"/>
      <c r="B61" s="760"/>
      <c r="C61" s="759"/>
      <c r="D61" s="759"/>
      <c r="E61" s="759"/>
      <c r="J61" s="748"/>
    </row>
    <row r="62" spans="1:10" ht="12.75">
      <c r="A62" s="759"/>
      <c r="B62" s="760"/>
      <c r="C62" s="759"/>
      <c r="D62" s="759"/>
      <c r="E62" s="759"/>
      <c r="J62" s="748"/>
    </row>
    <row r="63" spans="1:10" ht="12.75">
      <c r="A63" s="759"/>
      <c r="B63" s="760"/>
      <c r="C63" s="759"/>
      <c r="D63" s="759"/>
      <c r="E63" s="759"/>
      <c r="J63" s="748"/>
    </row>
    <row r="64" spans="1:10" ht="12.75">
      <c r="A64" s="759"/>
      <c r="B64" s="760"/>
      <c r="C64" s="759"/>
      <c r="D64" s="759"/>
      <c r="E64" s="759"/>
      <c r="J64" s="748"/>
    </row>
    <row r="65" spans="1:10" ht="12.75">
      <c r="A65" s="759"/>
      <c r="B65" s="760"/>
      <c r="C65" s="759"/>
      <c r="D65" s="759"/>
      <c r="E65" s="759"/>
      <c r="J65" s="748"/>
    </row>
    <row r="66" spans="1:10" ht="12.75">
      <c r="A66" s="759"/>
      <c r="B66" s="760"/>
      <c r="C66" s="759"/>
      <c r="D66" s="759"/>
      <c r="E66" s="759"/>
      <c r="J66" s="748"/>
    </row>
    <row r="67" spans="1:10" ht="12.75">
      <c r="A67" s="759"/>
      <c r="B67" s="760"/>
      <c r="C67" s="759"/>
      <c r="D67" s="759"/>
      <c r="E67" s="759"/>
      <c r="J67" s="748"/>
    </row>
    <row r="68" spans="1:10" ht="12.75">
      <c r="A68" s="759"/>
      <c r="B68" s="760"/>
      <c r="C68" s="759"/>
      <c r="D68" s="759"/>
      <c r="E68" s="759"/>
      <c r="J68" s="748"/>
    </row>
    <row r="69" spans="1:10" ht="12.75">
      <c r="A69" s="759"/>
      <c r="B69" s="760"/>
      <c r="C69" s="759"/>
      <c r="D69" s="759"/>
      <c r="E69" s="759"/>
      <c r="J69" s="748"/>
    </row>
    <row r="70" spans="1:10" ht="12.75">
      <c r="A70" s="759"/>
      <c r="B70" s="760"/>
      <c r="C70" s="759"/>
      <c r="D70" s="759"/>
      <c r="E70" s="759"/>
      <c r="J70" s="748"/>
    </row>
    <row r="71" spans="1:10" ht="12.75">
      <c r="A71" s="759"/>
      <c r="B71" s="760"/>
      <c r="C71" s="759"/>
      <c r="D71" s="759"/>
      <c r="E71" s="759"/>
      <c r="J71" s="748"/>
    </row>
    <row r="72" spans="1:10" ht="12.75">
      <c r="A72" s="759"/>
      <c r="B72" s="760"/>
      <c r="C72" s="759"/>
      <c r="D72" s="759"/>
      <c r="E72" s="759"/>
      <c r="J72" s="748"/>
    </row>
    <row r="73" spans="1:10" ht="12.75">
      <c r="A73" s="759"/>
      <c r="B73" s="760"/>
      <c r="C73" s="759"/>
      <c r="D73" s="759"/>
      <c r="E73" s="759"/>
      <c r="J73" s="748"/>
    </row>
    <row r="74" spans="1:10" ht="12.75">
      <c r="A74" s="759"/>
      <c r="B74" s="760"/>
      <c r="C74" s="759"/>
      <c r="D74" s="759"/>
      <c r="E74" s="759"/>
      <c r="J74" s="748"/>
    </row>
    <row r="75" spans="1:10" ht="12.75">
      <c r="A75" s="759"/>
      <c r="B75" s="760"/>
      <c r="C75" s="759"/>
      <c r="D75" s="759"/>
      <c r="E75" s="759"/>
      <c r="J75" s="748"/>
    </row>
    <row r="76" spans="1:10" ht="12.75">
      <c r="A76" s="758" t="s">
        <v>2003</v>
      </c>
      <c r="B76" s="760"/>
      <c r="C76" s="759"/>
      <c r="D76" s="759"/>
      <c r="E76" s="759"/>
      <c r="J76" s="748"/>
    </row>
    <row r="77" spans="1:10" ht="12.75">
      <c r="A77" s="759">
        <v>1</v>
      </c>
      <c r="B77" s="760" t="s">
        <v>2004</v>
      </c>
      <c r="C77" s="759"/>
      <c r="D77" s="759"/>
      <c r="E77" s="759"/>
      <c r="J77" s="748"/>
    </row>
    <row r="78" spans="1:10" ht="12.75">
      <c r="A78" s="759">
        <v>2</v>
      </c>
      <c r="B78" s="760" t="s">
        <v>2005</v>
      </c>
      <c r="C78" s="759"/>
      <c r="D78" s="759"/>
      <c r="E78" s="759"/>
      <c r="J78" s="748"/>
    </row>
    <row r="79" spans="1:10" ht="12.75">
      <c r="A79" s="759"/>
      <c r="B79" s="759"/>
      <c r="C79" s="759"/>
      <c r="D79" s="759"/>
      <c r="E79" s="759"/>
      <c r="J79" s="748"/>
    </row>
    <row r="80" spans="1:10" ht="12.75">
      <c r="A80" s="759"/>
      <c r="B80" s="759"/>
      <c r="C80" s="759"/>
      <c r="D80" s="759"/>
      <c r="E80" s="759"/>
      <c r="J80" s="748"/>
    </row>
    <row r="81" spans="1:10" ht="12.75">
      <c r="A81" s="759"/>
      <c r="B81" s="759"/>
      <c r="C81" s="759"/>
      <c r="D81" s="759"/>
      <c r="E81" s="759"/>
      <c r="J81" s="748"/>
    </row>
    <row r="82" spans="1:10" ht="12.75">
      <c r="A82" s="759"/>
      <c r="B82" s="759"/>
      <c r="C82" s="759"/>
      <c r="D82" s="759"/>
      <c r="E82" s="759"/>
      <c r="J82" s="748"/>
    </row>
    <row r="83" spans="1:10" ht="12.75">
      <c r="J83" s="748"/>
    </row>
    <row r="84" spans="1:10" ht="12.75">
      <c r="J84" s="748"/>
    </row>
    <row r="85" spans="1:10" ht="12.75">
      <c r="J85" s="748"/>
    </row>
    <row r="86" spans="1:10" ht="12.75">
      <c r="J86" s="748"/>
    </row>
    <row r="87" spans="1:10" ht="12.75">
      <c r="J87" s="748"/>
    </row>
    <row r="88" spans="1:10" ht="12.75">
      <c r="J88" s="748"/>
    </row>
    <row r="89" spans="1:10" ht="12.75">
      <c r="J89" s="748"/>
    </row>
    <row r="90" spans="1:10" ht="12.75">
      <c r="J90" s="748"/>
    </row>
    <row r="91" spans="1:10" ht="12.75">
      <c r="J91" s="748"/>
    </row>
    <row r="92" spans="1:10" ht="12.75">
      <c r="J92" s="748"/>
    </row>
    <row r="93" spans="1:10" ht="12.75">
      <c r="J93" s="748"/>
    </row>
    <row r="94" spans="1:10" ht="12.75">
      <c r="J94" s="748"/>
    </row>
    <row r="95" spans="1:10" ht="12.75">
      <c r="J95" s="748"/>
    </row>
    <row r="96" spans="1:10" ht="12.75">
      <c r="J96" s="748"/>
    </row>
    <row r="97" spans="10:10" ht="12.75">
      <c r="J97" s="748"/>
    </row>
    <row r="98" spans="10:10" ht="12.75">
      <c r="J98" s="748"/>
    </row>
    <row r="99" spans="10:10" ht="12.75">
      <c r="J99" s="748"/>
    </row>
    <row r="100" spans="10:10" ht="12.75">
      <c r="J100" s="748"/>
    </row>
    <row r="101" spans="10:10" ht="12.75">
      <c r="J101" s="748"/>
    </row>
    <row r="102" spans="10:10" ht="12.75">
      <c r="J102" s="748"/>
    </row>
    <row r="103" spans="10:10" ht="12.75">
      <c r="J103" s="748"/>
    </row>
    <row r="104" spans="10:10" ht="12.75">
      <c r="J104" s="748"/>
    </row>
    <row r="105" spans="10:10" ht="12.75">
      <c r="J105" s="748"/>
    </row>
    <row r="106" spans="10:10" ht="12.75">
      <c r="J106" s="748"/>
    </row>
    <row r="107" spans="10:10" ht="12.75">
      <c r="J107" s="748"/>
    </row>
    <row r="108" spans="10:10" ht="12.75">
      <c r="J108" s="748"/>
    </row>
    <row r="109" spans="10:10" ht="12.75">
      <c r="J109" s="748"/>
    </row>
    <row r="110" spans="10:10" ht="12.75">
      <c r="J110" s="748"/>
    </row>
    <row r="111" spans="10:10" ht="12.75">
      <c r="J111" s="748"/>
    </row>
    <row r="112" spans="10:10" ht="12.75">
      <c r="J112" s="748"/>
    </row>
    <row r="113" spans="10:10" ht="12.75">
      <c r="J113" s="748"/>
    </row>
    <row r="114" spans="10:10" ht="12.75">
      <c r="J114" s="748"/>
    </row>
    <row r="115" spans="10:10" ht="12.75">
      <c r="J115" s="748"/>
    </row>
    <row r="116" spans="10:10" ht="12.75">
      <c r="J116" s="748"/>
    </row>
    <row r="117" spans="10:10" ht="12.75">
      <c r="J117" s="748"/>
    </row>
    <row r="118" spans="10:10" ht="12.75">
      <c r="J118" s="748"/>
    </row>
    <row r="119" spans="10:10" ht="12.75">
      <c r="J119" s="748"/>
    </row>
    <row r="120" spans="10:10" ht="12.75">
      <c r="J120" s="748"/>
    </row>
    <row r="121" spans="10:10" ht="12.75">
      <c r="J121" s="748"/>
    </row>
    <row r="122" spans="10:10" ht="12.75">
      <c r="J122" s="748"/>
    </row>
    <row r="123" spans="10:10" ht="12.75">
      <c r="J123" s="748"/>
    </row>
    <row r="124" spans="10:10" ht="12.75">
      <c r="J124" s="748"/>
    </row>
    <row r="125" spans="10:10" ht="12.75">
      <c r="J125" s="748"/>
    </row>
    <row r="126" spans="10:10" ht="12.75">
      <c r="J126" s="748"/>
    </row>
    <row r="127" spans="10:10" ht="12.75">
      <c r="J127" s="748"/>
    </row>
    <row r="128" spans="10:10" ht="12.75">
      <c r="J128" s="748"/>
    </row>
    <row r="129" spans="10:10" ht="12.75">
      <c r="J129" s="748"/>
    </row>
    <row r="130" spans="10:10" ht="12.75">
      <c r="J130" s="748"/>
    </row>
    <row r="131" spans="10:10" ht="12.75">
      <c r="J131" s="748"/>
    </row>
    <row r="132" spans="10:10" ht="12.75">
      <c r="J132" s="748"/>
    </row>
    <row r="133" spans="10:10" ht="12.75">
      <c r="J133" s="748"/>
    </row>
    <row r="134" spans="10:10" ht="12.75">
      <c r="J134" s="748"/>
    </row>
    <row r="135" spans="10:10" ht="12.75">
      <c r="J135" s="748"/>
    </row>
    <row r="136" spans="10:10" ht="12.75">
      <c r="J136" s="748"/>
    </row>
    <row r="137" spans="10:10" ht="12.75">
      <c r="J137" s="748"/>
    </row>
    <row r="138" spans="10:10" ht="12.75">
      <c r="J138" s="748"/>
    </row>
    <row r="139" spans="10:10" ht="12.75">
      <c r="J139" s="748"/>
    </row>
    <row r="140" spans="10:10" ht="12.75">
      <c r="J140" s="748"/>
    </row>
    <row r="141" spans="10:10" ht="12.75">
      <c r="J141" s="748"/>
    </row>
    <row r="142" spans="10:10" ht="12.75">
      <c r="J142" s="748"/>
    </row>
    <row r="143" spans="10:10" ht="12.75">
      <c r="J143" s="748"/>
    </row>
    <row r="144" spans="10:10" ht="12.75">
      <c r="J144" s="748"/>
    </row>
    <row r="145" spans="10:10" ht="12.75">
      <c r="J145" s="748"/>
    </row>
    <row r="146" spans="10:10" ht="12.75">
      <c r="J146" s="748"/>
    </row>
    <row r="147" spans="10:10" ht="12.75">
      <c r="J147" s="748"/>
    </row>
    <row r="148" spans="10:10" ht="12.75">
      <c r="J148" s="748"/>
    </row>
    <row r="149" spans="10:10" ht="12.75">
      <c r="J149" s="748"/>
    </row>
    <row r="150" spans="10:10" ht="12.75">
      <c r="J150" s="748"/>
    </row>
    <row r="151" spans="10:10" ht="12.75">
      <c r="J151" s="748"/>
    </row>
    <row r="152" spans="10:10" ht="12.75">
      <c r="J152" s="748"/>
    </row>
    <row r="153" spans="10:10" ht="12.75">
      <c r="J153" s="748"/>
    </row>
    <row r="154" spans="10:10" ht="12.75">
      <c r="J154" s="748"/>
    </row>
    <row r="155" spans="10:10" ht="12.75">
      <c r="J155" s="748"/>
    </row>
    <row r="156" spans="10:10" ht="12.75">
      <c r="J156" s="748"/>
    </row>
    <row r="157" spans="10:10" ht="12.75">
      <c r="J157" s="748"/>
    </row>
    <row r="158" spans="10:10" ht="12.75">
      <c r="J158" s="748"/>
    </row>
    <row r="159" spans="10:10" ht="12.75">
      <c r="J159" s="748"/>
    </row>
    <row r="160" spans="10:10" ht="12.75">
      <c r="J160" s="748"/>
    </row>
    <row r="161" spans="10:10" ht="12.75">
      <c r="J161" s="748"/>
    </row>
    <row r="162" spans="10:10" ht="12.75">
      <c r="J162" s="748"/>
    </row>
    <row r="163" spans="10:10" ht="12.75">
      <c r="J163" s="748"/>
    </row>
    <row r="164" spans="10:10" ht="12.75">
      <c r="J164" s="748"/>
    </row>
    <row r="165" spans="10:10" ht="12.75">
      <c r="J165" s="748"/>
    </row>
    <row r="166" spans="10:10" ht="12.75">
      <c r="J166" s="748"/>
    </row>
    <row r="167" spans="10:10" ht="12.75">
      <c r="J167" s="748"/>
    </row>
    <row r="168" spans="10:10" ht="12.75">
      <c r="J168" s="748"/>
    </row>
    <row r="169" spans="10:10" ht="12.75">
      <c r="J169" s="748"/>
    </row>
    <row r="170" spans="10:10" ht="12.75">
      <c r="J170" s="748"/>
    </row>
    <row r="171" spans="10:10" ht="12.75">
      <c r="J171" s="748"/>
    </row>
    <row r="172" spans="10:10" ht="12.75">
      <c r="J172" s="748"/>
    </row>
    <row r="173" spans="10:10" ht="12.75">
      <c r="J173" s="748"/>
    </row>
    <row r="174" spans="10:10" ht="12.75">
      <c r="J174" s="748"/>
    </row>
    <row r="175" spans="10:10" ht="12.75">
      <c r="J175" s="748"/>
    </row>
    <row r="176" spans="10:10" ht="12.75">
      <c r="J176" s="748"/>
    </row>
    <row r="177" spans="10:10" ht="12.75">
      <c r="J177" s="748"/>
    </row>
    <row r="178" spans="10:10" ht="12.75">
      <c r="J178" s="748"/>
    </row>
    <row r="179" spans="10:10" ht="12.75">
      <c r="J179" s="748"/>
    </row>
    <row r="180" spans="10:10" ht="12.75">
      <c r="J180" s="748"/>
    </row>
    <row r="181" spans="10:10" ht="12.75">
      <c r="J181" s="748"/>
    </row>
    <row r="182" spans="10:10" ht="12.75">
      <c r="J182" s="748"/>
    </row>
    <row r="183" spans="10:10" ht="12.75">
      <c r="J183" s="748"/>
    </row>
    <row r="184" spans="10:10" ht="12.75">
      <c r="J184" s="748"/>
    </row>
    <row r="185" spans="10:10" ht="12.75">
      <c r="J185" s="748"/>
    </row>
    <row r="186" spans="10:10" ht="12.75">
      <c r="J186" s="748"/>
    </row>
    <row r="187" spans="10:10" ht="12.75">
      <c r="J187" s="748"/>
    </row>
    <row r="188" spans="10:10" ht="12.75">
      <c r="J188" s="748"/>
    </row>
    <row r="189" spans="10:10" ht="12.75">
      <c r="J189" s="748"/>
    </row>
    <row r="190" spans="10:10" ht="12.75">
      <c r="J190" s="748"/>
    </row>
    <row r="191" spans="10:10" ht="12.75">
      <c r="J191" s="748"/>
    </row>
    <row r="192" spans="10:10" ht="12.75">
      <c r="J192" s="748"/>
    </row>
    <row r="193" spans="10:10" ht="12.75">
      <c r="J193" s="748"/>
    </row>
    <row r="194" spans="10:10" ht="12.75">
      <c r="J194" s="748"/>
    </row>
    <row r="195" spans="10:10" ht="12.75">
      <c r="J195" s="748"/>
    </row>
    <row r="196" spans="10:10" ht="12.75">
      <c r="J196" s="748"/>
    </row>
    <row r="197" spans="10:10" ht="12.75">
      <c r="J197" s="748"/>
    </row>
    <row r="198" spans="10:10" ht="12.75">
      <c r="J198" s="748"/>
    </row>
    <row r="199" spans="10:10" ht="12.75">
      <c r="J199" s="748"/>
    </row>
    <row r="200" spans="10:10" ht="12.75">
      <c r="J200" s="748"/>
    </row>
    <row r="201" spans="10:10" ht="12.75">
      <c r="J201" s="748"/>
    </row>
    <row r="202" spans="10:10" ht="12.75">
      <c r="J202" s="748"/>
    </row>
    <row r="203" spans="10:10" ht="12.75">
      <c r="J203" s="748"/>
    </row>
    <row r="204" spans="10:10" ht="12.75">
      <c r="J204" s="748"/>
    </row>
    <row r="205" spans="10:10" ht="12.75">
      <c r="J205" s="748"/>
    </row>
    <row r="206" spans="10:10" ht="12.75">
      <c r="J206" s="748"/>
    </row>
    <row r="207" spans="10:10" ht="12.75">
      <c r="J207" s="748"/>
    </row>
    <row r="208" spans="10:10" ht="12.75">
      <c r="J208" s="748"/>
    </row>
    <row r="209" spans="10:10" ht="12.75">
      <c r="J209" s="748"/>
    </row>
    <row r="210" spans="10:10" ht="12.75">
      <c r="J210" s="748"/>
    </row>
    <row r="211" spans="10:10" ht="12.75">
      <c r="J211" s="748"/>
    </row>
    <row r="212" spans="10:10" ht="12.75">
      <c r="J212" s="748"/>
    </row>
    <row r="213" spans="10:10" ht="12.75">
      <c r="J213" s="748"/>
    </row>
    <row r="214" spans="10:10" ht="12.75">
      <c r="J214" s="748"/>
    </row>
    <row r="215" spans="10:10" ht="12.75">
      <c r="J215" s="748"/>
    </row>
    <row r="216" spans="10:10" ht="12.75">
      <c r="J216" s="748"/>
    </row>
    <row r="217" spans="10:10" ht="12.75">
      <c r="J217" s="748"/>
    </row>
    <row r="218" spans="10:10" ht="12.75">
      <c r="J218" s="748"/>
    </row>
    <row r="219" spans="10:10" ht="12.75">
      <c r="J219" s="748"/>
    </row>
    <row r="220" spans="10:10" ht="12.75">
      <c r="J220" s="748"/>
    </row>
    <row r="221" spans="10:10" ht="12.75">
      <c r="J221" s="748"/>
    </row>
    <row r="222" spans="10:10" ht="12.75">
      <c r="J222" s="748"/>
    </row>
    <row r="223" spans="10:10" ht="12.75">
      <c r="J223" s="748"/>
    </row>
    <row r="224" spans="10:10" ht="12.75">
      <c r="J224" s="748"/>
    </row>
    <row r="225" spans="10:10" ht="12.75">
      <c r="J225" s="748"/>
    </row>
    <row r="226" spans="10:10" ht="12.75">
      <c r="J226" s="748"/>
    </row>
    <row r="227" spans="10:10" ht="12.75">
      <c r="J227" s="748"/>
    </row>
    <row r="228" spans="10:10" ht="12.75">
      <c r="J228" s="748"/>
    </row>
    <row r="229" spans="10:10" ht="12.75">
      <c r="J229" s="748"/>
    </row>
    <row r="230" spans="10:10" ht="12.75">
      <c r="J230" s="748"/>
    </row>
    <row r="231" spans="10:10" ht="12.75">
      <c r="J231" s="748"/>
    </row>
    <row r="232" spans="10:10" ht="12.75">
      <c r="J232" s="748"/>
    </row>
    <row r="233" spans="10:10" ht="12.75">
      <c r="J233" s="748"/>
    </row>
    <row r="234" spans="10:10" ht="12.75">
      <c r="J234" s="748"/>
    </row>
    <row r="235" spans="10:10" ht="12.75">
      <c r="J235" s="748"/>
    </row>
    <row r="236" spans="10:10" ht="12.75">
      <c r="J236" s="748"/>
    </row>
    <row r="237" spans="10:10" ht="12.75">
      <c r="J237" s="748"/>
    </row>
    <row r="238" spans="10:10" ht="12.75">
      <c r="J238" s="748"/>
    </row>
    <row r="239" spans="10:10" ht="12.75">
      <c r="J239" s="748"/>
    </row>
    <row r="240" spans="10:10" ht="12.75">
      <c r="J240" s="748"/>
    </row>
    <row r="241" spans="10:10" ht="12.75">
      <c r="J241" s="748"/>
    </row>
    <row r="242" spans="10:10" ht="12.75">
      <c r="J242" s="748"/>
    </row>
    <row r="243" spans="10:10" ht="12.75">
      <c r="J243" s="748"/>
    </row>
    <row r="244" spans="10:10" ht="12.75">
      <c r="J244" s="748"/>
    </row>
    <row r="245" spans="10:10" ht="12.75">
      <c r="J245" s="748"/>
    </row>
    <row r="246" spans="10:10" ht="12.75">
      <c r="J246" s="748"/>
    </row>
    <row r="247" spans="10:10" ht="12.75">
      <c r="J247" s="748"/>
    </row>
    <row r="248" spans="10:10" ht="12.75">
      <c r="J248" s="748"/>
    </row>
    <row r="249" spans="10:10" ht="12.75">
      <c r="J249" s="748"/>
    </row>
    <row r="250" spans="10:10" ht="12.75">
      <c r="J250" s="748"/>
    </row>
    <row r="251" spans="10:10" ht="12.75">
      <c r="J251" s="748"/>
    </row>
    <row r="252" spans="10:10" ht="12.75">
      <c r="J252" s="748"/>
    </row>
    <row r="253" spans="10:10" ht="12.75">
      <c r="J253" s="748"/>
    </row>
    <row r="254" spans="10:10" ht="12.75">
      <c r="J254" s="748"/>
    </row>
    <row r="255" spans="10:10" ht="12.75">
      <c r="J255" s="748"/>
    </row>
    <row r="256" spans="10:10" ht="12.75">
      <c r="J256" s="748"/>
    </row>
    <row r="257" spans="10:10" ht="12.75">
      <c r="J257" s="748"/>
    </row>
    <row r="258" spans="10:10" ht="12.75">
      <c r="J258" s="748"/>
    </row>
    <row r="259" spans="10:10" ht="12.75">
      <c r="J259" s="748"/>
    </row>
    <row r="260" spans="10:10" ht="12.75">
      <c r="J260" s="748"/>
    </row>
    <row r="261" spans="10:10" ht="12.75">
      <c r="J261" s="748"/>
    </row>
    <row r="262" spans="10:10" ht="12.75">
      <c r="J262" s="748"/>
    </row>
    <row r="263" spans="10:10" ht="12.75">
      <c r="J263" s="748"/>
    </row>
    <row r="264" spans="10:10" ht="12.75">
      <c r="J264" s="748"/>
    </row>
    <row r="265" spans="10:10" ht="12.75">
      <c r="J265" s="748"/>
    </row>
    <row r="266" spans="10:10" ht="12.75">
      <c r="J266" s="748"/>
    </row>
    <row r="267" spans="10:10" ht="12.75">
      <c r="J267" s="748"/>
    </row>
    <row r="268" spans="10:10" ht="12.75">
      <c r="J268" s="748"/>
    </row>
    <row r="269" spans="10:10" ht="12.75">
      <c r="J269" s="748"/>
    </row>
    <row r="270" spans="10:10" ht="12.75">
      <c r="J270" s="748"/>
    </row>
    <row r="271" spans="10:10" ht="12.75">
      <c r="J271" s="748"/>
    </row>
    <row r="272" spans="10:10" ht="12.75">
      <c r="J272" s="748"/>
    </row>
    <row r="273" spans="10:10" ht="12.75">
      <c r="J273" s="748"/>
    </row>
    <row r="274" spans="10:10" ht="12.75">
      <c r="J274" s="748"/>
    </row>
    <row r="275" spans="10:10" ht="12.75">
      <c r="J275" s="748"/>
    </row>
    <row r="276" spans="10:10" ht="12.75">
      <c r="J276" s="748"/>
    </row>
    <row r="277" spans="10:10" ht="12.75">
      <c r="J277" s="748"/>
    </row>
    <row r="278" spans="10:10" ht="12.75">
      <c r="J278" s="748"/>
    </row>
    <row r="279" spans="10:10" ht="12.75">
      <c r="J279" s="748"/>
    </row>
    <row r="280" spans="10:10" ht="12.75">
      <c r="J280" s="748"/>
    </row>
    <row r="281" spans="10:10" ht="12.75">
      <c r="J281" s="748"/>
    </row>
    <row r="282" spans="10:10" ht="12.75">
      <c r="J282" s="748"/>
    </row>
    <row r="283" spans="10:10" ht="12.75">
      <c r="J283" s="748"/>
    </row>
    <row r="284" spans="10:10" ht="12.75">
      <c r="J284" s="748"/>
    </row>
    <row r="285" spans="10:10" ht="12.75">
      <c r="J285" s="748"/>
    </row>
    <row r="286" spans="10:10" ht="12.75">
      <c r="J286" s="748"/>
    </row>
    <row r="287" spans="10:10" ht="12.75">
      <c r="J287" s="748"/>
    </row>
    <row r="288" spans="10:10" ht="12.75">
      <c r="J288" s="748"/>
    </row>
    <row r="289" spans="10:10" ht="12.75">
      <c r="J289" s="748"/>
    </row>
    <row r="290" spans="10:10" ht="12.75">
      <c r="J290" s="748"/>
    </row>
    <row r="291" spans="10:10" ht="12.75">
      <c r="J291" s="748"/>
    </row>
    <row r="292" spans="10:10" ht="12.75">
      <c r="J292" s="748"/>
    </row>
    <row r="293" spans="10:10" ht="12.75">
      <c r="J293" s="748"/>
    </row>
    <row r="294" spans="10:10" ht="12.75">
      <c r="J294" s="748"/>
    </row>
    <row r="295" spans="10:10" ht="12.75">
      <c r="J295" s="748"/>
    </row>
    <row r="296" spans="10:10" ht="12.75">
      <c r="J296" s="748"/>
    </row>
    <row r="297" spans="10:10" ht="12.75">
      <c r="J297" s="748"/>
    </row>
    <row r="298" spans="10:10" ht="12.75">
      <c r="J298" s="748"/>
    </row>
    <row r="299" spans="10:10" ht="12.75">
      <c r="J299" s="748"/>
    </row>
    <row r="300" spans="10:10" ht="12.75">
      <c r="J300" s="748"/>
    </row>
    <row r="301" spans="10:10" ht="12.75">
      <c r="J301" s="748"/>
    </row>
    <row r="302" spans="10:10" ht="12.75">
      <c r="J302" s="748"/>
    </row>
    <row r="303" spans="10:10" ht="12.75">
      <c r="J303" s="748"/>
    </row>
    <row r="304" spans="10:10" ht="12.75">
      <c r="J304" s="748"/>
    </row>
    <row r="305" spans="10:10" ht="12.75">
      <c r="J305" s="748"/>
    </row>
    <row r="306" spans="10:10" ht="12.75">
      <c r="J306" s="748"/>
    </row>
    <row r="307" spans="10:10" ht="12.75">
      <c r="J307" s="748"/>
    </row>
    <row r="308" spans="10:10" ht="12.75">
      <c r="J308" s="748"/>
    </row>
    <row r="309" spans="10:10" ht="12.75">
      <c r="J309" s="748"/>
    </row>
    <row r="310" spans="10:10" ht="12.75">
      <c r="J310" s="748"/>
    </row>
    <row r="311" spans="10:10" ht="12.75">
      <c r="J311" s="748"/>
    </row>
    <row r="312" spans="10:10" ht="12.75">
      <c r="J312" s="748"/>
    </row>
    <row r="313" spans="10:10" ht="12.75">
      <c r="J313" s="748"/>
    </row>
    <row r="314" spans="10:10" ht="12.75">
      <c r="J314" s="748"/>
    </row>
    <row r="315" spans="10:10" ht="12.75">
      <c r="J315" s="748"/>
    </row>
    <row r="316" spans="10:10" ht="12.75">
      <c r="J316" s="748"/>
    </row>
    <row r="317" spans="10:10" ht="12.75">
      <c r="J317" s="748"/>
    </row>
    <row r="318" spans="10:10" ht="12.75">
      <c r="J318" s="748"/>
    </row>
    <row r="319" spans="10:10" ht="12.75">
      <c r="J319" s="748"/>
    </row>
    <row r="320" spans="10:10" ht="12.75">
      <c r="J320" s="748"/>
    </row>
    <row r="321" spans="10:10" ht="12.75">
      <c r="J321" s="748"/>
    </row>
    <row r="322" spans="10:10" ht="12.75">
      <c r="J322" s="748"/>
    </row>
    <row r="323" spans="10:10" ht="12.75">
      <c r="J323" s="748"/>
    </row>
    <row r="324" spans="10:10" ht="12.75">
      <c r="J324" s="748"/>
    </row>
    <row r="325" spans="10:10" ht="12.75">
      <c r="J325" s="748"/>
    </row>
    <row r="326" spans="10:10" ht="12.75">
      <c r="J326" s="748"/>
    </row>
    <row r="327" spans="10:10" ht="12.75">
      <c r="J327" s="748"/>
    </row>
    <row r="328" spans="10:10" ht="12.75">
      <c r="J328" s="748"/>
    </row>
    <row r="329" spans="10:10" ht="12.75">
      <c r="J329" s="748"/>
    </row>
    <row r="330" spans="10:10" ht="12.75">
      <c r="J330" s="748"/>
    </row>
    <row r="331" spans="10:10" ht="12.75">
      <c r="J331" s="748"/>
    </row>
    <row r="332" spans="10:10" ht="12.75">
      <c r="J332" s="748"/>
    </row>
    <row r="333" spans="10:10" ht="12.75">
      <c r="J333" s="748"/>
    </row>
    <row r="334" spans="10:10" ht="12.75">
      <c r="J334" s="748"/>
    </row>
    <row r="335" spans="10:10" ht="12.75">
      <c r="J335" s="748"/>
    </row>
    <row r="336" spans="10:10" ht="12.75">
      <c r="J336" s="748"/>
    </row>
    <row r="337" spans="10:10" ht="12.75">
      <c r="J337" s="748"/>
    </row>
    <row r="338" spans="10:10" ht="12.75">
      <c r="J338" s="748"/>
    </row>
    <row r="339" spans="10:10" ht="12.75">
      <c r="J339" s="748"/>
    </row>
    <row r="340" spans="10:10" ht="12.75">
      <c r="J340" s="748"/>
    </row>
    <row r="341" spans="10:10" ht="12.75">
      <c r="J341" s="748"/>
    </row>
    <row r="342" spans="10:10" ht="12.75">
      <c r="J342" s="748"/>
    </row>
    <row r="343" spans="10:10" ht="12.75">
      <c r="J343" s="748"/>
    </row>
    <row r="344" spans="10:10" ht="12.75">
      <c r="J344" s="748"/>
    </row>
    <row r="345" spans="10:10" ht="12.75">
      <c r="J345" s="748"/>
    </row>
    <row r="346" spans="10:10" ht="12.75">
      <c r="J346" s="748"/>
    </row>
    <row r="347" spans="10:10" ht="12.75">
      <c r="J347" s="748"/>
    </row>
    <row r="348" spans="10:10" ht="12.75">
      <c r="J348" s="748"/>
    </row>
    <row r="349" spans="10:10" ht="12.75">
      <c r="J349" s="748"/>
    </row>
    <row r="350" spans="10:10" ht="12.75">
      <c r="J350" s="748"/>
    </row>
    <row r="351" spans="10:10" ht="12.75">
      <c r="J351" s="748"/>
    </row>
    <row r="352" spans="10:10" ht="12.75">
      <c r="J352" s="748"/>
    </row>
    <row r="353" spans="10:10" ht="12.75">
      <c r="J353" s="748"/>
    </row>
    <row r="354" spans="10:10" ht="12.75">
      <c r="J354" s="748"/>
    </row>
    <row r="355" spans="10:10" ht="12.75">
      <c r="J355" s="748"/>
    </row>
    <row r="356" spans="10:10" ht="12.75">
      <c r="J356" s="748"/>
    </row>
    <row r="357" spans="10:10" ht="12.75">
      <c r="J357" s="748"/>
    </row>
    <row r="358" spans="10:10" ht="12.75">
      <c r="J358" s="748"/>
    </row>
    <row r="359" spans="10:10" ht="12.75">
      <c r="J359" s="748"/>
    </row>
    <row r="360" spans="10:10" ht="12.75">
      <c r="J360" s="748"/>
    </row>
    <row r="361" spans="10:10" ht="12.75">
      <c r="J361" s="748"/>
    </row>
    <row r="362" spans="10:10" ht="12.75">
      <c r="J362" s="748"/>
    </row>
    <row r="363" spans="10:10" ht="12.75">
      <c r="J363" s="748"/>
    </row>
    <row r="364" spans="10:10" ht="12.75">
      <c r="J364" s="748"/>
    </row>
    <row r="365" spans="10:10" ht="12.75">
      <c r="J365" s="748"/>
    </row>
    <row r="366" spans="10:10" ht="12.75">
      <c r="J366" s="748"/>
    </row>
    <row r="367" spans="10:10" ht="12.75">
      <c r="J367" s="748"/>
    </row>
    <row r="368" spans="10:10" ht="12.75">
      <c r="J368" s="748"/>
    </row>
    <row r="369" spans="10:10" ht="12.75">
      <c r="J369" s="748"/>
    </row>
    <row r="370" spans="10:10" ht="12.75">
      <c r="J370" s="748"/>
    </row>
    <row r="371" spans="10:10" ht="12.75">
      <c r="J371" s="748"/>
    </row>
    <row r="372" spans="10:10" ht="12.75">
      <c r="J372" s="748"/>
    </row>
    <row r="373" spans="10:10" ht="12.75">
      <c r="J373" s="748"/>
    </row>
    <row r="374" spans="10:10" ht="12.75">
      <c r="J374" s="748"/>
    </row>
    <row r="375" spans="10:10" ht="12.75">
      <c r="J375" s="748"/>
    </row>
    <row r="376" spans="10:10" ht="12.75">
      <c r="J376" s="748"/>
    </row>
    <row r="377" spans="10:10" ht="12.75">
      <c r="J377" s="748"/>
    </row>
    <row r="378" spans="10:10" ht="12.75">
      <c r="J378" s="748"/>
    </row>
    <row r="379" spans="10:10" ht="12.75">
      <c r="J379" s="748"/>
    </row>
    <row r="380" spans="10:10" ht="12.75">
      <c r="J380" s="748"/>
    </row>
    <row r="381" spans="10:10" ht="12.75">
      <c r="J381" s="748"/>
    </row>
    <row r="382" spans="10:10" ht="12.75">
      <c r="J382" s="748"/>
    </row>
    <row r="383" spans="10:10" ht="12.75">
      <c r="J383" s="748"/>
    </row>
    <row r="384" spans="10:10" ht="12.75">
      <c r="J384" s="748"/>
    </row>
    <row r="385" spans="10:10" ht="12.75">
      <c r="J385" s="748"/>
    </row>
    <row r="386" spans="10:10" ht="12.75">
      <c r="J386" s="748"/>
    </row>
    <row r="387" spans="10:10" ht="12.75">
      <c r="J387" s="748"/>
    </row>
    <row r="388" spans="10:10" ht="12.75">
      <c r="J388" s="748"/>
    </row>
    <row r="389" spans="10:10" ht="12.75">
      <c r="J389" s="748"/>
    </row>
    <row r="390" spans="10:10" ht="12.75">
      <c r="J390" s="748"/>
    </row>
    <row r="391" spans="10:10" ht="12.75">
      <c r="J391" s="748"/>
    </row>
    <row r="392" spans="10:10" ht="12.75">
      <c r="J392" s="748"/>
    </row>
    <row r="393" spans="10:10" ht="12.75">
      <c r="J393" s="748"/>
    </row>
    <row r="394" spans="10:10" ht="12.75">
      <c r="J394" s="748"/>
    </row>
    <row r="395" spans="10:10" ht="12.75">
      <c r="J395" s="748"/>
    </row>
    <row r="396" spans="10:10" ht="12.75">
      <c r="J396" s="748"/>
    </row>
    <row r="397" spans="10:10" ht="12.75">
      <c r="J397" s="748"/>
    </row>
    <row r="398" spans="10:10" ht="12.75">
      <c r="J398" s="748"/>
    </row>
    <row r="399" spans="10:10" ht="12.75">
      <c r="J399" s="748"/>
    </row>
    <row r="400" spans="10:10" ht="12.75">
      <c r="J400" s="748"/>
    </row>
    <row r="401" spans="10:10" ht="12.75">
      <c r="J401" s="748"/>
    </row>
    <row r="402" spans="10:10" ht="12.75">
      <c r="J402" s="748"/>
    </row>
    <row r="403" spans="10:10" ht="12.75">
      <c r="J403" s="748"/>
    </row>
    <row r="404" spans="10:10" ht="12.75">
      <c r="J404" s="748"/>
    </row>
    <row r="405" spans="10:10" ht="12.75">
      <c r="J405" s="748"/>
    </row>
    <row r="406" spans="10:10" ht="12.75">
      <c r="J406" s="748"/>
    </row>
    <row r="407" spans="10:10" ht="12.75">
      <c r="J407" s="748"/>
    </row>
    <row r="408" spans="10:10" ht="12.75">
      <c r="J408" s="748"/>
    </row>
    <row r="409" spans="10:10" ht="12.75">
      <c r="J409" s="748"/>
    </row>
    <row r="410" spans="10:10" ht="12.75">
      <c r="J410" s="748"/>
    </row>
    <row r="411" spans="10:10" ht="12.75">
      <c r="J411" s="748"/>
    </row>
    <row r="412" spans="10:10" ht="12.75">
      <c r="J412" s="748"/>
    </row>
    <row r="413" spans="10:10" ht="12.75">
      <c r="J413" s="748"/>
    </row>
    <row r="414" spans="10:10" ht="12.75">
      <c r="J414" s="748"/>
    </row>
    <row r="415" spans="10:10" ht="12.75">
      <c r="J415" s="748"/>
    </row>
    <row r="416" spans="10:10" ht="12.75">
      <c r="J416" s="748"/>
    </row>
    <row r="417" spans="10:10" ht="12.75">
      <c r="J417" s="748"/>
    </row>
    <row r="418" spans="10:10" ht="12.75">
      <c r="J418" s="748"/>
    </row>
    <row r="419" spans="10:10" ht="12.75">
      <c r="J419" s="748"/>
    </row>
    <row r="420" spans="10:10" ht="12.75">
      <c r="J420" s="748"/>
    </row>
    <row r="421" spans="10:10" ht="12.75">
      <c r="J421" s="748"/>
    </row>
    <row r="422" spans="10:10" ht="12.75">
      <c r="J422" s="748"/>
    </row>
    <row r="423" spans="10:10" ht="12.75">
      <c r="J423" s="748"/>
    </row>
    <row r="424" spans="10:10" ht="12.75">
      <c r="J424" s="748"/>
    </row>
    <row r="425" spans="10:10" ht="12.75">
      <c r="J425" s="748"/>
    </row>
    <row r="426" spans="10:10" ht="12.75">
      <c r="J426" s="748"/>
    </row>
    <row r="427" spans="10:10" ht="12.75">
      <c r="J427" s="748"/>
    </row>
    <row r="428" spans="10:10" ht="12.75">
      <c r="J428" s="748"/>
    </row>
    <row r="429" spans="10:10" ht="12.75">
      <c r="J429" s="748"/>
    </row>
    <row r="430" spans="10:10" ht="12.75">
      <c r="J430" s="748"/>
    </row>
    <row r="431" spans="10:10" ht="12.75">
      <c r="J431" s="748"/>
    </row>
    <row r="432" spans="10:10" ht="12.75">
      <c r="J432" s="748"/>
    </row>
    <row r="433" spans="10:10" ht="12.75">
      <c r="J433" s="748"/>
    </row>
    <row r="434" spans="10:10" ht="12.75">
      <c r="J434" s="748"/>
    </row>
    <row r="435" spans="10:10" ht="12.75">
      <c r="J435" s="748"/>
    </row>
    <row r="436" spans="10:10" ht="12.75">
      <c r="J436" s="748"/>
    </row>
    <row r="437" spans="10:10" ht="12.75">
      <c r="J437" s="748"/>
    </row>
    <row r="438" spans="10:10" ht="12.75">
      <c r="J438" s="748"/>
    </row>
    <row r="439" spans="10:10" ht="12.75">
      <c r="J439" s="748"/>
    </row>
    <row r="440" spans="10:10" ht="12.75">
      <c r="J440" s="748"/>
    </row>
    <row r="441" spans="10:10" ht="12.75">
      <c r="J441" s="748"/>
    </row>
    <row r="442" spans="10:10" ht="12.75">
      <c r="J442" s="748"/>
    </row>
    <row r="443" spans="10:10" ht="12.75">
      <c r="J443" s="748"/>
    </row>
    <row r="444" spans="10:10" ht="12.75">
      <c r="J444" s="748"/>
    </row>
    <row r="445" spans="10:10" ht="12.75">
      <c r="J445" s="748"/>
    </row>
    <row r="446" spans="10:10" ht="12.75">
      <c r="J446" s="748"/>
    </row>
    <row r="447" spans="10:10" ht="12.75">
      <c r="J447" s="748"/>
    </row>
    <row r="448" spans="10:10" ht="12.75">
      <c r="J448" s="748"/>
    </row>
    <row r="449" spans="10:10" ht="12.75">
      <c r="J449" s="748"/>
    </row>
    <row r="450" spans="10:10" ht="12.75">
      <c r="J450" s="748"/>
    </row>
    <row r="451" spans="10:10" ht="12.75">
      <c r="J451" s="748"/>
    </row>
    <row r="452" spans="10:10" ht="12.75">
      <c r="J452" s="748"/>
    </row>
    <row r="453" spans="10:10" ht="12.75">
      <c r="J453" s="748"/>
    </row>
    <row r="454" spans="10:10" ht="12.75">
      <c r="J454" s="748"/>
    </row>
    <row r="455" spans="10:10" ht="12.75">
      <c r="J455" s="748"/>
    </row>
    <row r="456" spans="10:10" ht="12.75">
      <c r="J456" s="748"/>
    </row>
    <row r="457" spans="10:10" ht="12.75">
      <c r="J457" s="748"/>
    </row>
    <row r="458" spans="10:10" ht="12.75">
      <c r="J458" s="748"/>
    </row>
    <row r="459" spans="10:10" ht="12.75">
      <c r="J459" s="748"/>
    </row>
    <row r="460" spans="10:10" ht="12.75">
      <c r="J460" s="748"/>
    </row>
    <row r="461" spans="10:10" ht="12.75">
      <c r="J461" s="748"/>
    </row>
    <row r="462" spans="10:10" ht="12.75">
      <c r="J462" s="748"/>
    </row>
    <row r="463" spans="10:10" ht="12.75">
      <c r="J463" s="748"/>
    </row>
    <row r="464" spans="10:10" ht="12.75">
      <c r="J464" s="748"/>
    </row>
    <row r="465" spans="10:10" ht="12.75">
      <c r="J465" s="748"/>
    </row>
    <row r="466" spans="10:10" ht="12.75">
      <c r="J466" s="748"/>
    </row>
    <row r="467" spans="10:10" ht="12.75">
      <c r="J467" s="748"/>
    </row>
    <row r="468" spans="10:10" ht="12.75">
      <c r="J468" s="748"/>
    </row>
    <row r="469" spans="10:10" ht="12.75">
      <c r="J469" s="748"/>
    </row>
    <row r="470" spans="10:10" ht="12.75">
      <c r="J470" s="748"/>
    </row>
    <row r="471" spans="10:10" ht="12.75">
      <c r="J471" s="748"/>
    </row>
    <row r="472" spans="10:10" ht="12.75">
      <c r="J472" s="748"/>
    </row>
    <row r="473" spans="10:10" ht="12.75">
      <c r="J473" s="748"/>
    </row>
    <row r="474" spans="10:10" ht="12.75">
      <c r="J474" s="748"/>
    </row>
    <row r="475" spans="10:10" ht="12.75">
      <c r="J475" s="748"/>
    </row>
    <row r="476" spans="10:10" ht="12.75">
      <c r="J476" s="748"/>
    </row>
    <row r="477" spans="10:10" ht="12.75">
      <c r="J477" s="748"/>
    </row>
    <row r="478" spans="10:10" ht="12.75">
      <c r="J478" s="748"/>
    </row>
    <row r="479" spans="10:10" ht="12.75">
      <c r="J479" s="748"/>
    </row>
    <row r="480" spans="10:10" ht="12.75">
      <c r="J480" s="748"/>
    </row>
    <row r="481" spans="10:10" ht="12.75">
      <c r="J481" s="748"/>
    </row>
    <row r="482" spans="10:10" ht="12.75">
      <c r="J482" s="748"/>
    </row>
    <row r="483" spans="10:10" ht="12.75">
      <c r="J483" s="748"/>
    </row>
    <row r="484" spans="10:10" ht="12.75">
      <c r="J484" s="748"/>
    </row>
    <row r="485" spans="10:10" ht="12.75">
      <c r="J485" s="748"/>
    </row>
    <row r="486" spans="10:10" ht="12.75">
      <c r="J486" s="748"/>
    </row>
    <row r="487" spans="10:10" ht="12.75">
      <c r="J487" s="748"/>
    </row>
    <row r="488" spans="10:10" ht="12.75">
      <c r="J488" s="748"/>
    </row>
    <row r="489" spans="10:10" ht="12.75">
      <c r="J489" s="748"/>
    </row>
    <row r="490" spans="10:10" ht="12.75">
      <c r="J490" s="748"/>
    </row>
    <row r="491" spans="10:10" ht="12.75">
      <c r="J491" s="748"/>
    </row>
    <row r="492" spans="10:10" ht="12.75">
      <c r="J492" s="748"/>
    </row>
    <row r="493" spans="10:10" ht="12.75">
      <c r="J493" s="748"/>
    </row>
    <row r="494" spans="10:10" ht="12.75">
      <c r="J494" s="748"/>
    </row>
    <row r="495" spans="10:10" ht="12.75">
      <c r="J495" s="748"/>
    </row>
    <row r="496" spans="10:10" ht="12.75">
      <c r="J496" s="748"/>
    </row>
    <row r="497" spans="10:10" ht="12.75">
      <c r="J497" s="748"/>
    </row>
    <row r="498" spans="10:10" ht="12.75">
      <c r="J498" s="748"/>
    </row>
    <row r="499" spans="10:10" ht="12.75">
      <c r="J499" s="748"/>
    </row>
    <row r="500" spans="10:10" ht="12.75">
      <c r="J500" s="748"/>
    </row>
    <row r="501" spans="10:10" ht="12.75">
      <c r="J501" s="748"/>
    </row>
    <row r="502" spans="10:10" ht="12.75">
      <c r="J502" s="748"/>
    </row>
    <row r="503" spans="10:10" ht="12.75">
      <c r="J503" s="748"/>
    </row>
    <row r="504" spans="10:10" ht="12.75">
      <c r="J504" s="748"/>
    </row>
    <row r="505" spans="10:10" ht="12.75">
      <c r="J505" s="748"/>
    </row>
    <row r="506" spans="10:10" ht="12.75">
      <c r="J506" s="748"/>
    </row>
    <row r="507" spans="10:10" ht="12.75">
      <c r="J507" s="748"/>
    </row>
    <row r="508" spans="10:10" ht="12.75">
      <c r="J508" s="748"/>
    </row>
    <row r="509" spans="10:10" ht="12.75">
      <c r="J509" s="748"/>
    </row>
    <row r="510" spans="10:10" ht="12.75">
      <c r="J510" s="748"/>
    </row>
    <row r="511" spans="10:10" ht="12.75">
      <c r="J511" s="748"/>
    </row>
    <row r="512" spans="10:10" ht="12.75">
      <c r="J512" s="748"/>
    </row>
    <row r="513" spans="10:10" ht="12.75">
      <c r="J513" s="748"/>
    </row>
    <row r="514" spans="10:10" ht="12.75">
      <c r="J514" s="748"/>
    </row>
    <row r="515" spans="10:10" ht="12.75">
      <c r="J515" s="748"/>
    </row>
    <row r="516" spans="10:10" ht="12.75">
      <c r="J516" s="748"/>
    </row>
    <row r="517" spans="10:10" ht="12.75">
      <c r="J517" s="748"/>
    </row>
    <row r="518" spans="10:10" ht="12.75">
      <c r="J518" s="748"/>
    </row>
    <row r="519" spans="10:10" ht="12.75">
      <c r="J519" s="748"/>
    </row>
    <row r="520" spans="10:10" ht="12.75">
      <c r="J520" s="748"/>
    </row>
    <row r="521" spans="10:10" ht="12.75">
      <c r="J521" s="748"/>
    </row>
    <row r="522" spans="10:10" ht="12.75">
      <c r="J522" s="748"/>
    </row>
    <row r="523" spans="10:10" ht="12.75">
      <c r="J523" s="748"/>
    </row>
    <row r="524" spans="10:10" ht="12.75">
      <c r="J524" s="748"/>
    </row>
    <row r="525" spans="10:10" ht="12.75">
      <c r="J525" s="748"/>
    </row>
    <row r="526" spans="10:10" ht="12.75">
      <c r="J526" s="748"/>
    </row>
    <row r="527" spans="10:10" ht="12.75">
      <c r="J527" s="748"/>
    </row>
    <row r="528" spans="10:10" ht="12.75">
      <c r="J528" s="748"/>
    </row>
    <row r="529" spans="10:10" ht="12.75">
      <c r="J529" s="748"/>
    </row>
    <row r="530" spans="10:10" ht="12.75">
      <c r="J530" s="748"/>
    </row>
    <row r="531" spans="10:10" ht="12.75">
      <c r="J531" s="748"/>
    </row>
    <row r="532" spans="10:10" ht="12.75">
      <c r="J532" s="748"/>
    </row>
    <row r="533" spans="10:10" ht="12.75">
      <c r="J533" s="748"/>
    </row>
    <row r="534" spans="10:10" ht="12.75">
      <c r="J534" s="748"/>
    </row>
    <row r="535" spans="10:10" ht="12.75">
      <c r="J535" s="748"/>
    </row>
    <row r="536" spans="10:10" ht="12.75">
      <c r="J536" s="748"/>
    </row>
    <row r="537" spans="10:10" ht="12.75">
      <c r="J537" s="748"/>
    </row>
    <row r="538" spans="10:10" ht="12.75">
      <c r="J538" s="748"/>
    </row>
    <row r="539" spans="10:10" ht="12.75">
      <c r="J539" s="748"/>
    </row>
    <row r="540" spans="10:10" ht="12.75">
      <c r="J540" s="748"/>
    </row>
    <row r="541" spans="10:10" ht="12.75">
      <c r="J541" s="748"/>
    </row>
    <row r="542" spans="10:10" ht="12.75">
      <c r="J542" s="748"/>
    </row>
    <row r="543" spans="10:10" ht="12.75">
      <c r="J543" s="748"/>
    </row>
    <row r="544" spans="10:10" ht="12.75">
      <c r="J544" s="748"/>
    </row>
    <row r="545" spans="10:10" ht="12.75">
      <c r="J545" s="748"/>
    </row>
    <row r="546" spans="10:10" ht="12.75">
      <c r="J546" s="748"/>
    </row>
    <row r="547" spans="10:10" ht="12.75">
      <c r="J547" s="748"/>
    </row>
    <row r="548" spans="10:10" ht="12.75">
      <c r="J548" s="748"/>
    </row>
    <row r="549" spans="10:10" ht="12.75">
      <c r="J549" s="748"/>
    </row>
    <row r="550" spans="10:10" ht="12.75">
      <c r="J550" s="748"/>
    </row>
    <row r="551" spans="10:10" ht="12.75">
      <c r="J551" s="748"/>
    </row>
    <row r="552" spans="10:10" ht="12.75">
      <c r="J552" s="748"/>
    </row>
    <row r="553" spans="10:10" ht="12.75">
      <c r="J553" s="748"/>
    </row>
    <row r="554" spans="10:10" ht="12.75">
      <c r="J554" s="748"/>
    </row>
    <row r="555" spans="10:10" ht="12.75">
      <c r="J555" s="748"/>
    </row>
    <row r="556" spans="10:10" ht="12.75">
      <c r="J556" s="748"/>
    </row>
    <row r="557" spans="10:10" ht="12.75">
      <c r="J557" s="748"/>
    </row>
    <row r="558" spans="10:10" ht="12.75">
      <c r="J558" s="748"/>
    </row>
    <row r="559" spans="10:10" ht="12.75">
      <c r="J559" s="748"/>
    </row>
    <row r="560" spans="10:10" ht="12.75">
      <c r="J560" s="748"/>
    </row>
    <row r="561" spans="10:10" ht="12.75">
      <c r="J561" s="748"/>
    </row>
    <row r="562" spans="10:10" ht="12.75">
      <c r="J562" s="748"/>
    </row>
    <row r="563" spans="10:10" ht="12.75">
      <c r="J563" s="748"/>
    </row>
    <row r="564" spans="10:10" ht="12.75">
      <c r="J564" s="748"/>
    </row>
    <row r="565" spans="10:10" ht="12.75">
      <c r="J565" s="748"/>
    </row>
    <row r="566" spans="10:10" ht="12.75">
      <c r="J566" s="748"/>
    </row>
    <row r="567" spans="10:10" ht="12.75">
      <c r="J567" s="748"/>
    </row>
    <row r="568" spans="10:10" ht="12.75">
      <c r="J568" s="748"/>
    </row>
    <row r="569" spans="10:10" ht="12.75">
      <c r="J569" s="748"/>
    </row>
    <row r="570" spans="10:10" ht="12.75">
      <c r="J570" s="748"/>
    </row>
    <row r="571" spans="10:10" ht="12.75">
      <c r="J571" s="748"/>
    </row>
    <row r="572" spans="10:10" ht="12.75">
      <c r="J572" s="748"/>
    </row>
    <row r="573" spans="10:10" ht="12.75">
      <c r="J573" s="748"/>
    </row>
    <row r="574" spans="10:10" ht="12.75">
      <c r="J574" s="748"/>
    </row>
    <row r="575" spans="10:10" ht="12.75">
      <c r="J575" s="748"/>
    </row>
    <row r="576" spans="10:10" ht="12.75">
      <c r="J576" s="748"/>
    </row>
    <row r="577" spans="10:10" ht="12.75">
      <c r="J577" s="748"/>
    </row>
    <row r="578" spans="10:10" ht="12.75">
      <c r="J578" s="748"/>
    </row>
    <row r="579" spans="10:10" ht="12.75">
      <c r="J579" s="748"/>
    </row>
    <row r="580" spans="10:10" ht="12.75">
      <c r="J580" s="748"/>
    </row>
    <row r="581" spans="10:10" ht="12.75">
      <c r="J581" s="748"/>
    </row>
    <row r="582" spans="10:10" ht="12.75">
      <c r="J582" s="748"/>
    </row>
    <row r="583" spans="10:10" ht="12.75">
      <c r="J583" s="748"/>
    </row>
    <row r="584" spans="10:10" ht="12.75">
      <c r="J584" s="748"/>
    </row>
    <row r="585" spans="10:10" ht="12.75">
      <c r="J585" s="748"/>
    </row>
    <row r="586" spans="10:10" ht="12.75">
      <c r="J586" s="748"/>
    </row>
    <row r="587" spans="10:10" ht="12.75">
      <c r="J587" s="748"/>
    </row>
    <row r="588" spans="10:10" ht="12.75">
      <c r="J588" s="748"/>
    </row>
    <row r="589" spans="10:10" ht="12.75">
      <c r="J589" s="748"/>
    </row>
    <row r="590" spans="10:10" ht="12.75">
      <c r="J590" s="748"/>
    </row>
    <row r="591" spans="10:10" ht="12.75">
      <c r="J591" s="748"/>
    </row>
    <row r="592" spans="10:10" ht="12.75">
      <c r="J592" s="748"/>
    </row>
    <row r="593" spans="10:10" ht="12.75">
      <c r="J593" s="748"/>
    </row>
    <row r="594" spans="10:10" ht="12.75">
      <c r="J594" s="748"/>
    </row>
    <row r="595" spans="10:10" ht="12.75">
      <c r="J595" s="748"/>
    </row>
    <row r="596" spans="10:10" ht="12.75">
      <c r="J596" s="748"/>
    </row>
    <row r="597" spans="10:10" ht="12.75">
      <c r="J597" s="748"/>
    </row>
    <row r="598" spans="10:10" ht="12.75">
      <c r="J598" s="748"/>
    </row>
    <row r="599" spans="10:10" ht="12.75">
      <c r="J599" s="748"/>
    </row>
    <row r="600" spans="10:10" ht="12.75">
      <c r="J600" s="748"/>
    </row>
    <row r="601" spans="10:10" ht="12.75">
      <c r="J601" s="748"/>
    </row>
    <row r="602" spans="10:10" ht="12.75">
      <c r="J602" s="748"/>
    </row>
    <row r="603" spans="10:10" ht="12.75">
      <c r="J603" s="748"/>
    </row>
    <row r="604" spans="10:10" ht="12.75">
      <c r="J604" s="748"/>
    </row>
    <row r="605" spans="10:10" ht="12.75">
      <c r="J605" s="748"/>
    </row>
    <row r="606" spans="10:10" ht="12.75">
      <c r="J606" s="748"/>
    </row>
    <row r="607" spans="10:10" ht="12.75">
      <c r="J607" s="748"/>
    </row>
    <row r="608" spans="10:10" ht="12.75">
      <c r="J608" s="748"/>
    </row>
    <row r="609" spans="10:10" ht="12.75">
      <c r="J609" s="748"/>
    </row>
    <row r="610" spans="10:10" ht="12.75">
      <c r="J610" s="748"/>
    </row>
    <row r="611" spans="10:10" ht="12.75">
      <c r="J611" s="748"/>
    </row>
    <row r="612" spans="10:10" ht="12.75">
      <c r="J612" s="748"/>
    </row>
    <row r="613" spans="10:10" ht="12.75">
      <c r="J613" s="748"/>
    </row>
    <row r="614" spans="10:10" ht="12.75">
      <c r="J614" s="748"/>
    </row>
    <row r="615" spans="10:10" ht="12.75">
      <c r="J615" s="748"/>
    </row>
    <row r="616" spans="10:10" ht="12.75">
      <c r="J616" s="748"/>
    </row>
    <row r="617" spans="10:10" ht="12.75">
      <c r="J617" s="748"/>
    </row>
    <row r="618" spans="10:10" ht="12.75">
      <c r="J618" s="748"/>
    </row>
    <row r="619" spans="10:10" ht="12.75">
      <c r="J619" s="748"/>
    </row>
    <row r="620" spans="10:10" ht="12.75">
      <c r="J620" s="748"/>
    </row>
    <row r="621" spans="10:10" ht="12.75">
      <c r="J621" s="748"/>
    </row>
    <row r="622" spans="10:10" ht="12.75">
      <c r="J622" s="748"/>
    </row>
    <row r="623" spans="10:10" ht="12.75">
      <c r="J623" s="748"/>
    </row>
    <row r="624" spans="10:10" ht="12.75">
      <c r="J624" s="748"/>
    </row>
    <row r="625" spans="10:10" ht="12.75">
      <c r="J625" s="748"/>
    </row>
    <row r="626" spans="10:10" ht="12.75">
      <c r="J626" s="748"/>
    </row>
    <row r="627" spans="10:10" ht="12.75">
      <c r="J627" s="748"/>
    </row>
    <row r="628" spans="10:10" ht="12.75">
      <c r="J628" s="748"/>
    </row>
    <row r="629" spans="10:10" ht="12.75">
      <c r="J629" s="748"/>
    </row>
    <row r="630" spans="10:10" ht="12.75">
      <c r="J630" s="748"/>
    </row>
    <row r="631" spans="10:10" ht="12.75">
      <c r="J631" s="748"/>
    </row>
    <row r="632" spans="10:10" ht="12.75">
      <c r="J632" s="748"/>
    </row>
    <row r="633" spans="10:10" ht="12.75">
      <c r="J633" s="748"/>
    </row>
    <row r="634" spans="10:10" ht="12.75">
      <c r="J634" s="748"/>
    </row>
    <row r="635" spans="10:10" ht="12.75">
      <c r="J635" s="748"/>
    </row>
    <row r="636" spans="10:10" ht="12.75">
      <c r="J636" s="748"/>
    </row>
    <row r="637" spans="10:10" ht="12.75">
      <c r="J637" s="748"/>
    </row>
    <row r="638" spans="10:10" ht="12.75">
      <c r="J638" s="748"/>
    </row>
    <row r="639" spans="10:10" ht="12.75">
      <c r="J639" s="748"/>
    </row>
    <row r="640" spans="10:10" ht="12.75">
      <c r="J640" s="748"/>
    </row>
    <row r="641" spans="10:10" ht="12.75">
      <c r="J641" s="748"/>
    </row>
    <row r="642" spans="10:10" ht="12.75">
      <c r="J642" s="748"/>
    </row>
    <row r="643" spans="10:10" ht="12.75">
      <c r="J643" s="748"/>
    </row>
    <row r="644" spans="10:10" ht="12.75">
      <c r="J644" s="748"/>
    </row>
    <row r="645" spans="10:10" ht="12.75">
      <c r="J645" s="748"/>
    </row>
    <row r="646" spans="10:10" ht="12.75">
      <c r="J646" s="748"/>
    </row>
    <row r="647" spans="10:10" ht="12.75">
      <c r="J647" s="748"/>
    </row>
    <row r="648" spans="10:10" ht="12.75">
      <c r="J648" s="748"/>
    </row>
    <row r="649" spans="10:10" ht="12.75">
      <c r="J649" s="748"/>
    </row>
    <row r="650" spans="10:10" ht="12.75">
      <c r="J650" s="748"/>
    </row>
    <row r="651" spans="10:10" ht="12.75">
      <c r="J651" s="748"/>
    </row>
    <row r="652" spans="10:10" ht="12.75">
      <c r="J652" s="748"/>
    </row>
    <row r="653" spans="10:10" ht="12.75">
      <c r="J653" s="748"/>
    </row>
    <row r="654" spans="10:10" ht="12.75">
      <c r="J654" s="748"/>
    </row>
    <row r="655" spans="10:10" ht="12.75">
      <c r="J655" s="748"/>
    </row>
    <row r="656" spans="10:10" ht="12.75">
      <c r="J656" s="748"/>
    </row>
    <row r="657" spans="10:10" ht="12.75">
      <c r="J657" s="748"/>
    </row>
    <row r="658" spans="10:10" ht="12.75">
      <c r="J658" s="748"/>
    </row>
    <row r="659" spans="10:10" ht="12.75">
      <c r="J659" s="748"/>
    </row>
    <row r="660" spans="10:10" ht="12.75">
      <c r="J660" s="748"/>
    </row>
    <row r="661" spans="10:10" ht="12.75">
      <c r="J661" s="748"/>
    </row>
    <row r="662" spans="10:10" ht="12.75">
      <c r="J662" s="748"/>
    </row>
    <row r="663" spans="10:10" ht="12.75">
      <c r="J663" s="748"/>
    </row>
    <row r="664" spans="10:10" ht="12.75">
      <c r="J664" s="748"/>
    </row>
    <row r="665" spans="10:10" ht="12.75">
      <c r="J665" s="748"/>
    </row>
    <row r="666" spans="10:10" ht="12.75">
      <c r="J666" s="748"/>
    </row>
    <row r="667" spans="10:10" ht="12.75">
      <c r="J667" s="748"/>
    </row>
    <row r="668" spans="10:10" ht="12.75">
      <c r="J668" s="748"/>
    </row>
    <row r="669" spans="10:10" ht="12.75">
      <c r="J669" s="748"/>
    </row>
    <row r="670" spans="10:10" ht="12.75">
      <c r="J670" s="748"/>
    </row>
    <row r="671" spans="10:10" ht="12.75">
      <c r="J671" s="748"/>
    </row>
    <row r="672" spans="10:10" ht="12.75">
      <c r="J672" s="748"/>
    </row>
    <row r="673" spans="10:10" ht="12.75">
      <c r="J673" s="748"/>
    </row>
    <row r="674" spans="10:10" ht="12.75">
      <c r="J674" s="748"/>
    </row>
    <row r="675" spans="10:10" ht="12.75">
      <c r="J675" s="748"/>
    </row>
    <row r="676" spans="10:10" ht="12.75">
      <c r="J676" s="748"/>
    </row>
    <row r="677" spans="10:10" ht="12.75">
      <c r="J677" s="748"/>
    </row>
    <row r="678" spans="10:10" ht="12.75">
      <c r="J678" s="748"/>
    </row>
    <row r="679" spans="10:10" ht="12.75">
      <c r="J679" s="748"/>
    </row>
    <row r="680" spans="10:10" ht="12.75">
      <c r="J680" s="748"/>
    </row>
    <row r="681" spans="10:10" ht="12.75">
      <c r="J681" s="748"/>
    </row>
    <row r="682" spans="10:10" ht="12.75">
      <c r="J682" s="748"/>
    </row>
    <row r="683" spans="10:10" ht="12.75">
      <c r="J683" s="748"/>
    </row>
    <row r="684" spans="10:10" ht="12.75">
      <c r="J684" s="748"/>
    </row>
    <row r="685" spans="10:10" ht="12.75">
      <c r="J685" s="748"/>
    </row>
    <row r="686" spans="10:10" ht="12.75">
      <c r="J686" s="748"/>
    </row>
    <row r="687" spans="10:10" ht="12.75">
      <c r="J687" s="748"/>
    </row>
    <row r="688" spans="10:10" ht="12.75">
      <c r="J688" s="748"/>
    </row>
    <row r="689" spans="10:10" ht="12.75">
      <c r="J689" s="748"/>
    </row>
    <row r="690" spans="10:10" ht="12.75">
      <c r="J690" s="748"/>
    </row>
    <row r="691" spans="10:10" ht="12.75">
      <c r="J691" s="748"/>
    </row>
    <row r="692" spans="10:10" ht="12.75">
      <c r="J692" s="748"/>
    </row>
    <row r="693" spans="10:10" ht="12.75">
      <c r="J693" s="748"/>
    </row>
    <row r="694" spans="10:10" ht="12.75">
      <c r="J694" s="748"/>
    </row>
    <row r="695" spans="10:10" ht="12.75">
      <c r="J695" s="748"/>
    </row>
    <row r="696" spans="10:10" ht="12.75">
      <c r="J696" s="748"/>
    </row>
    <row r="697" spans="10:10" ht="12.75">
      <c r="J697" s="748"/>
    </row>
    <row r="698" spans="10:10" ht="12.75">
      <c r="J698" s="748"/>
    </row>
    <row r="699" spans="10:10" ht="12.75">
      <c r="J699" s="748"/>
    </row>
    <row r="700" spans="10:10" ht="12.75">
      <c r="J700" s="748"/>
    </row>
    <row r="701" spans="10:10" ht="12.75">
      <c r="J701" s="748"/>
    </row>
    <row r="702" spans="10:10" ht="12.75">
      <c r="J702" s="748"/>
    </row>
    <row r="703" spans="10:10" ht="12.75">
      <c r="J703" s="748"/>
    </row>
    <row r="704" spans="10:10" ht="12.75">
      <c r="J704" s="748"/>
    </row>
    <row r="705" spans="10:10" ht="12.75">
      <c r="J705" s="748"/>
    </row>
    <row r="706" spans="10:10" ht="12.75">
      <c r="J706" s="748"/>
    </row>
    <row r="707" spans="10:10" ht="12.75">
      <c r="J707" s="748"/>
    </row>
    <row r="708" spans="10:10" ht="12.75">
      <c r="J708" s="748"/>
    </row>
    <row r="709" spans="10:10" ht="12.75">
      <c r="J709" s="748"/>
    </row>
    <row r="710" spans="10:10" ht="12.75">
      <c r="J710" s="748"/>
    </row>
    <row r="711" spans="10:10" ht="12.75">
      <c r="J711" s="748"/>
    </row>
    <row r="712" spans="10:10" ht="12.75">
      <c r="J712" s="748"/>
    </row>
    <row r="713" spans="10:10" ht="12.75">
      <c r="J713" s="748"/>
    </row>
    <row r="714" spans="10:10" ht="12.75">
      <c r="J714" s="748"/>
    </row>
    <row r="715" spans="10:10" ht="12.75">
      <c r="J715" s="748"/>
    </row>
    <row r="716" spans="10:10" ht="12.75">
      <c r="J716" s="748"/>
    </row>
    <row r="717" spans="10:10" ht="12.75">
      <c r="J717" s="748"/>
    </row>
    <row r="718" spans="10:10" ht="12.75">
      <c r="J718" s="748"/>
    </row>
    <row r="719" spans="10:10" ht="12.75">
      <c r="J719" s="748"/>
    </row>
    <row r="720" spans="10:10" ht="12.75">
      <c r="J720" s="748"/>
    </row>
    <row r="721" spans="10:10" ht="12.75">
      <c r="J721" s="748"/>
    </row>
    <row r="722" spans="10:10" ht="12.75">
      <c r="J722" s="748"/>
    </row>
    <row r="723" spans="10:10" ht="12.75">
      <c r="J723" s="748"/>
    </row>
    <row r="724" spans="10:10" ht="12.75">
      <c r="J724" s="748"/>
    </row>
    <row r="725" spans="10:10" ht="12.75">
      <c r="J725" s="748"/>
    </row>
    <row r="726" spans="10:10" ht="12.75">
      <c r="J726" s="748"/>
    </row>
    <row r="727" spans="10:10" ht="12.75">
      <c r="J727" s="748"/>
    </row>
    <row r="728" spans="10:10" ht="12.75">
      <c r="J728" s="748"/>
    </row>
    <row r="729" spans="10:10" ht="12.75">
      <c r="J729" s="748"/>
    </row>
    <row r="730" spans="10:10" ht="12.75">
      <c r="J730" s="748"/>
    </row>
    <row r="731" spans="10:10" ht="12.75">
      <c r="J731" s="748"/>
    </row>
    <row r="732" spans="10:10" ht="12.75">
      <c r="J732" s="748"/>
    </row>
    <row r="733" spans="10:10" ht="12.75">
      <c r="J733" s="748"/>
    </row>
    <row r="734" spans="10:10" ht="12.75">
      <c r="J734" s="748"/>
    </row>
    <row r="735" spans="10:10" ht="12.75">
      <c r="J735" s="748"/>
    </row>
    <row r="736" spans="10:10" ht="12.75">
      <c r="J736" s="748"/>
    </row>
    <row r="737" spans="10:10" ht="12.75">
      <c r="J737" s="748"/>
    </row>
    <row r="738" spans="10:10" ht="12.75">
      <c r="J738" s="748"/>
    </row>
    <row r="739" spans="10:10" ht="12.75">
      <c r="J739" s="748"/>
    </row>
    <row r="740" spans="10:10" ht="12.75">
      <c r="J740" s="748"/>
    </row>
    <row r="741" spans="10:10" ht="12.75">
      <c r="J741" s="748"/>
    </row>
    <row r="742" spans="10:10" ht="12.75">
      <c r="J742" s="748"/>
    </row>
    <row r="743" spans="10:10" ht="12.75">
      <c r="J743" s="748"/>
    </row>
    <row r="744" spans="10:10" ht="12.75">
      <c r="J744" s="748"/>
    </row>
    <row r="745" spans="10:10" ht="12.75">
      <c r="J745" s="748"/>
    </row>
    <row r="746" spans="10:10" ht="12.75">
      <c r="J746" s="748"/>
    </row>
    <row r="747" spans="10:10" ht="12.75">
      <c r="J747" s="748"/>
    </row>
    <row r="748" spans="10:10" ht="12.75">
      <c r="J748" s="748"/>
    </row>
    <row r="749" spans="10:10" ht="12.75">
      <c r="J749" s="748"/>
    </row>
    <row r="750" spans="10:10" ht="12.75">
      <c r="J750" s="748"/>
    </row>
    <row r="751" spans="10:10" ht="12.75">
      <c r="J751" s="748"/>
    </row>
    <row r="752" spans="10:10" ht="12.75">
      <c r="J752" s="748"/>
    </row>
    <row r="753" spans="10:10" ht="12.75">
      <c r="J753" s="748"/>
    </row>
    <row r="754" spans="10:10" ht="12.75">
      <c r="J754" s="748"/>
    </row>
    <row r="755" spans="10:10" ht="12.75">
      <c r="J755" s="748"/>
    </row>
    <row r="756" spans="10:10" ht="12.75">
      <c r="J756" s="748"/>
    </row>
    <row r="757" spans="10:10" ht="12.75">
      <c r="J757" s="748"/>
    </row>
    <row r="758" spans="10:10" ht="12.75">
      <c r="J758" s="748"/>
    </row>
    <row r="759" spans="10:10" ht="12.75">
      <c r="J759" s="748"/>
    </row>
    <row r="760" spans="10:10" ht="12.75">
      <c r="J760" s="748"/>
    </row>
    <row r="761" spans="10:10" ht="12.75">
      <c r="J761" s="748"/>
    </row>
    <row r="762" spans="10:10" ht="12.75">
      <c r="J762" s="748"/>
    </row>
    <row r="763" spans="10:10" ht="12.75">
      <c r="J763" s="748"/>
    </row>
    <row r="764" spans="10:10" ht="12.75">
      <c r="J764" s="748"/>
    </row>
    <row r="765" spans="10:10" ht="12.75">
      <c r="J765" s="748"/>
    </row>
    <row r="766" spans="10:10" ht="12.75">
      <c r="J766" s="748"/>
    </row>
    <row r="767" spans="10:10" ht="12.75">
      <c r="J767" s="748"/>
    </row>
    <row r="768" spans="10:10" ht="12.75">
      <c r="J768" s="748"/>
    </row>
    <row r="769" spans="10:10" ht="12.75">
      <c r="J769" s="748"/>
    </row>
    <row r="770" spans="10:10" ht="12.75">
      <c r="J770" s="748"/>
    </row>
    <row r="771" spans="10:10" ht="12.75">
      <c r="J771" s="748"/>
    </row>
    <row r="772" spans="10:10" ht="12.75">
      <c r="J772" s="748"/>
    </row>
    <row r="773" spans="10:10" ht="12.75">
      <c r="J773" s="748"/>
    </row>
    <row r="774" spans="10:10" ht="12.75">
      <c r="J774" s="748"/>
    </row>
    <row r="775" spans="10:10" ht="12.75">
      <c r="J775" s="748"/>
    </row>
    <row r="776" spans="10:10" ht="12.75">
      <c r="J776" s="748"/>
    </row>
    <row r="777" spans="10:10" ht="12.75">
      <c r="J777" s="748"/>
    </row>
    <row r="778" spans="10:10" ht="12.75">
      <c r="J778" s="748"/>
    </row>
    <row r="779" spans="10:10" ht="12.75">
      <c r="J779" s="748"/>
    </row>
    <row r="780" spans="10:10" ht="12.75">
      <c r="J780" s="748"/>
    </row>
    <row r="781" spans="10:10" ht="12.75">
      <c r="J781" s="748"/>
    </row>
    <row r="782" spans="10:10" ht="12.75">
      <c r="J782" s="748"/>
    </row>
    <row r="783" spans="10:10" ht="12.75">
      <c r="J783" s="748"/>
    </row>
    <row r="784" spans="10:10" ht="12.75">
      <c r="J784" s="748"/>
    </row>
    <row r="785" spans="10:10" ht="12.75">
      <c r="J785" s="748"/>
    </row>
    <row r="786" spans="10:10" ht="12.75">
      <c r="J786" s="748"/>
    </row>
    <row r="787" spans="10:10" ht="12.75">
      <c r="J787" s="748"/>
    </row>
    <row r="788" spans="10:10" ht="12.75">
      <c r="J788" s="748"/>
    </row>
    <row r="789" spans="10:10" ht="12.75">
      <c r="J789" s="748"/>
    </row>
    <row r="790" spans="10:10" ht="12.75">
      <c r="J790" s="748"/>
    </row>
    <row r="791" spans="10:10" ht="12.75">
      <c r="J791" s="748"/>
    </row>
    <row r="792" spans="10:10" ht="12.75">
      <c r="J792" s="748"/>
    </row>
    <row r="793" spans="10:10" ht="12.75">
      <c r="J793" s="748"/>
    </row>
    <row r="794" spans="10:10" ht="12.75">
      <c r="J794" s="748"/>
    </row>
    <row r="795" spans="10:10" ht="12.75">
      <c r="J795" s="748"/>
    </row>
    <row r="796" spans="10:10" ht="12.75">
      <c r="J796" s="748"/>
    </row>
    <row r="797" spans="10:10" ht="12.75">
      <c r="J797" s="748"/>
    </row>
    <row r="798" spans="10:10" ht="12.75">
      <c r="J798" s="748"/>
    </row>
    <row r="799" spans="10:10" ht="12.75">
      <c r="J799" s="748"/>
    </row>
    <row r="800" spans="10:10" ht="12.75">
      <c r="J800" s="748"/>
    </row>
    <row r="801" spans="10:10" ht="12.75">
      <c r="J801" s="748"/>
    </row>
    <row r="802" spans="10:10" ht="12.75">
      <c r="J802" s="748"/>
    </row>
    <row r="803" spans="10:10" ht="12.75">
      <c r="J803" s="748"/>
    </row>
    <row r="804" spans="10:10" ht="12.75">
      <c r="J804" s="748"/>
    </row>
    <row r="805" spans="10:10" ht="12.75">
      <c r="J805" s="748"/>
    </row>
    <row r="806" spans="10:10" ht="12.75">
      <c r="J806" s="748"/>
    </row>
    <row r="807" spans="10:10" ht="12.75">
      <c r="J807" s="748"/>
    </row>
    <row r="808" spans="10:10" ht="12.75">
      <c r="J808" s="748"/>
    </row>
    <row r="809" spans="10:10" ht="12.75">
      <c r="J809" s="748"/>
    </row>
    <row r="810" spans="10:10" ht="12.75">
      <c r="J810" s="748"/>
    </row>
    <row r="811" spans="10:10" ht="12.75">
      <c r="J811" s="748"/>
    </row>
    <row r="812" spans="10:10" ht="12.75">
      <c r="J812" s="748"/>
    </row>
    <row r="813" spans="10:10" ht="12.75">
      <c r="J813" s="748"/>
    </row>
    <row r="814" spans="10:10" ht="12.75">
      <c r="J814" s="748"/>
    </row>
    <row r="815" spans="10:10" ht="12.75">
      <c r="J815" s="748"/>
    </row>
    <row r="816" spans="10:10" ht="12.75">
      <c r="J816" s="748"/>
    </row>
    <row r="817" spans="10:10" ht="12.75">
      <c r="J817" s="748"/>
    </row>
    <row r="818" spans="10:10" ht="12.75">
      <c r="J818" s="748"/>
    </row>
    <row r="819" spans="10:10" ht="12.75">
      <c r="J819" s="748"/>
    </row>
    <row r="820" spans="10:10" ht="12.75">
      <c r="J820" s="748"/>
    </row>
    <row r="821" spans="10:10" ht="12.75">
      <c r="J821" s="748"/>
    </row>
    <row r="822" spans="10:10" ht="12.75">
      <c r="J822" s="748"/>
    </row>
    <row r="823" spans="10:10" ht="12.75">
      <c r="J823" s="748"/>
    </row>
    <row r="824" spans="10:10" ht="12.75">
      <c r="J824" s="748"/>
    </row>
    <row r="825" spans="10:10" ht="12.75">
      <c r="J825" s="748"/>
    </row>
    <row r="826" spans="10:10" ht="12.75">
      <c r="J826" s="748"/>
    </row>
    <row r="827" spans="10:10" ht="12.75">
      <c r="J827" s="748"/>
    </row>
    <row r="828" spans="10:10" ht="12.75">
      <c r="J828" s="748"/>
    </row>
    <row r="829" spans="10:10" ht="12.75">
      <c r="J829" s="748"/>
    </row>
    <row r="830" spans="10:10" ht="12.75">
      <c r="J830" s="748"/>
    </row>
    <row r="831" spans="10:10" ht="12.75">
      <c r="J831" s="748"/>
    </row>
    <row r="832" spans="10:10" ht="12.75">
      <c r="J832" s="748"/>
    </row>
    <row r="833" spans="10:10" ht="12.75">
      <c r="J833" s="748"/>
    </row>
    <row r="834" spans="10:10" ht="12.75">
      <c r="J834" s="748"/>
    </row>
    <row r="835" spans="10:10" ht="12.75">
      <c r="J835" s="748"/>
    </row>
    <row r="836" spans="10:10" ht="12.75">
      <c r="J836" s="748"/>
    </row>
    <row r="837" spans="10:10" ht="12.75">
      <c r="J837" s="748"/>
    </row>
    <row r="838" spans="10:10" ht="12.75">
      <c r="J838" s="748"/>
    </row>
    <row r="839" spans="10:10" ht="12.75">
      <c r="J839" s="748"/>
    </row>
    <row r="840" spans="10:10" ht="12.75">
      <c r="J840" s="748"/>
    </row>
    <row r="841" spans="10:10" ht="12.75">
      <c r="J841" s="748"/>
    </row>
    <row r="842" spans="10:10" ht="12.75">
      <c r="J842" s="748"/>
    </row>
    <row r="843" spans="10:10" ht="12.75">
      <c r="J843" s="748"/>
    </row>
    <row r="844" spans="10:10" ht="12.75">
      <c r="J844" s="748"/>
    </row>
    <row r="845" spans="10:10" ht="12.75">
      <c r="J845" s="748"/>
    </row>
    <row r="846" spans="10:10" ht="12.75">
      <c r="J846" s="748"/>
    </row>
    <row r="847" spans="10:10" ht="12.75">
      <c r="J847" s="748"/>
    </row>
    <row r="848" spans="10:10" ht="12.75">
      <c r="J848" s="748"/>
    </row>
    <row r="849" spans="10:10" ht="12.75">
      <c r="J849" s="748"/>
    </row>
    <row r="850" spans="10:10" ht="12.75">
      <c r="J850" s="748"/>
    </row>
    <row r="851" spans="10:10" ht="12.75">
      <c r="J851" s="748"/>
    </row>
    <row r="852" spans="10:10" ht="12.75">
      <c r="J852" s="748"/>
    </row>
    <row r="853" spans="10:10" ht="12.75">
      <c r="J853" s="748"/>
    </row>
    <row r="854" spans="10:10" ht="12.75">
      <c r="J854" s="748"/>
    </row>
    <row r="855" spans="10:10" ht="12.75">
      <c r="J855" s="748"/>
    </row>
    <row r="856" spans="10:10" ht="12.75">
      <c r="J856" s="748"/>
    </row>
    <row r="857" spans="10:10" ht="12.75">
      <c r="J857" s="748"/>
    </row>
    <row r="858" spans="10:10" ht="12.75">
      <c r="J858" s="748"/>
    </row>
    <row r="859" spans="10:10" ht="12.75">
      <c r="J859" s="748"/>
    </row>
    <row r="860" spans="10:10" ht="12.75">
      <c r="J860" s="748"/>
    </row>
    <row r="861" spans="10:10" ht="12.75">
      <c r="J861" s="748"/>
    </row>
    <row r="862" spans="10:10" ht="12.75">
      <c r="J862" s="748"/>
    </row>
    <row r="863" spans="10:10" ht="12.75">
      <c r="J863" s="748"/>
    </row>
    <row r="864" spans="10:10" ht="12.75">
      <c r="J864" s="748"/>
    </row>
    <row r="865" spans="10:10" ht="12.75">
      <c r="J865" s="748"/>
    </row>
    <row r="866" spans="10:10" ht="12.75">
      <c r="J866" s="748"/>
    </row>
    <row r="867" spans="10:10" ht="12.75">
      <c r="J867" s="748"/>
    </row>
    <row r="868" spans="10:10" ht="12.75">
      <c r="J868" s="748"/>
    </row>
    <row r="869" spans="10:10" ht="12.75">
      <c r="J869" s="748"/>
    </row>
    <row r="870" spans="10:10" ht="12.75">
      <c r="J870" s="748"/>
    </row>
    <row r="871" spans="10:10" ht="12.75">
      <c r="J871" s="748"/>
    </row>
    <row r="872" spans="10:10" ht="12.75">
      <c r="J872" s="748"/>
    </row>
    <row r="873" spans="10:10" ht="12.75">
      <c r="J873" s="748"/>
    </row>
    <row r="874" spans="10:10" ht="12.75">
      <c r="J874" s="748"/>
    </row>
    <row r="875" spans="10:10" ht="12.75">
      <c r="J875" s="748"/>
    </row>
    <row r="876" spans="10:10" ht="12.75">
      <c r="J876" s="748"/>
    </row>
    <row r="877" spans="10:10" ht="12.75">
      <c r="J877" s="748"/>
    </row>
    <row r="878" spans="10:10" ht="12.75">
      <c r="J878" s="748"/>
    </row>
    <row r="879" spans="10:10" ht="12.75">
      <c r="J879" s="748"/>
    </row>
    <row r="880" spans="10:10" ht="12.75">
      <c r="J880" s="748"/>
    </row>
    <row r="881" spans="10:10" ht="12.75">
      <c r="J881" s="748"/>
    </row>
    <row r="882" spans="10:10" ht="12.75">
      <c r="J882" s="748"/>
    </row>
    <row r="883" spans="10:10" ht="12.75">
      <c r="J883" s="748"/>
    </row>
    <row r="884" spans="10:10" ht="12.75">
      <c r="J884" s="748"/>
    </row>
    <row r="885" spans="10:10" ht="12.75">
      <c r="J885" s="748"/>
    </row>
    <row r="886" spans="10:10" ht="12.75">
      <c r="J886" s="748"/>
    </row>
    <row r="887" spans="10:10" ht="12.75">
      <c r="J887" s="748"/>
    </row>
    <row r="888" spans="10:10" ht="12.75">
      <c r="J888" s="748"/>
    </row>
    <row r="889" spans="10:10" ht="12.75">
      <c r="J889" s="748"/>
    </row>
    <row r="890" spans="10:10" ht="12.75">
      <c r="J890" s="748"/>
    </row>
    <row r="891" spans="10:10" ht="12.75">
      <c r="J891" s="748"/>
    </row>
    <row r="892" spans="10:10" ht="12.75">
      <c r="J892" s="748"/>
    </row>
    <row r="893" spans="10:10" ht="12.75">
      <c r="J893" s="748"/>
    </row>
    <row r="894" spans="10:10" ht="12.75">
      <c r="J894" s="748"/>
    </row>
    <row r="895" spans="10:10" ht="12.75">
      <c r="J895" s="748"/>
    </row>
    <row r="896" spans="10:10" ht="12.75">
      <c r="J896" s="748"/>
    </row>
    <row r="897" spans="10:10" ht="12.75">
      <c r="J897" s="748"/>
    </row>
    <row r="898" spans="10:10" ht="12.75">
      <c r="J898" s="748"/>
    </row>
    <row r="899" spans="10:10" ht="12.75">
      <c r="J899" s="748"/>
    </row>
    <row r="900" spans="10:10" ht="12.75">
      <c r="J900" s="748"/>
    </row>
    <row r="901" spans="10:10" ht="12.75">
      <c r="J901" s="748"/>
    </row>
    <row r="902" spans="10:10" ht="12.75">
      <c r="J902" s="748"/>
    </row>
    <row r="903" spans="10:10" ht="12.75">
      <c r="J903" s="748"/>
    </row>
    <row r="904" spans="10:10" ht="12.75">
      <c r="J904" s="748"/>
    </row>
    <row r="905" spans="10:10" ht="12.75">
      <c r="J905" s="748"/>
    </row>
    <row r="906" spans="10:10" ht="12.75">
      <c r="J906" s="748"/>
    </row>
    <row r="907" spans="10:10" ht="12.75">
      <c r="J907" s="748"/>
    </row>
    <row r="908" spans="10:10" ht="12.75">
      <c r="J908" s="748"/>
    </row>
    <row r="909" spans="10:10" ht="12.75">
      <c r="J909" s="748"/>
    </row>
    <row r="910" spans="10:10" ht="12.75">
      <c r="J910" s="748"/>
    </row>
    <row r="911" spans="10:10" ht="12.75">
      <c r="J911" s="748"/>
    </row>
    <row r="912" spans="10:10" ht="12.75">
      <c r="J912" s="748"/>
    </row>
    <row r="913" spans="10:10" ht="12.75">
      <c r="J913" s="748"/>
    </row>
    <row r="914" spans="10:10" ht="12.75">
      <c r="J914" s="748"/>
    </row>
    <row r="915" spans="10:10" ht="12.75">
      <c r="J915" s="748"/>
    </row>
    <row r="916" spans="10:10" ht="12.75">
      <c r="J916" s="748"/>
    </row>
    <row r="917" spans="10:10" ht="12.75">
      <c r="J917" s="748"/>
    </row>
    <row r="918" spans="10:10" ht="12.75">
      <c r="J918" s="748"/>
    </row>
    <row r="919" spans="10:10" ht="12.75">
      <c r="J919" s="748"/>
    </row>
    <row r="920" spans="10:10" ht="12.75">
      <c r="J920" s="748"/>
    </row>
    <row r="921" spans="10:10" ht="12.75">
      <c r="J921" s="748"/>
    </row>
    <row r="922" spans="10:10" ht="12.75">
      <c r="J922" s="748"/>
    </row>
    <row r="923" spans="10:10" ht="12.75">
      <c r="J923" s="748"/>
    </row>
    <row r="924" spans="10:10" ht="12.75">
      <c r="J924" s="748"/>
    </row>
    <row r="925" spans="10:10" ht="12.75">
      <c r="J925" s="748"/>
    </row>
    <row r="926" spans="10:10" ht="12.75">
      <c r="J926" s="748"/>
    </row>
    <row r="927" spans="10:10" ht="12.75">
      <c r="J927" s="748"/>
    </row>
    <row r="928" spans="10:10" ht="12.75">
      <c r="J928" s="748"/>
    </row>
    <row r="929" spans="10:10" ht="12.75">
      <c r="J929" s="748"/>
    </row>
    <row r="930" spans="10:10" ht="12.75">
      <c r="J930" s="748"/>
    </row>
    <row r="931" spans="10:10" ht="12.75">
      <c r="J931" s="748"/>
    </row>
    <row r="932" spans="10:10" ht="12.75">
      <c r="J932" s="748"/>
    </row>
    <row r="933" spans="10:10" ht="12.75">
      <c r="J933" s="748"/>
    </row>
    <row r="934" spans="10:10" ht="12.75">
      <c r="J934" s="748"/>
    </row>
    <row r="935" spans="10:10" ht="12.75">
      <c r="J935" s="748"/>
    </row>
    <row r="936" spans="10:10" ht="12.75">
      <c r="J936" s="748"/>
    </row>
    <row r="937" spans="10:10" ht="12.75">
      <c r="J937" s="748"/>
    </row>
    <row r="938" spans="10:10" ht="12.75">
      <c r="J938" s="748"/>
    </row>
    <row r="939" spans="10:10" ht="12.75">
      <c r="J939" s="748"/>
    </row>
    <row r="940" spans="10:10" ht="12.75">
      <c r="J940" s="748"/>
    </row>
    <row r="941" spans="10:10" ht="12.75">
      <c r="J941" s="748"/>
    </row>
    <row r="942" spans="10:10" ht="12.75">
      <c r="J942" s="748"/>
    </row>
    <row r="943" spans="10:10" ht="12.75">
      <c r="J943" s="748"/>
    </row>
    <row r="944" spans="10:10" ht="12.75">
      <c r="J944" s="748"/>
    </row>
    <row r="945" spans="10:10" ht="12.75">
      <c r="J945" s="748"/>
    </row>
    <row r="946" spans="10:10" ht="12.75">
      <c r="J946" s="748"/>
    </row>
    <row r="947" spans="10:10" ht="12.75">
      <c r="J947" s="748"/>
    </row>
    <row r="948" spans="10:10" ht="12.75">
      <c r="J948" s="748"/>
    </row>
    <row r="949" spans="10:10" ht="12.75">
      <c r="J949" s="748"/>
    </row>
    <row r="950" spans="10:10" ht="12.75">
      <c r="J950" s="748"/>
    </row>
    <row r="951" spans="10:10" ht="12.75">
      <c r="J951" s="748"/>
    </row>
    <row r="952" spans="10:10" ht="12.75">
      <c r="J952" s="748"/>
    </row>
    <row r="953" spans="10:10" ht="12.75">
      <c r="J953" s="748"/>
    </row>
    <row r="954" spans="10:10" ht="12.75">
      <c r="J954" s="748"/>
    </row>
    <row r="955" spans="10:10" ht="12.75">
      <c r="J955" s="748"/>
    </row>
    <row r="956" spans="10:10" ht="12.75">
      <c r="J956" s="748"/>
    </row>
    <row r="957" spans="10:10" ht="12.75">
      <c r="J957" s="748"/>
    </row>
    <row r="958" spans="10:10" ht="12.75">
      <c r="J958" s="748"/>
    </row>
    <row r="959" spans="10:10" ht="12.75">
      <c r="J959" s="748"/>
    </row>
    <row r="960" spans="10:10" ht="12.75">
      <c r="J960" s="748"/>
    </row>
    <row r="961" spans="10:10" ht="12.75">
      <c r="J961" s="748"/>
    </row>
    <row r="962" spans="10:10" ht="12.75">
      <c r="J962" s="748"/>
    </row>
    <row r="963" spans="10:10" ht="12.75">
      <c r="J963" s="748"/>
    </row>
    <row r="964" spans="10:10" ht="12.75">
      <c r="J964" s="748"/>
    </row>
    <row r="965" spans="10:10" ht="12.75">
      <c r="J965" s="748"/>
    </row>
    <row r="966" spans="10:10" ht="12.75">
      <c r="J966" s="748"/>
    </row>
    <row r="967" spans="10:10" ht="12.75">
      <c r="J967" s="748"/>
    </row>
    <row r="968" spans="10:10" ht="12.75">
      <c r="J968" s="748"/>
    </row>
    <row r="969" spans="10:10" ht="12.75">
      <c r="J969" s="748"/>
    </row>
    <row r="970" spans="10:10" ht="12.75">
      <c r="J970" s="748"/>
    </row>
    <row r="971" spans="10:10" ht="12.75">
      <c r="J971" s="748"/>
    </row>
    <row r="972" spans="10:10" ht="12.75">
      <c r="J972" s="748"/>
    </row>
    <row r="973" spans="10:10" ht="12.75">
      <c r="J973" s="748"/>
    </row>
    <row r="974" spans="10:10" ht="12.75">
      <c r="J974" s="748"/>
    </row>
    <row r="975" spans="10:10" ht="12.75">
      <c r="J975" s="748"/>
    </row>
    <row r="976" spans="10:10" ht="12.75">
      <c r="J976" s="748"/>
    </row>
    <row r="977" spans="10:10" ht="12.75">
      <c r="J977" s="748"/>
    </row>
    <row r="978" spans="10:10" ht="12.75">
      <c r="J978" s="748"/>
    </row>
    <row r="979" spans="10:10" ht="12.75">
      <c r="J979" s="748"/>
    </row>
    <row r="980" spans="10:10" ht="12.75">
      <c r="J980" s="748"/>
    </row>
    <row r="981" spans="10:10" ht="12.75">
      <c r="J981" s="748"/>
    </row>
    <row r="982" spans="10:10" ht="12.75">
      <c r="J982" s="748"/>
    </row>
    <row r="983" spans="10:10" ht="12.75">
      <c r="J983" s="748"/>
    </row>
    <row r="984" spans="10:10" ht="12.75">
      <c r="J984" s="748"/>
    </row>
    <row r="985" spans="10:10" ht="12.75">
      <c r="J985" s="748"/>
    </row>
    <row r="986" spans="10:10" ht="12.75">
      <c r="J986" s="748"/>
    </row>
    <row r="987" spans="10:10" ht="12.75">
      <c r="J987" s="748"/>
    </row>
    <row r="988" spans="10:10" ht="12.75">
      <c r="J988" s="748"/>
    </row>
    <row r="989" spans="10:10" ht="12.75">
      <c r="J989" s="748"/>
    </row>
    <row r="990" spans="10:10" ht="12.75">
      <c r="J990" s="748"/>
    </row>
    <row r="991" spans="10:10" ht="12.75">
      <c r="J991" s="748"/>
    </row>
    <row r="992" spans="10:10" ht="12.75">
      <c r="J992" s="748"/>
    </row>
    <row r="993" spans="10:10" ht="12.75">
      <c r="J993" s="748"/>
    </row>
    <row r="994" spans="10:10" ht="12.75">
      <c r="J994" s="748"/>
    </row>
    <row r="995" spans="10:10" ht="12.75">
      <c r="J995" s="748"/>
    </row>
    <row r="996" spans="10:10" ht="12.75">
      <c r="J996" s="748"/>
    </row>
    <row r="997" spans="10:10" ht="12.75">
      <c r="J997" s="748"/>
    </row>
    <row r="998" spans="10:10" ht="12.75">
      <c r="J998" s="748"/>
    </row>
    <row r="999" spans="10:10" ht="12.75">
      <c r="J999" s="748"/>
    </row>
    <row r="1000" spans="10:10" ht="12.75">
      <c r="J1000" s="748"/>
    </row>
    <row r="1001" spans="10:10" ht="12.75">
      <c r="J1001" s="748"/>
    </row>
    <row r="1002" spans="10:10" ht="12.75">
      <c r="J1002" s="748"/>
    </row>
    <row r="1003" spans="10:10" ht="12.75">
      <c r="J1003" s="748"/>
    </row>
    <row r="1004" spans="10:10" ht="12.75">
      <c r="J1004" s="748"/>
    </row>
    <row r="1005" spans="10:10" ht="12.75">
      <c r="J1005" s="748"/>
    </row>
    <row r="1006" spans="10:10" ht="12.75">
      <c r="J1006" s="748"/>
    </row>
    <row r="1007" spans="10:10" ht="12.75">
      <c r="J1007" s="748"/>
    </row>
    <row r="1008" spans="10:10" ht="12.75">
      <c r="J1008" s="748"/>
    </row>
    <row r="1009" spans="10:10" ht="12.75">
      <c r="J1009" s="748"/>
    </row>
    <row r="1010" spans="10:10" ht="12.75">
      <c r="J1010" s="748"/>
    </row>
    <row r="1011" spans="10:10" ht="12.75">
      <c r="J1011" s="748"/>
    </row>
    <row r="1012" spans="10:10" ht="12.75">
      <c r="J1012" s="748"/>
    </row>
    <row r="1013" spans="10:10" ht="12.75">
      <c r="J1013" s="748"/>
    </row>
    <row r="1014" spans="10:10" ht="12.75">
      <c r="J1014" s="748"/>
    </row>
    <row r="1015" spans="10:10" ht="12.75">
      <c r="J1015" s="748"/>
    </row>
    <row r="1016" spans="10:10" ht="12.75">
      <c r="J1016" s="748"/>
    </row>
    <row r="1017" spans="10:10" ht="12.75">
      <c r="J1017" s="748"/>
    </row>
    <row r="1018" spans="10:10" ht="12.75">
      <c r="J1018" s="748"/>
    </row>
    <row r="1019" spans="10:10" ht="12.75">
      <c r="J1019" s="748"/>
    </row>
    <row r="1020" spans="10:10" ht="12.75">
      <c r="J1020" s="748"/>
    </row>
    <row r="1021" spans="10:10" ht="12.75">
      <c r="J1021" s="748"/>
    </row>
    <row r="1022" spans="10:10" ht="12.75">
      <c r="J1022" s="748"/>
    </row>
    <row r="1023" spans="10:10" ht="12.75">
      <c r="J1023" s="748"/>
    </row>
    <row r="1024" spans="10:10" ht="12.75">
      <c r="J1024" s="748"/>
    </row>
    <row r="1025" spans="10:10" ht="12.75">
      <c r="J1025" s="748"/>
    </row>
    <row r="1026" spans="10:10" ht="12.75">
      <c r="J1026" s="748"/>
    </row>
    <row r="1027" spans="10:10" ht="12.75">
      <c r="J1027" s="748"/>
    </row>
    <row r="1028" spans="10:10" ht="12.75">
      <c r="J1028" s="748"/>
    </row>
    <row r="1029" spans="10:10" ht="12.75">
      <c r="J1029" s="748"/>
    </row>
    <row r="1030" spans="10:10" ht="12.75">
      <c r="J1030" s="748"/>
    </row>
  </sheetData>
  <mergeCells count="3">
    <mergeCell ref="C7:I7"/>
    <mergeCell ref="C8:I9"/>
    <mergeCell ref="C10:I10"/>
  </mergeCells>
  <hyperlinks>
    <hyperlink ref="B8" r:id="rId1"/>
    <hyperlink ref="B9" r:id="rId2"/>
    <hyperlink ref="B10" r:id="rId3"/>
    <hyperlink ref="D14" location="ECT_CapAddBounds!A1" display="ECT_CapAddBounds.csv"/>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AE453"/>
  <sheetViews>
    <sheetView zoomScaleNormal="100" workbookViewId="0"/>
  </sheetViews>
  <sheetFormatPr defaultColWidth="18.28515625" defaultRowHeight="15"/>
  <cols>
    <col min="1" max="1" width="12.7109375" style="400" bestFit="1" customWidth="1"/>
    <col min="2" max="2" width="8" style="400" customWidth="1"/>
    <col min="3" max="3" width="17.140625" style="400" customWidth="1"/>
    <col min="4" max="5" width="10.7109375" style="407" customWidth="1"/>
    <col min="6" max="9" width="12.7109375" style="710" customWidth="1"/>
    <col min="10" max="12" width="10.7109375" style="710" customWidth="1"/>
    <col min="13" max="13" width="10.7109375" style="400" customWidth="1"/>
    <col min="14" max="14" width="11.42578125" style="400" customWidth="1"/>
    <col min="15" max="15" width="8.140625" style="400" bestFit="1" customWidth="1"/>
    <col min="16" max="16" width="18.28515625" style="400"/>
    <col min="17" max="25" width="18.28515625" style="416"/>
    <col min="26" max="264" width="18.28515625" style="400"/>
    <col min="265" max="266" width="18.28515625" style="400" customWidth="1"/>
    <col min="267" max="267" width="19.42578125" style="400" customWidth="1"/>
    <col min="268" max="268" width="13.85546875" style="400" customWidth="1"/>
    <col min="269" max="269" width="18.7109375" style="400" customWidth="1"/>
    <col min="270" max="270" width="17.42578125" style="400" customWidth="1"/>
    <col min="271" max="271" width="12.5703125" style="400" customWidth="1"/>
    <col min="272" max="272" width="14.7109375" style="400" customWidth="1"/>
    <col min="273" max="520" width="18.28515625" style="400"/>
    <col min="521" max="522" width="18.28515625" style="400" customWidth="1"/>
    <col min="523" max="523" width="19.42578125" style="400" customWidth="1"/>
    <col min="524" max="524" width="13.85546875" style="400" customWidth="1"/>
    <col min="525" max="525" width="18.7109375" style="400" customWidth="1"/>
    <col min="526" max="526" width="17.42578125" style="400" customWidth="1"/>
    <col min="527" max="527" width="12.5703125" style="400" customWidth="1"/>
    <col min="528" max="528" width="14.7109375" style="400" customWidth="1"/>
    <col min="529" max="776" width="18.28515625" style="400"/>
    <col min="777" max="778" width="18.28515625" style="400" customWidth="1"/>
    <col min="779" max="779" width="19.42578125" style="400" customWidth="1"/>
    <col min="780" max="780" width="13.85546875" style="400" customWidth="1"/>
    <col min="781" max="781" width="18.7109375" style="400" customWidth="1"/>
    <col min="782" max="782" width="17.42578125" style="400" customWidth="1"/>
    <col min="783" max="783" width="12.5703125" style="400" customWidth="1"/>
    <col min="784" max="784" width="14.7109375" style="400" customWidth="1"/>
    <col min="785" max="1032" width="18.28515625" style="400"/>
    <col min="1033" max="1034" width="18.28515625" style="400" customWidth="1"/>
    <col min="1035" max="1035" width="19.42578125" style="400" customWidth="1"/>
    <col min="1036" max="1036" width="13.85546875" style="400" customWidth="1"/>
    <col min="1037" max="1037" width="18.7109375" style="400" customWidth="1"/>
    <col min="1038" max="1038" width="17.42578125" style="400" customWidth="1"/>
    <col min="1039" max="1039" width="12.5703125" style="400" customWidth="1"/>
    <col min="1040" max="1040" width="14.7109375" style="400" customWidth="1"/>
    <col min="1041" max="1288" width="18.28515625" style="400"/>
    <col min="1289" max="1290" width="18.28515625" style="400" customWidth="1"/>
    <col min="1291" max="1291" width="19.42578125" style="400" customWidth="1"/>
    <col min="1292" max="1292" width="13.85546875" style="400" customWidth="1"/>
    <col min="1293" max="1293" width="18.7109375" style="400" customWidth="1"/>
    <col min="1294" max="1294" width="17.42578125" style="400" customWidth="1"/>
    <col min="1295" max="1295" width="12.5703125" style="400" customWidth="1"/>
    <col min="1296" max="1296" width="14.7109375" style="400" customWidth="1"/>
    <col min="1297" max="1544" width="18.28515625" style="400"/>
    <col min="1545" max="1546" width="18.28515625" style="400" customWidth="1"/>
    <col min="1547" max="1547" width="19.42578125" style="400" customWidth="1"/>
    <col min="1548" max="1548" width="13.85546875" style="400" customWidth="1"/>
    <col min="1549" max="1549" width="18.7109375" style="400" customWidth="1"/>
    <col min="1550" max="1550" width="17.42578125" style="400" customWidth="1"/>
    <col min="1551" max="1551" width="12.5703125" style="400" customWidth="1"/>
    <col min="1552" max="1552" width="14.7109375" style="400" customWidth="1"/>
    <col min="1553" max="1800" width="18.28515625" style="400"/>
    <col min="1801" max="1802" width="18.28515625" style="400" customWidth="1"/>
    <col min="1803" max="1803" width="19.42578125" style="400" customWidth="1"/>
    <col min="1804" max="1804" width="13.85546875" style="400" customWidth="1"/>
    <col min="1805" max="1805" width="18.7109375" style="400" customWidth="1"/>
    <col min="1806" max="1806" width="17.42578125" style="400" customWidth="1"/>
    <col min="1807" max="1807" width="12.5703125" style="400" customWidth="1"/>
    <col min="1808" max="1808" width="14.7109375" style="400" customWidth="1"/>
    <col min="1809" max="2056" width="18.28515625" style="400"/>
    <col min="2057" max="2058" width="18.28515625" style="400" customWidth="1"/>
    <col min="2059" max="2059" width="19.42578125" style="400" customWidth="1"/>
    <col min="2060" max="2060" width="13.85546875" style="400" customWidth="1"/>
    <col min="2061" max="2061" width="18.7109375" style="400" customWidth="1"/>
    <col min="2062" max="2062" width="17.42578125" style="400" customWidth="1"/>
    <col min="2063" max="2063" width="12.5703125" style="400" customWidth="1"/>
    <col min="2064" max="2064" width="14.7109375" style="400" customWidth="1"/>
    <col min="2065" max="2312" width="18.28515625" style="400"/>
    <col min="2313" max="2314" width="18.28515625" style="400" customWidth="1"/>
    <col min="2315" max="2315" width="19.42578125" style="400" customWidth="1"/>
    <col min="2316" max="2316" width="13.85546875" style="400" customWidth="1"/>
    <col min="2317" max="2317" width="18.7109375" style="400" customWidth="1"/>
    <col min="2318" max="2318" width="17.42578125" style="400" customWidth="1"/>
    <col min="2319" max="2319" width="12.5703125" style="400" customWidth="1"/>
    <col min="2320" max="2320" width="14.7109375" style="400" customWidth="1"/>
    <col min="2321" max="2568" width="18.28515625" style="400"/>
    <col min="2569" max="2570" width="18.28515625" style="400" customWidth="1"/>
    <col min="2571" max="2571" width="19.42578125" style="400" customWidth="1"/>
    <col min="2572" max="2572" width="13.85546875" style="400" customWidth="1"/>
    <col min="2573" max="2573" width="18.7109375" style="400" customWidth="1"/>
    <col min="2574" max="2574" width="17.42578125" style="400" customWidth="1"/>
    <col min="2575" max="2575" width="12.5703125" style="400" customWidth="1"/>
    <col min="2576" max="2576" width="14.7109375" style="400" customWidth="1"/>
    <col min="2577" max="2824" width="18.28515625" style="400"/>
    <col min="2825" max="2826" width="18.28515625" style="400" customWidth="1"/>
    <col min="2827" max="2827" width="19.42578125" style="400" customWidth="1"/>
    <col min="2828" max="2828" width="13.85546875" style="400" customWidth="1"/>
    <col min="2829" max="2829" width="18.7109375" style="400" customWidth="1"/>
    <col min="2830" max="2830" width="17.42578125" style="400" customWidth="1"/>
    <col min="2831" max="2831" width="12.5703125" style="400" customWidth="1"/>
    <col min="2832" max="2832" width="14.7109375" style="400" customWidth="1"/>
    <col min="2833" max="3080" width="18.28515625" style="400"/>
    <col min="3081" max="3082" width="18.28515625" style="400" customWidth="1"/>
    <col min="3083" max="3083" width="19.42578125" style="400" customWidth="1"/>
    <col min="3084" max="3084" width="13.85546875" style="400" customWidth="1"/>
    <col min="3085" max="3085" width="18.7109375" style="400" customWidth="1"/>
    <col min="3086" max="3086" width="17.42578125" style="400" customWidth="1"/>
    <col min="3087" max="3087" width="12.5703125" style="400" customWidth="1"/>
    <col min="3088" max="3088" width="14.7109375" style="400" customWidth="1"/>
    <col min="3089" max="3336" width="18.28515625" style="400"/>
    <col min="3337" max="3338" width="18.28515625" style="400" customWidth="1"/>
    <col min="3339" max="3339" width="19.42578125" style="400" customWidth="1"/>
    <col min="3340" max="3340" width="13.85546875" style="400" customWidth="1"/>
    <col min="3341" max="3341" width="18.7109375" style="400" customWidth="1"/>
    <col min="3342" max="3342" width="17.42578125" style="400" customWidth="1"/>
    <col min="3343" max="3343" width="12.5703125" style="400" customWidth="1"/>
    <col min="3344" max="3344" width="14.7109375" style="400" customWidth="1"/>
    <col min="3345" max="3592" width="18.28515625" style="400"/>
    <col min="3593" max="3594" width="18.28515625" style="400" customWidth="1"/>
    <col min="3595" max="3595" width="19.42578125" style="400" customWidth="1"/>
    <col min="3596" max="3596" width="13.85546875" style="400" customWidth="1"/>
    <col min="3597" max="3597" width="18.7109375" style="400" customWidth="1"/>
    <col min="3598" max="3598" width="17.42578125" style="400" customWidth="1"/>
    <col min="3599" max="3599" width="12.5703125" style="400" customWidth="1"/>
    <col min="3600" max="3600" width="14.7109375" style="400" customWidth="1"/>
    <col min="3601" max="3848" width="18.28515625" style="400"/>
    <col min="3849" max="3850" width="18.28515625" style="400" customWidth="1"/>
    <col min="3851" max="3851" width="19.42578125" style="400" customWidth="1"/>
    <col min="3852" max="3852" width="13.85546875" style="400" customWidth="1"/>
    <col min="3853" max="3853" width="18.7109375" style="400" customWidth="1"/>
    <col min="3854" max="3854" width="17.42578125" style="400" customWidth="1"/>
    <col min="3855" max="3855" width="12.5703125" style="400" customWidth="1"/>
    <col min="3856" max="3856" width="14.7109375" style="400" customWidth="1"/>
    <col min="3857" max="4104" width="18.28515625" style="400"/>
    <col min="4105" max="4106" width="18.28515625" style="400" customWidth="1"/>
    <col min="4107" max="4107" width="19.42578125" style="400" customWidth="1"/>
    <col min="4108" max="4108" width="13.85546875" style="400" customWidth="1"/>
    <col min="4109" max="4109" width="18.7109375" style="400" customWidth="1"/>
    <col min="4110" max="4110" width="17.42578125" style="400" customWidth="1"/>
    <col min="4111" max="4111" width="12.5703125" style="400" customWidth="1"/>
    <col min="4112" max="4112" width="14.7109375" style="400" customWidth="1"/>
    <col min="4113" max="4360" width="18.28515625" style="400"/>
    <col min="4361" max="4362" width="18.28515625" style="400" customWidth="1"/>
    <col min="4363" max="4363" width="19.42578125" style="400" customWidth="1"/>
    <col min="4364" max="4364" width="13.85546875" style="400" customWidth="1"/>
    <col min="4365" max="4365" width="18.7109375" style="400" customWidth="1"/>
    <col min="4366" max="4366" width="17.42578125" style="400" customWidth="1"/>
    <col min="4367" max="4367" width="12.5703125" style="400" customWidth="1"/>
    <col min="4368" max="4368" width="14.7109375" style="400" customWidth="1"/>
    <col min="4369" max="4616" width="18.28515625" style="400"/>
    <col min="4617" max="4618" width="18.28515625" style="400" customWidth="1"/>
    <col min="4619" max="4619" width="19.42578125" style="400" customWidth="1"/>
    <col min="4620" max="4620" width="13.85546875" style="400" customWidth="1"/>
    <col min="4621" max="4621" width="18.7109375" style="400" customWidth="1"/>
    <col min="4622" max="4622" width="17.42578125" style="400" customWidth="1"/>
    <col min="4623" max="4623" width="12.5703125" style="400" customWidth="1"/>
    <col min="4624" max="4624" width="14.7109375" style="400" customWidth="1"/>
    <col min="4625" max="4872" width="18.28515625" style="400"/>
    <col min="4873" max="4874" width="18.28515625" style="400" customWidth="1"/>
    <col min="4875" max="4875" width="19.42578125" style="400" customWidth="1"/>
    <col min="4876" max="4876" width="13.85546875" style="400" customWidth="1"/>
    <col min="4877" max="4877" width="18.7109375" style="400" customWidth="1"/>
    <col min="4878" max="4878" width="17.42578125" style="400" customWidth="1"/>
    <col min="4879" max="4879" width="12.5703125" style="400" customWidth="1"/>
    <col min="4880" max="4880" width="14.7109375" style="400" customWidth="1"/>
    <col min="4881" max="5128" width="18.28515625" style="400"/>
    <col min="5129" max="5130" width="18.28515625" style="400" customWidth="1"/>
    <col min="5131" max="5131" width="19.42578125" style="400" customWidth="1"/>
    <col min="5132" max="5132" width="13.85546875" style="400" customWidth="1"/>
    <col min="5133" max="5133" width="18.7109375" style="400" customWidth="1"/>
    <col min="5134" max="5134" width="17.42578125" style="400" customWidth="1"/>
    <col min="5135" max="5135" width="12.5703125" style="400" customWidth="1"/>
    <col min="5136" max="5136" width="14.7109375" style="400" customWidth="1"/>
    <col min="5137" max="5384" width="18.28515625" style="400"/>
    <col min="5385" max="5386" width="18.28515625" style="400" customWidth="1"/>
    <col min="5387" max="5387" width="19.42578125" style="400" customWidth="1"/>
    <col min="5388" max="5388" width="13.85546875" style="400" customWidth="1"/>
    <col min="5389" max="5389" width="18.7109375" style="400" customWidth="1"/>
    <col min="5390" max="5390" width="17.42578125" style="400" customWidth="1"/>
    <col min="5391" max="5391" width="12.5703125" style="400" customWidth="1"/>
    <col min="5392" max="5392" width="14.7109375" style="400" customWidth="1"/>
    <col min="5393" max="5640" width="18.28515625" style="400"/>
    <col min="5641" max="5642" width="18.28515625" style="400" customWidth="1"/>
    <col min="5643" max="5643" width="19.42578125" style="400" customWidth="1"/>
    <col min="5644" max="5644" width="13.85546875" style="400" customWidth="1"/>
    <col min="5645" max="5645" width="18.7109375" style="400" customWidth="1"/>
    <col min="5646" max="5646" width="17.42578125" style="400" customWidth="1"/>
    <col min="5647" max="5647" width="12.5703125" style="400" customWidth="1"/>
    <col min="5648" max="5648" width="14.7109375" style="400" customWidth="1"/>
    <col min="5649" max="5896" width="18.28515625" style="400"/>
    <col min="5897" max="5898" width="18.28515625" style="400" customWidth="1"/>
    <col min="5899" max="5899" width="19.42578125" style="400" customWidth="1"/>
    <col min="5900" max="5900" width="13.85546875" style="400" customWidth="1"/>
    <col min="5901" max="5901" width="18.7109375" style="400" customWidth="1"/>
    <col min="5902" max="5902" width="17.42578125" style="400" customWidth="1"/>
    <col min="5903" max="5903" width="12.5703125" style="400" customWidth="1"/>
    <col min="5904" max="5904" width="14.7109375" style="400" customWidth="1"/>
    <col min="5905" max="6152" width="18.28515625" style="400"/>
    <col min="6153" max="6154" width="18.28515625" style="400" customWidth="1"/>
    <col min="6155" max="6155" width="19.42578125" style="400" customWidth="1"/>
    <col min="6156" max="6156" width="13.85546875" style="400" customWidth="1"/>
    <col min="6157" max="6157" width="18.7109375" style="400" customWidth="1"/>
    <col min="6158" max="6158" width="17.42578125" style="400" customWidth="1"/>
    <col min="6159" max="6159" width="12.5703125" style="400" customWidth="1"/>
    <col min="6160" max="6160" width="14.7109375" style="400" customWidth="1"/>
    <col min="6161" max="6408" width="18.28515625" style="400"/>
    <col min="6409" max="6410" width="18.28515625" style="400" customWidth="1"/>
    <col min="6411" max="6411" width="19.42578125" style="400" customWidth="1"/>
    <col min="6412" max="6412" width="13.85546875" style="400" customWidth="1"/>
    <col min="6413" max="6413" width="18.7109375" style="400" customWidth="1"/>
    <col min="6414" max="6414" width="17.42578125" style="400" customWidth="1"/>
    <col min="6415" max="6415" width="12.5703125" style="400" customWidth="1"/>
    <col min="6416" max="6416" width="14.7109375" style="400" customWidth="1"/>
    <col min="6417" max="6664" width="18.28515625" style="400"/>
    <col min="6665" max="6666" width="18.28515625" style="400" customWidth="1"/>
    <col min="6667" max="6667" width="19.42578125" style="400" customWidth="1"/>
    <col min="6668" max="6668" width="13.85546875" style="400" customWidth="1"/>
    <col min="6669" max="6669" width="18.7109375" style="400" customWidth="1"/>
    <col min="6670" max="6670" width="17.42578125" style="400" customWidth="1"/>
    <col min="6671" max="6671" width="12.5703125" style="400" customWidth="1"/>
    <col min="6672" max="6672" width="14.7109375" style="400" customWidth="1"/>
    <col min="6673" max="6920" width="18.28515625" style="400"/>
    <col min="6921" max="6922" width="18.28515625" style="400" customWidth="1"/>
    <col min="6923" max="6923" width="19.42578125" style="400" customWidth="1"/>
    <col min="6924" max="6924" width="13.85546875" style="400" customWidth="1"/>
    <col min="6925" max="6925" width="18.7109375" style="400" customWidth="1"/>
    <col min="6926" max="6926" width="17.42578125" style="400" customWidth="1"/>
    <col min="6927" max="6927" width="12.5703125" style="400" customWidth="1"/>
    <col min="6928" max="6928" width="14.7109375" style="400" customWidth="1"/>
    <col min="6929" max="7176" width="18.28515625" style="400"/>
    <col min="7177" max="7178" width="18.28515625" style="400" customWidth="1"/>
    <col min="7179" max="7179" width="19.42578125" style="400" customWidth="1"/>
    <col min="7180" max="7180" width="13.85546875" style="400" customWidth="1"/>
    <col min="7181" max="7181" width="18.7109375" style="400" customWidth="1"/>
    <col min="7182" max="7182" width="17.42578125" style="400" customWidth="1"/>
    <col min="7183" max="7183" width="12.5703125" style="400" customWidth="1"/>
    <col min="7184" max="7184" width="14.7109375" style="400" customWidth="1"/>
    <col min="7185" max="7432" width="18.28515625" style="400"/>
    <col min="7433" max="7434" width="18.28515625" style="400" customWidth="1"/>
    <col min="7435" max="7435" width="19.42578125" style="400" customWidth="1"/>
    <col min="7436" max="7436" width="13.85546875" style="400" customWidth="1"/>
    <col min="7437" max="7437" width="18.7109375" style="400" customWidth="1"/>
    <col min="7438" max="7438" width="17.42578125" style="400" customWidth="1"/>
    <col min="7439" max="7439" width="12.5703125" style="400" customWidth="1"/>
    <col min="7440" max="7440" width="14.7109375" style="400" customWidth="1"/>
    <col min="7441" max="7688" width="18.28515625" style="400"/>
    <col min="7689" max="7690" width="18.28515625" style="400" customWidth="1"/>
    <col min="7691" max="7691" width="19.42578125" style="400" customWidth="1"/>
    <col min="7692" max="7692" width="13.85546875" style="400" customWidth="1"/>
    <col min="7693" max="7693" width="18.7109375" style="400" customWidth="1"/>
    <col min="7694" max="7694" width="17.42578125" style="400" customWidth="1"/>
    <col min="7695" max="7695" width="12.5703125" style="400" customWidth="1"/>
    <col min="7696" max="7696" width="14.7109375" style="400" customWidth="1"/>
    <col min="7697" max="7944" width="18.28515625" style="400"/>
    <col min="7945" max="7946" width="18.28515625" style="400" customWidth="1"/>
    <col min="7947" max="7947" width="19.42578125" style="400" customWidth="1"/>
    <col min="7948" max="7948" width="13.85546875" style="400" customWidth="1"/>
    <col min="7949" max="7949" width="18.7109375" style="400" customWidth="1"/>
    <col min="7950" max="7950" width="17.42578125" style="400" customWidth="1"/>
    <col min="7951" max="7951" width="12.5703125" style="400" customWidth="1"/>
    <col min="7952" max="7952" width="14.7109375" style="400" customWidth="1"/>
    <col min="7953" max="8200" width="18.28515625" style="400"/>
    <col min="8201" max="8202" width="18.28515625" style="400" customWidth="1"/>
    <col min="8203" max="8203" width="19.42578125" style="400" customWidth="1"/>
    <col min="8204" max="8204" width="13.85546875" style="400" customWidth="1"/>
    <col min="8205" max="8205" width="18.7109375" style="400" customWidth="1"/>
    <col min="8206" max="8206" width="17.42578125" style="400" customWidth="1"/>
    <col min="8207" max="8207" width="12.5703125" style="400" customWidth="1"/>
    <col min="8208" max="8208" width="14.7109375" style="400" customWidth="1"/>
    <col min="8209" max="8456" width="18.28515625" style="400"/>
    <col min="8457" max="8458" width="18.28515625" style="400" customWidth="1"/>
    <col min="8459" max="8459" width="19.42578125" style="400" customWidth="1"/>
    <col min="8460" max="8460" width="13.85546875" style="400" customWidth="1"/>
    <col min="8461" max="8461" width="18.7109375" style="400" customWidth="1"/>
    <col min="8462" max="8462" width="17.42578125" style="400" customWidth="1"/>
    <col min="8463" max="8463" width="12.5703125" style="400" customWidth="1"/>
    <col min="8464" max="8464" width="14.7109375" style="400" customWidth="1"/>
    <col min="8465" max="8712" width="18.28515625" style="400"/>
    <col min="8713" max="8714" width="18.28515625" style="400" customWidth="1"/>
    <col min="8715" max="8715" width="19.42578125" style="400" customWidth="1"/>
    <col min="8716" max="8716" width="13.85546875" style="400" customWidth="1"/>
    <col min="8717" max="8717" width="18.7109375" style="400" customWidth="1"/>
    <col min="8718" max="8718" width="17.42578125" style="400" customWidth="1"/>
    <col min="8719" max="8719" width="12.5703125" style="400" customWidth="1"/>
    <col min="8720" max="8720" width="14.7109375" style="400" customWidth="1"/>
    <col min="8721" max="8968" width="18.28515625" style="400"/>
    <col min="8969" max="8970" width="18.28515625" style="400" customWidth="1"/>
    <col min="8971" max="8971" width="19.42578125" style="400" customWidth="1"/>
    <col min="8972" max="8972" width="13.85546875" style="400" customWidth="1"/>
    <col min="8973" max="8973" width="18.7109375" style="400" customWidth="1"/>
    <col min="8974" max="8974" width="17.42578125" style="400" customWidth="1"/>
    <col min="8975" max="8975" width="12.5703125" style="400" customWidth="1"/>
    <col min="8976" max="8976" width="14.7109375" style="400" customWidth="1"/>
    <col min="8977" max="9224" width="18.28515625" style="400"/>
    <col min="9225" max="9226" width="18.28515625" style="400" customWidth="1"/>
    <col min="9227" max="9227" width="19.42578125" style="400" customWidth="1"/>
    <col min="9228" max="9228" width="13.85546875" style="400" customWidth="1"/>
    <col min="9229" max="9229" width="18.7109375" style="400" customWidth="1"/>
    <col min="9230" max="9230" width="17.42578125" style="400" customWidth="1"/>
    <col min="9231" max="9231" width="12.5703125" style="400" customWidth="1"/>
    <col min="9232" max="9232" width="14.7109375" style="400" customWidth="1"/>
    <col min="9233" max="9480" width="18.28515625" style="400"/>
    <col min="9481" max="9482" width="18.28515625" style="400" customWidth="1"/>
    <col min="9483" max="9483" width="19.42578125" style="400" customWidth="1"/>
    <col min="9484" max="9484" width="13.85546875" style="400" customWidth="1"/>
    <col min="9485" max="9485" width="18.7109375" style="400" customWidth="1"/>
    <col min="9486" max="9486" width="17.42578125" style="400" customWidth="1"/>
    <col min="9487" max="9487" width="12.5703125" style="400" customWidth="1"/>
    <col min="9488" max="9488" width="14.7109375" style="400" customWidth="1"/>
    <col min="9489" max="9736" width="18.28515625" style="400"/>
    <col min="9737" max="9738" width="18.28515625" style="400" customWidth="1"/>
    <col min="9739" max="9739" width="19.42578125" style="400" customWidth="1"/>
    <col min="9740" max="9740" width="13.85546875" style="400" customWidth="1"/>
    <col min="9741" max="9741" width="18.7109375" style="400" customWidth="1"/>
    <col min="9742" max="9742" width="17.42578125" style="400" customWidth="1"/>
    <col min="9743" max="9743" width="12.5703125" style="400" customWidth="1"/>
    <col min="9744" max="9744" width="14.7109375" style="400" customWidth="1"/>
    <col min="9745" max="9992" width="18.28515625" style="400"/>
    <col min="9993" max="9994" width="18.28515625" style="400" customWidth="1"/>
    <col min="9995" max="9995" width="19.42578125" style="400" customWidth="1"/>
    <col min="9996" max="9996" width="13.85546875" style="400" customWidth="1"/>
    <col min="9997" max="9997" width="18.7109375" style="400" customWidth="1"/>
    <col min="9998" max="9998" width="17.42578125" style="400" customWidth="1"/>
    <col min="9999" max="9999" width="12.5703125" style="400" customWidth="1"/>
    <col min="10000" max="10000" width="14.7109375" style="400" customWidth="1"/>
    <col min="10001" max="10248" width="18.28515625" style="400"/>
    <col min="10249" max="10250" width="18.28515625" style="400" customWidth="1"/>
    <col min="10251" max="10251" width="19.42578125" style="400" customWidth="1"/>
    <col min="10252" max="10252" width="13.85546875" style="400" customWidth="1"/>
    <col min="10253" max="10253" width="18.7109375" style="400" customWidth="1"/>
    <col min="10254" max="10254" width="17.42578125" style="400" customWidth="1"/>
    <col min="10255" max="10255" width="12.5703125" style="400" customWidth="1"/>
    <col min="10256" max="10256" width="14.7109375" style="400" customWidth="1"/>
    <col min="10257" max="10504" width="18.28515625" style="400"/>
    <col min="10505" max="10506" width="18.28515625" style="400" customWidth="1"/>
    <col min="10507" max="10507" width="19.42578125" style="400" customWidth="1"/>
    <col min="10508" max="10508" width="13.85546875" style="400" customWidth="1"/>
    <col min="10509" max="10509" width="18.7109375" style="400" customWidth="1"/>
    <col min="10510" max="10510" width="17.42578125" style="400" customWidth="1"/>
    <col min="10511" max="10511" width="12.5703125" style="400" customWidth="1"/>
    <col min="10512" max="10512" width="14.7109375" style="400" customWidth="1"/>
    <col min="10513" max="10760" width="18.28515625" style="400"/>
    <col min="10761" max="10762" width="18.28515625" style="400" customWidth="1"/>
    <col min="10763" max="10763" width="19.42578125" style="400" customWidth="1"/>
    <col min="10764" max="10764" width="13.85546875" style="400" customWidth="1"/>
    <col min="10765" max="10765" width="18.7109375" style="400" customWidth="1"/>
    <col min="10766" max="10766" width="17.42578125" style="400" customWidth="1"/>
    <col min="10767" max="10767" width="12.5703125" style="400" customWidth="1"/>
    <col min="10768" max="10768" width="14.7109375" style="400" customWidth="1"/>
    <col min="10769" max="11016" width="18.28515625" style="400"/>
    <col min="11017" max="11018" width="18.28515625" style="400" customWidth="1"/>
    <col min="11019" max="11019" width="19.42578125" style="400" customWidth="1"/>
    <col min="11020" max="11020" width="13.85546875" style="400" customWidth="1"/>
    <col min="11021" max="11021" width="18.7109375" style="400" customWidth="1"/>
    <col min="11022" max="11022" width="17.42578125" style="400" customWidth="1"/>
    <col min="11023" max="11023" width="12.5703125" style="400" customWidth="1"/>
    <col min="11024" max="11024" width="14.7109375" style="400" customWidth="1"/>
    <col min="11025" max="11272" width="18.28515625" style="400"/>
    <col min="11273" max="11274" width="18.28515625" style="400" customWidth="1"/>
    <col min="11275" max="11275" width="19.42578125" style="400" customWidth="1"/>
    <col min="11276" max="11276" width="13.85546875" style="400" customWidth="1"/>
    <col min="11277" max="11277" width="18.7109375" style="400" customWidth="1"/>
    <col min="11278" max="11278" width="17.42578125" style="400" customWidth="1"/>
    <col min="11279" max="11279" width="12.5703125" style="400" customWidth="1"/>
    <col min="11280" max="11280" width="14.7109375" style="400" customWidth="1"/>
    <col min="11281" max="11528" width="18.28515625" style="400"/>
    <col min="11529" max="11530" width="18.28515625" style="400" customWidth="1"/>
    <col min="11531" max="11531" width="19.42578125" style="400" customWidth="1"/>
    <col min="11532" max="11532" width="13.85546875" style="400" customWidth="1"/>
    <col min="11533" max="11533" width="18.7109375" style="400" customWidth="1"/>
    <col min="11534" max="11534" width="17.42578125" style="400" customWidth="1"/>
    <col min="11535" max="11535" width="12.5703125" style="400" customWidth="1"/>
    <col min="11536" max="11536" width="14.7109375" style="400" customWidth="1"/>
    <col min="11537" max="11784" width="18.28515625" style="400"/>
    <col min="11785" max="11786" width="18.28515625" style="400" customWidth="1"/>
    <col min="11787" max="11787" width="19.42578125" style="400" customWidth="1"/>
    <col min="11788" max="11788" width="13.85546875" style="400" customWidth="1"/>
    <col min="11789" max="11789" width="18.7109375" style="400" customWidth="1"/>
    <col min="11790" max="11790" width="17.42578125" style="400" customWidth="1"/>
    <col min="11791" max="11791" width="12.5703125" style="400" customWidth="1"/>
    <col min="11792" max="11792" width="14.7109375" style="400" customWidth="1"/>
    <col min="11793" max="12040" width="18.28515625" style="400"/>
    <col min="12041" max="12042" width="18.28515625" style="400" customWidth="1"/>
    <col min="12043" max="12043" width="19.42578125" style="400" customWidth="1"/>
    <col min="12044" max="12044" width="13.85546875" style="400" customWidth="1"/>
    <col min="12045" max="12045" width="18.7109375" style="400" customWidth="1"/>
    <col min="12046" max="12046" width="17.42578125" style="400" customWidth="1"/>
    <col min="12047" max="12047" width="12.5703125" style="400" customWidth="1"/>
    <col min="12048" max="12048" width="14.7109375" style="400" customWidth="1"/>
    <col min="12049" max="12296" width="18.28515625" style="400"/>
    <col min="12297" max="12298" width="18.28515625" style="400" customWidth="1"/>
    <col min="12299" max="12299" width="19.42578125" style="400" customWidth="1"/>
    <col min="12300" max="12300" width="13.85546875" style="400" customWidth="1"/>
    <col min="12301" max="12301" width="18.7109375" style="400" customWidth="1"/>
    <col min="12302" max="12302" width="17.42578125" style="400" customWidth="1"/>
    <col min="12303" max="12303" width="12.5703125" style="400" customWidth="1"/>
    <col min="12304" max="12304" width="14.7109375" style="400" customWidth="1"/>
    <col min="12305" max="12552" width="18.28515625" style="400"/>
    <col min="12553" max="12554" width="18.28515625" style="400" customWidth="1"/>
    <col min="12555" max="12555" width="19.42578125" style="400" customWidth="1"/>
    <col min="12556" max="12556" width="13.85546875" style="400" customWidth="1"/>
    <col min="12557" max="12557" width="18.7109375" style="400" customWidth="1"/>
    <col min="12558" max="12558" width="17.42578125" style="400" customWidth="1"/>
    <col min="12559" max="12559" width="12.5703125" style="400" customWidth="1"/>
    <col min="12560" max="12560" width="14.7109375" style="400" customWidth="1"/>
    <col min="12561" max="12808" width="18.28515625" style="400"/>
    <col min="12809" max="12810" width="18.28515625" style="400" customWidth="1"/>
    <col min="12811" max="12811" width="19.42578125" style="400" customWidth="1"/>
    <col min="12812" max="12812" width="13.85546875" style="400" customWidth="1"/>
    <col min="12813" max="12813" width="18.7109375" style="400" customWidth="1"/>
    <col min="12814" max="12814" width="17.42578125" style="400" customWidth="1"/>
    <col min="12815" max="12815" width="12.5703125" style="400" customWidth="1"/>
    <col min="12816" max="12816" width="14.7109375" style="400" customWidth="1"/>
    <col min="12817" max="13064" width="18.28515625" style="400"/>
    <col min="13065" max="13066" width="18.28515625" style="400" customWidth="1"/>
    <col min="13067" max="13067" width="19.42578125" style="400" customWidth="1"/>
    <col min="13068" max="13068" width="13.85546875" style="400" customWidth="1"/>
    <col min="13069" max="13069" width="18.7109375" style="400" customWidth="1"/>
    <col min="13070" max="13070" width="17.42578125" style="400" customWidth="1"/>
    <col min="13071" max="13071" width="12.5703125" style="400" customWidth="1"/>
    <col min="13072" max="13072" width="14.7109375" style="400" customWidth="1"/>
    <col min="13073" max="13320" width="18.28515625" style="400"/>
    <col min="13321" max="13322" width="18.28515625" style="400" customWidth="1"/>
    <col min="13323" max="13323" width="19.42578125" style="400" customWidth="1"/>
    <col min="13324" max="13324" width="13.85546875" style="400" customWidth="1"/>
    <col min="13325" max="13325" width="18.7109375" style="400" customWidth="1"/>
    <col min="13326" max="13326" width="17.42578125" style="400" customWidth="1"/>
    <col min="13327" max="13327" width="12.5703125" style="400" customWidth="1"/>
    <col min="13328" max="13328" width="14.7109375" style="400" customWidth="1"/>
    <col min="13329" max="13576" width="18.28515625" style="400"/>
    <col min="13577" max="13578" width="18.28515625" style="400" customWidth="1"/>
    <col min="13579" max="13579" width="19.42578125" style="400" customWidth="1"/>
    <col min="13580" max="13580" width="13.85546875" style="400" customWidth="1"/>
    <col min="13581" max="13581" width="18.7109375" style="400" customWidth="1"/>
    <col min="13582" max="13582" width="17.42578125" style="400" customWidth="1"/>
    <col min="13583" max="13583" width="12.5703125" style="400" customWidth="1"/>
    <col min="13584" max="13584" width="14.7109375" style="400" customWidth="1"/>
    <col min="13585" max="13832" width="18.28515625" style="400"/>
    <col min="13833" max="13834" width="18.28515625" style="400" customWidth="1"/>
    <col min="13835" max="13835" width="19.42578125" style="400" customWidth="1"/>
    <col min="13836" max="13836" width="13.85546875" style="400" customWidth="1"/>
    <col min="13837" max="13837" width="18.7109375" style="400" customWidth="1"/>
    <col min="13838" max="13838" width="17.42578125" style="400" customWidth="1"/>
    <col min="13839" max="13839" width="12.5703125" style="400" customWidth="1"/>
    <col min="13840" max="13840" width="14.7109375" style="400" customWidth="1"/>
    <col min="13841" max="14088" width="18.28515625" style="400"/>
    <col min="14089" max="14090" width="18.28515625" style="400" customWidth="1"/>
    <col min="14091" max="14091" width="19.42578125" style="400" customWidth="1"/>
    <col min="14092" max="14092" width="13.85546875" style="400" customWidth="1"/>
    <col min="14093" max="14093" width="18.7109375" style="400" customWidth="1"/>
    <col min="14094" max="14094" width="17.42578125" style="400" customWidth="1"/>
    <col min="14095" max="14095" width="12.5703125" style="400" customWidth="1"/>
    <col min="14096" max="14096" width="14.7109375" style="400" customWidth="1"/>
    <col min="14097" max="14344" width="18.28515625" style="400"/>
    <col min="14345" max="14346" width="18.28515625" style="400" customWidth="1"/>
    <col min="14347" max="14347" width="19.42578125" style="400" customWidth="1"/>
    <col min="14348" max="14348" width="13.85546875" style="400" customWidth="1"/>
    <col min="14349" max="14349" width="18.7109375" style="400" customWidth="1"/>
    <col min="14350" max="14350" width="17.42578125" style="400" customWidth="1"/>
    <col min="14351" max="14351" width="12.5703125" style="400" customWidth="1"/>
    <col min="14352" max="14352" width="14.7109375" style="400" customWidth="1"/>
    <col min="14353" max="14600" width="18.28515625" style="400"/>
    <col min="14601" max="14602" width="18.28515625" style="400" customWidth="1"/>
    <col min="14603" max="14603" width="19.42578125" style="400" customWidth="1"/>
    <col min="14604" max="14604" width="13.85546875" style="400" customWidth="1"/>
    <col min="14605" max="14605" width="18.7109375" style="400" customWidth="1"/>
    <col min="14606" max="14606" width="17.42578125" style="400" customWidth="1"/>
    <col min="14607" max="14607" width="12.5703125" style="400" customWidth="1"/>
    <col min="14608" max="14608" width="14.7109375" style="400" customWidth="1"/>
    <col min="14609" max="14856" width="18.28515625" style="400"/>
    <col min="14857" max="14858" width="18.28515625" style="400" customWidth="1"/>
    <col min="14859" max="14859" width="19.42578125" style="400" customWidth="1"/>
    <col min="14860" max="14860" width="13.85546875" style="400" customWidth="1"/>
    <col min="14861" max="14861" width="18.7109375" style="400" customWidth="1"/>
    <col min="14862" max="14862" width="17.42578125" style="400" customWidth="1"/>
    <col min="14863" max="14863" width="12.5703125" style="400" customWidth="1"/>
    <col min="14864" max="14864" width="14.7109375" style="400" customWidth="1"/>
    <col min="14865" max="15112" width="18.28515625" style="400"/>
    <col min="15113" max="15114" width="18.28515625" style="400" customWidth="1"/>
    <col min="15115" max="15115" width="19.42578125" style="400" customWidth="1"/>
    <col min="15116" max="15116" width="13.85546875" style="400" customWidth="1"/>
    <col min="15117" max="15117" width="18.7109375" style="400" customWidth="1"/>
    <col min="15118" max="15118" width="17.42578125" style="400" customWidth="1"/>
    <col min="15119" max="15119" width="12.5703125" style="400" customWidth="1"/>
    <col min="15120" max="15120" width="14.7109375" style="400" customWidth="1"/>
    <col min="15121" max="15368" width="18.28515625" style="400"/>
    <col min="15369" max="15370" width="18.28515625" style="400" customWidth="1"/>
    <col min="15371" max="15371" width="19.42578125" style="400" customWidth="1"/>
    <col min="15372" max="15372" width="13.85546875" style="400" customWidth="1"/>
    <col min="15373" max="15373" width="18.7109375" style="400" customWidth="1"/>
    <col min="15374" max="15374" width="17.42578125" style="400" customWidth="1"/>
    <col min="15375" max="15375" width="12.5703125" style="400" customWidth="1"/>
    <col min="15376" max="15376" width="14.7109375" style="400" customWidth="1"/>
    <col min="15377" max="15624" width="18.28515625" style="400"/>
    <col min="15625" max="15626" width="18.28515625" style="400" customWidth="1"/>
    <col min="15627" max="15627" width="19.42578125" style="400" customWidth="1"/>
    <col min="15628" max="15628" width="13.85546875" style="400" customWidth="1"/>
    <col min="15629" max="15629" width="18.7109375" style="400" customWidth="1"/>
    <col min="15630" max="15630" width="17.42578125" style="400" customWidth="1"/>
    <col min="15631" max="15631" width="12.5703125" style="400" customWidth="1"/>
    <col min="15632" max="15632" width="14.7109375" style="400" customWidth="1"/>
    <col min="15633" max="15880" width="18.28515625" style="400"/>
    <col min="15881" max="15882" width="18.28515625" style="400" customWidth="1"/>
    <col min="15883" max="15883" width="19.42578125" style="400" customWidth="1"/>
    <col min="15884" max="15884" width="13.85546875" style="400" customWidth="1"/>
    <col min="15885" max="15885" width="18.7109375" style="400" customWidth="1"/>
    <col min="15886" max="15886" width="17.42578125" style="400" customWidth="1"/>
    <col min="15887" max="15887" width="12.5703125" style="400" customWidth="1"/>
    <col min="15888" max="15888" width="14.7109375" style="400" customWidth="1"/>
    <col min="15889" max="16136" width="18.28515625" style="400"/>
    <col min="16137" max="16138" width="18.28515625" style="400" customWidth="1"/>
    <col min="16139" max="16139" width="19.42578125" style="400" customWidth="1"/>
    <col min="16140" max="16140" width="13.85546875" style="400" customWidth="1"/>
    <col min="16141" max="16141" width="18.7109375" style="400" customWidth="1"/>
    <col min="16142" max="16142" width="17.42578125" style="400" customWidth="1"/>
    <col min="16143" max="16143" width="12.5703125" style="400" customWidth="1"/>
    <col min="16144" max="16144" width="14.7109375" style="400" customWidth="1"/>
    <col min="16145" max="16384" width="18.28515625" style="400"/>
  </cols>
  <sheetData>
    <row r="1" spans="1:31" s="417" customFormat="1" ht="15.75" customHeight="1">
      <c r="A1" s="417" t="s">
        <v>1951</v>
      </c>
      <c r="B1" s="918" t="s">
        <v>33</v>
      </c>
      <c r="C1" s="918"/>
      <c r="D1" s="918"/>
      <c r="E1" s="918"/>
      <c r="F1" s="918"/>
      <c r="G1" s="918"/>
      <c r="H1" s="918"/>
      <c r="I1" s="918"/>
      <c r="J1" s="918"/>
      <c r="K1" s="918"/>
      <c r="L1" s="918"/>
      <c r="M1" s="918"/>
      <c r="O1" s="918" t="s">
        <v>33</v>
      </c>
      <c r="P1" s="918"/>
      <c r="Q1" s="918"/>
      <c r="R1" s="918"/>
      <c r="S1" s="918"/>
      <c r="T1" s="918"/>
      <c r="U1" s="918"/>
      <c r="V1" s="918"/>
      <c r="W1" s="918"/>
      <c r="X1" s="918"/>
      <c r="Y1" s="918"/>
      <c r="Z1" s="918"/>
    </row>
    <row r="2" spans="1:31" s="417" customFormat="1" ht="15.75">
      <c r="B2" s="919" t="s">
        <v>34</v>
      </c>
      <c r="C2" s="919"/>
      <c r="D2" s="919"/>
      <c r="E2" s="919"/>
      <c r="F2" s="919"/>
      <c r="G2" s="919"/>
      <c r="H2" s="919"/>
      <c r="I2" s="919"/>
      <c r="J2" s="919"/>
      <c r="K2" s="919"/>
      <c r="L2" s="919"/>
      <c r="M2" s="919"/>
      <c r="O2" s="928" t="s">
        <v>1386</v>
      </c>
      <c r="P2" s="928"/>
      <c r="Q2" s="928"/>
      <c r="R2" s="928"/>
      <c r="S2" s="928"/>
      <c r="T2" s="928"/>
      <c r="U2" s="928"/>
      <c r="V2" s="928"/>
      <c r="W2" s="928"/>
      <c r="X2" s="928"/>
      <c r="Y2" s="928"/>
      <c r="Z2" s="928"/>
    </row>
    <row r="3" spans="1:31" s="417" customFormat="1" ht="14.25" customHeight="1">
      <c r="B3" s="10" t="s">
        <v>35</v>
      </c>
      <c r="C3" s="705" t="s">
        <v>36</v>
      </c>
      <c r="D3" s="920" t="s">
        <v>37</v>
      </c>
      <c r="E3" s="920" t="s">
        <v>38</v>
      </c>
      <c r="F3" s="922" t="s">
        <v>39</v>
      </c>
      <c r="G3" s="923"/>
      <c r="H3" s="923"/>
      <c r="I3" s="924"/>
      <c r="J3" s="925" t="s">
        <v>40</v>
      </c>
      <c r="K3" s="925"/>
      <c r="L3" s="925"/>
      <c r="M3" s="926" t="s">
        <v>41</v>
      </c>
      <c r="O3" s="10" t="s">
        <v>35</v>
      </c>
      <c r="P3" s="705" t="s">
        <v>36</v>
      </c>
      <c r="Q3" s="920" t="s">
        <v>37</v>
      </c>
      <c r="R3" s="920" t="s">
        <v>38</v>
      </c>
      <c r="S3" s="922" t="s">
        <v>39</v>
      </c>
      <c r="T3" s="923"/>
      <c r="U3" s="923"/>
      <c r="V3" s="924"/>
      <c r="W3" s="925" t="s">
        <v>40</v>
      </c>
      <c r="X3" s="925"/>
      <c r="Y3" s="925"/>
      <c r="Z3" s="926" t="s">
        <v>41</v>
      </c>
      <c r="AB3" s="418" t="s">
        <v>1390</v>
      </c>
      <c r="AC3" s="418"/>
    </row>
    <row r="4" spans="1:31" s="417" customFormat="1" ht="57" customHeight="1">
      <c r="B4" s="11"/>
      <c r="C4" s="706"/>
      <c r="D4" s="921"/>
      <c r="E4" s="921"/>
      <c r="F4" s="707" t="s">
        <v>42</v>
      </c>
      <c r="G4" s="707" t="s">
        <v>43</v>
      </c>
      <c r="H4" s="707" t="s">
        <v>44</v>
      </c>
      <c r="I4" s="708" t="s">
        <v>45</v>
      </c>
      <c r="J4" s="708" t="s">
        <v>46</v>
      </c>
      <c r="K4" s="12" t="s">
        <v>47</v>
      </c>
      <c r="L4" s="12" t="s">
        <v>7</v>
      </c>
      <c r="M4" s="927"/>
      <c r="O4" s="11"/>
      <c r="P4" s="706"/>
      <c r="Q4" s="921"/>
      <c r="R4" s="921"/>
      <c r="S4" s="707" t="s">
        <v>42</v>
      </c>
      <c r="T4" s="707" t="s">
        <v>43</v>
      </c>
      <c r="U4" s="707" t="s">
        <v>44</v>
      </c>
      <c r="V4" s="708" t="s">
        <v>45</v>
      </c>
      <c r="W4" s="708" t="s">
        <v>46</v>
      </c>
      <c r="X4" s="12" t="s">
        <v>47</v>
      </c>
      <c r="Y4" s="12" t="s">
        <v>7</v>
      </c>
      <c r="Z4" s="927"/>
      <c r="AB4" s="418" t="s">
        <v>1387</v>
      </c>
      <c r="AC4" s="418" t="s">
        <v>2</v>
      </c>
      <c r="AD4" s="418" t="s">
        <v>1388</v>
      </c>
      <c r="AE4" s="418" t="s">
        <v>1389</v>
      </c>
    </row>
    <row r="5" spans="1:31" s="418" customFormat="1" ht="12.75">
      <c r="B5" s="10"/>
      <c r="C5" s="397"/>
      <c r="D5" s="398" t="s">
        <v>48</v>
      </c>
      <c r="E5" s="398" t="s">
        <v>48</v>
      </c>
      <c r="F5" s="398" t="s">
        <v>48</v>
      </c>
      <c r="G5" s="398" t="s">
        <v>48</v>
      </c>
      <c r="H5" s="398" t="s">
        <v>48</v>
      </c>
      <c r="I5" s="398" t="s">
        <v>48</v>
      </c>
      <c r="J5" s="398" t="s">
        <v>48</v>
      </c>
      <c r="K5" s="399" t="s">
        <v>48</v>
      </c>
      <c r="L5" s="399" t="s">
        <v>48</v>
      </c>
      <c r="M5" s="13" t="s">
        <v>48</v>
      </c>
      <c r="O5" s="10"/>
      <c r="P5" s="397"/>
      <c r="Q5" s="398" t="s">
        <v>48</v>
      </c>
      <c r="R5" s="398" t="s">
        <v>48</v>
      </c>
      <c r="S5" s="398" t="s">
        <v>48</v>
      </c>
      <c r="T5" s="398" t="s">
        <v>48</v>
      </c>
      <c r="U5" s="398" t="s">
        <v>48</v>
      </c>
      <c r="V5" s="398" t="s">
        <v>48</v>
      </c>
      <c r="W5" s="398" t="s">
        <v>48</v>
      </c>
      <c r="X5" s="399" t="s">
        <v>48</v>
      </c>
      <c r="Y5" s="399" t="s">
        <v>48</v>
      </c>
      <c r="Z5" s="13" t="s">
        <v>48</v>
      </c>
      <c r="AB5" s="418" t="s">
        <v>48</v>
      </c>
      <c r="AC5" s="418" t="s">
        <v>48</v>
      </c>
      <c r="AD5" s="418" t="s">
        <v>48</v>
      </c>
      <c r="AE5" s="418" t="s">
        <v>48</v>
      </c>
    </row>
    <row r="6" spans="1:31" s="417" customFormat="1" ht="12.75">
      <c r="A6" s="417" t="s">
        <v>14</v>
      </c>
      <c r="B6" s="11">
        <v>1</v>
      </c>
      <c r="C6" s="400" t="s">
        <v>49</v>
      </c>
      <c r="D6" s="401">
        <v>162.11000000000001</v>
      </c>
      <c r="E6" s="402">
        <v>4092.45</v>
      </c>
      <c r="F6" s="401">
        <v>378.2</v>
      </c>
      <c r="G6" s="401">
        <v>98.98</v>
      </c>
      <c r="H6" s="402">
        <v>23.16</v>
      </c>
      <c r="I6" s="402">
        <f>F6+G6+H6</f>
        <v>500.34000000000003</v>
      </c>
      <c r="J6" s="402">
        <v>3521.99</v>
      </c>
      <c r="K6" s="404">
        <v>88.03</v>
      </c>
      <c r="L6" s="404">
        <f t="shared" ref="L6:L41" si="0">J6+K6</f>
        <v>3610.02</v>
      </c>
      <c r="M6" s="14">
        <f t="shared" ref="M6:M42" si="1">D6+E6+I6+J6+K6</f>
        <v>8364.92</v>
      </c>
      <c r="N6" s="417" t="str">
        <f>A6</f>
        <v>AP</v>
      </c>
      <c r="O6" s="11">
        <v>1</v>
      </c>
      <c r="P6" s="400" t="s">
        <v>49</v>
      </c>
      <c r="Q6" s="401">
        <v>162.11000000000001</v>
      </c>
      <c r="R6" s="402">
        <v>4096.6499999999996</v>
      </c>
      <c r="S6" s="401">
        <v>378.1</v>
      </c>
      <c r="T6" s="401">
        <v>105.57</v>
      </c>
      <c r="U6" s="402">
        <v>23.16</v>
      </c>
      <c r="V6" s="402">
        <v>506.83000000000004</v>
      </c>
      <c r="W6" s="402">
        <v>3858.24</v>
      </c>
      <c r="X6" s="403">
        <v>138.26</v>
      </c>
      <c r="Y6" s="404">
        <v>3996.5</v>
      </c>
      <c r="Z6" s="14">
        <v>8762.0899999999983</v>
      </c>
      <c r="AA6" s="417" t="str">
        <f>N6</f>
        <v>AP</v>
      </c>
      <c r="AB6" s="419">
        <f>R6-E6</f>
        <v>4.1999999999998181</v>
      </c>
      <c r="AC6" s="419">
        <f>Y6-L6</f>
        <v>386.48</v>
      </c>
      <c r="AD6" s="419">
        <f>V6-I6</f>
        <v>6.4900000000000091</v>
      </c>
      <c r="AE6" s="419">
        <f>Q6-D6</f>
        <v>0</v>
      </c>
    </row>
    <row r="7" spans="1:31" s="417" customFormat="1" ht="12.75">
      <c r="A7" s="417" t="s">
        <v>90</v>
      </c>
      <c r="B7" s="11">
        <v>2</v>
      </c>
      <c r="C7" s="400" t="s">
        <v>50</v>
      </c>
      <c r="D7" s="405">
        <v>131.10499999999999</v>
      </c>
      <c r="E7" s="402"/>
      <c r="F7" s="401"/>
      <c r="G7" s="401"/>
      <c r="H7" s="402"/>
      <c r="I7" s="402"/>
      <c r="J7" s="402">
        <v>1.27</v>
      </c>
      <c r="K7" s="404">
        <v>4.34</v>
      </c>
      <c r="L7" s="404">
        <f t="shared" si="0"/>
        <v>5.6099999999999994</v>
      </c>
      <c r="M7" s="14">
        <f t="shared" si="1"/>
        <v>136.715</v>
      </c>
      <c r="N7" s="417" t="str">
        <f t="shared" ref="N7:N44" si="2">A7</f>
        <v>NE</v>
      </c>
      <c r="O7" s="11">
        <v>2</v>
      </c>
      <c r="P7" s="400" t="s">
        <v>50</v>
      </c>
      <c r="Q7" s="405">
        <v>131.10499999999999</v>
      </c>
      <c r="R7" s="402"/>
      <c r="S7" s="401"/>
      <c r="T7" s="401"/>
      <c r="U7" s="402"/>
      <c r="V7" s="402">
        <v>0</v>
      </c>
      <c r="W7" s="402">
        <v>1.27</v>
      </c>
      <c r="X7" s="403">
        <v>4.34</v>
      </c>
      <c r="Y7" s="404">
        <v>5.6099999999999994</v>
      </c>
      <c r="Z7" s="14">
        <v>136.715</v>
      </c>
      <c r="AA7" s="417" t="str">
        <f t="shared" ref="AA7:AA44" si="3">N7</f>
        <v>NE</v>
      </c>
      <c r="AB7" s="419">
        <f t="shared" ref="AB7:AB42" si="4">R7-E7</f>
        <v>0</v>
      </c>
      <c r="AC7" s="419">
        <f t="shared" ref="AC7:AC42" si="5">Y7-L7</f>
        <v>0</v>
      </c>
      <c r="AD7" s="419">
        <f t="shared" ref="AD7:AD42" si="6">V7-I7</f>
        <v>0</v>
      </c>
      <c r="AE7" s="419">
        <f t="shared" ref="AE7:AE42" si="7">Q7-D7</f>
        <v>0</v>
      </c>
    </row>
    <row r="8" spans="1:31" s="417" customFormat="1" ht="12.75">
      <c r="A8" s="417" t="s">
        <v>29</v>
      </c>
      <c r="B8" s="11">
        <v>3</v>
      </c>
      <c r="C8" s="400" t="s">
        <v>51</v>
      </c>
      <c r="D8" s="401">
        <v>34.11</v>
      </c>
      <c r="E8" s="402"/>
      <c r="F8" s="401"/>
      <c r="G8" s="401"/>
      <c r="H8" s="402"/>
      <c r="I8" s="402"/>
      <c r="J8" s="402">
        <v>10.67</v>
      </c>
      <c r="K8" s="404">
        <v>30.56</v>
      </c>
      <c r="L8" s="404">
        <f t="shared" si="0"/>
        <v>41.23</v>
      </c>
      <c r="M8" s="14">
        <f t="shared" si="1"/>
        <v>75.34</v>
      </c>
      <c r="N8" s="417" t="str">
        <f t="shared" si="2"/>
        <v>AS</v>
      </c>
      <c r="O8" s="11">
        <v>3</v>
      </c>
      <c r="P8" s="400" t="s">
        <v>51</v>
      </c>
      <c r="Q8" s="401">
        <v>34.11</v>
      </c>
      <c r="R8" s="402"/>
      <c r="S8" s="401"/>
      <c r="T8" s="401">
        <v>2</v>
      </c>
      <c r="U8" s="402"/>
      <c r="V8" s="402">
        <v>2</v>
      </c>
      <c r="W8" s="402">
        <v>10.67</v>
      </c>
      <c r="X8" s="403">
        <v>32.32</v>
      </c>
      <c r="Y8" s="404">
        <v>42.99</v>
      </c>
      <c r="Z8" s="14">
        <v>79.099999999999994</v>
      </c>
      <c r="AA8" s="417" t="str">
        <f t="shared" si="3"/>
        <v>AS</v>
      </c>
      <c r="AB8" s="419">
        <f t="shared" si="4"/>
        <v>0</v>
      </c>
      <c r="AC8" s="419">
        <f t="shared" si="5"/>
        <v>1.7600000000000051</v>
      </c>
      <c r="AD8" s="419">
        <f t="shared" si="6"/>
        <v>2</v>
      </c>
      <c r="AE8" s="419">
        <f t="shared" si="7"/>
        <v>0</v>
      </c>
    </row>
    <row r="9" spans="1:31" s="417" customFormat="1" ht="12.75">
      <c r="A9" s="417" t="s">
        <v>19</v>
      </c>
      <c r="B9" s="11">
        <v>4</v>
      </c>
      <c r="C9" s="400" t="s">
        <v>52</v>
      </c>
      <c r="D9" s="401">
        <v>70.7</v>
      </c>
      <c r="E9" s="402"/>
      <c r="F9" s="401">
        <v>113</v>
      </c>
      <c r="G9" s="401">
        <v>8.1999999999999993</v>
      </c>
      <c r="H9" s="402"/>
      <c r="I9" s="402">
        <f t="shared" ref="I9:I14" si="8">F9+G9+H9</f>
        <v>121.2</v>
      </c>
      <c r="J9" s="402">
        <v>138.93</v>
      </c>
      <c r="K9" s="404">
        <v>12.64</v>
      </c>
      <c r="L9" s="404">
        <f t="shared" si="0"/>
        <v>151.57</v>
      </c>
      <c r="M9" s="14">
        <f t="shared" si="1"/>
        <v>343.47</v>
      </c>
      <c r="N9" s="417" t="str">
        <f t="shared" si="2"/>
        <v>BR</v>
      </c>
      <c r="O9" s="11">
        <v>4</v>
      </c>
      <c r="P9" s="400" t="s">
        <v>52</v>
      </c>
      <c r="Q9" s="401">
        <v>70.7</v>
      </c>
      <c r="R9" s="402"/>
      <c r="S9" s="401">
        <v>112.5</v>
      </c>
      <c r="T9" s="401">
        <v>12.2</v>
      </c>
      <c r="U9" s="402"/>
      <c r="V9" s="402">
        <v>124.7</v>
      </c>
      <c r="W9" s="402">
        <v>138.93</v>
      </c>
      <c r="X9" s="403">
        <v>20.58</v>
      </c>
      <c r="Y9" s="404">
        <v>159.51</v>
      </c>
      <c r="Z9" s="14">
        <v>354.91</v>
      </c>
      <c r="AA9" s="417" t="str">
        <f t="shared" si="3"/>
        <v>BR</v>
      </c>
      <c r="AB9" s="419">
        <f t="shared" si="4"/>
        <v>0</v>
      </c>
      <c r="AC9" s="419">
        <f t="shared" si="5"/>
        <v>7.9399999999999977</v>
      </c>
      <c r="AD9" s="419">
        <f t="shared" si="6"/>
        <v>3.5</v>
      </c>
      <c r="AE9" s="419">
        <f t="shared" si="7"/>
        <v>0</v>
      </c>
    </row>
    <row r="10" spans="1:31" s="417" customFormat="1" ht="12.75">
      <c r="A10" s="417" t="s">
        <v>18</v>
      </c>
      <c r="B10" s="11">
        <v>5</v>
      </c>
      <c r="C10" s="400" t="s">
        <v>53</v>
      </c>
      <c r="D10" s="401">
        <v>76</v>
      </c>
      <c r="E10" s="402"/>
      <c r="F10" s="401">
        <v>242</v>
      </c>
      <c r="G10" s="401">
        <v>2.5</v>
      </c>
      <c r="H10" s="402"/>
      <c r="I10" s="402">
        <f t="shared" si="8"/>
        <v>244.5</v>
      </c>
      <c r="J10" s="402">
        <v>215.83</v>
      </c>
      <c r="K10" s="404">
        <v>15.52</v>
      </c>
      <c r="L10" s="404">
        <f t="shared" si="0"/>
        <v>231.35000000000002</v>
      </c>
      <c r="M10" s="14">
        <f t="shared" si="1"/>
        <v>551.85</v>
      </c>
      <c r="N10" s="417" t="str">
        <f t="shared" si="2"/>
        <v>CG</v>
      </c>
      <c r="O10" s="11">
        <v>5</v>
      </c>
      <c r="P10" s="400" t="s">
        <v>53</v>
      </c>
      <c r="Q10" s="401">
        <v>76</v>
      </c>
      <c r="R10" s="402"/>
      <c r="S10" s="401">
        <v>242.4</v>
      </c>
      <c r="T10" s="401">
        <v>2.5</v>
      </c>
      <c r="U10" s="402"/>
      <c r="V10" s="402">
        <v>244.9</v>
      </c>
      <c r="W10" s="402">
        <v>222.64</v>
      </c>
      <c r="X10" s="403">
        <v>29.84</v>
      </c>
      <c r="Y10" s="404">
        <v>252.48</v>
      </c>
      <c r="Z10" s="14">
        <v>573.38</v>
      </c>
      <c r="AA10" s="417" t="str">
        <f t="shared" si="3"/>
        <v>CG</v>
      </c>
      <c r="AB10" s="419">
        <f t="shared" si="4"/>
        <v>0</v>
      </c>
      <c r="AC10" s="419">
        <f t="shared" si="5"/>
        <v>21.129999999999967</v>
      </c>
      <c r="AD10" s="419">
        <f t="shared" si="6"/>
        <v>0.40000000000000568</v>
      </c>
      <c r="AE10" s="419">
        <f t="shared" si="7"/>
        <v>0</v>
      </c>
    </row>
    <row r="11" spans="1:31" s="417" customFormat="1" ht="12.75">
      <c r="A11" s="417" t="s">
        <v>91</v>
      </c>
      <c r="B11" s="11">
        <v>6</v>
      </c>
      <c r="C11" s="400" t="s">
        <v>54</v>
      </c>
      <c r="D11" s="401">
        <v>0.05</v>
      </c>
      <c r="E11" s="402"/>
      <c r="F11" s="401"/>
      <c r="G11" s="401"/>
      <c r="H11" s="402">
        <v>0.34</v>
      </c>
      <c r="I11" s="402">
        <f t="shared" si="8"/>
        <v>0.34</v>
      </c>
      <c r="J11" s="402">
        <v>0.95</v>
      </c>
      <c r="K11" s="404">
        <v>3.83</v>
      </c>
      <c r="L11" s="404">
        <f t="shared" si="0"/>
        <v>4.78</v>
      </c>
      <c r="M11" s="14">
        <f t="shared" si="1"/>
        <v>5.17</v>
      </c>
      <c r="N11" s="417" t="str">
        <f t="shared" si="2"/>
        <v>GA</v>
      </c>
      <c r="O11" s="11">
        <v>6</v>
      </c>
      <c r="P11" s="400" t="s">
        <v>54</v>
      </c>
      <c r="Q11" s="401">
        <v>0.05</v>
      </c>
      <c r="R11" s="402"/>
      <c r="S11" s="401"/>
      <c r="T11" s="401"/>
      <c r="U11" s="402">
        <v>0.34</v>
      </c>
      <c r="V11" s="402">
        <v>0.34</v>
      </c>
      <c r="W11" s="402">
        <v>0.95</v>
      </c>
      <c r="X11" s="403">
        <v>6.49</v>
      </c>
      <c r="Y11" s="404">
        <v>7.44</v>
      </c>
      <c r="Z11" s="14">
        <v>7.83</v>
      </c>
      <c r="AA11" s="417" t="str">
        <f t="shared" si="3"/>
        <v>GA</v>
      </c>
      <c r="AB11" s="419">
        <f t="shared" si="4"/>
        <v>0</v>
      </c>
      <c r="AC11" s="419">
        <f t="shared" si="5"/>
        <v>2.66</v>
      </c>
      <c r="AD11" s="419">
        <f t="shared" si="6"/>
        <v>0</v>
      </c>
      <c r="AE11" s="419">
        <f t="shared" si="7"/>
        <v>0</v>
      </c>
    </row>
    <row r="12" spans="1:31" s="417" customFormat="1" ht="12.75">
      <c r="A12" s="417" t="s">
        <v>8</v>
      </c>
      <c r="B12" s="11">
        <v>7</v>
      </c>
      <c r="C12" s="400" t="s">
        <v>55</v>
      </c>
      <c r="D12" s="401">
        <v>68.95</v>
      </c>
      <c r="E12" s="402">
        <v>7541.52</v>
      </c>
      <c r="F12" s="401">
        <v>65.3</v>
      </c>
      <c r="G12" s="401">
        <v>12</v>
      </c>
      <c r="H12" s="402"/>
      <c r="I12" s="402">
        <f t="shared" si="8"/>
        <v>77.3</v>
      </c>
      <c r="J12" s="400">
        <v>2426.44</v>
      </c>
      <c r="K12" s="709">
        <v>521.92999999999995</v>
      </c>
      <c r="L12" s="404">
        <f t="shared" si="0"/>
        <v>2948.37</v>
      </c>
      <c r="M12" s="14">
        <f t="shared" si="1"/>
        <v>10636.140000000001</v>
      </c>
      <c r="N12" s="417" t="str">
        <f t="shared" si="2"/>
        <v>GJ</v>
      </c>
      <c r="O12" s="11">
        <v>7</v>
      </c>
      <c r="P12" s="400" t="s">
        <v>55</v>
      </c>
      <c r="Q12" s="401">
        <v>78.94</v>
      </c>
      <c r="R12" s="402">
        <v>8306.42</v>
      </c>
      <c r="S12" s="401">
        <v>65.3</v>
      </c>
      <c r="T12" s="401">
        <v>12</v>
      </c>
      <c r="U12" s="402"/>
      <c r="V12" s="402">
        <v>77.3</v>
      </c>
      <c r="W12" s="400">
        <v>3125.17</v>
      </c>
      <c r="X12" s="403">
        <v>943.13</v>
      </c>
      <c r="Y12" s="404">
        <v>4068.3</v>
      </c>
      <c r="Z12" s="14">
        <v>12530.96</v>
      </c>
      <c r="AA12" s="417" t="str">
        <f t="shared" si="3"/>
        <v>GJ</v>
      </c>
      <c r="AB12" s="419">
        <f t="shared" si="4"/>
        <v>764.89999999999964</v>
      </c>
      <c r="AC12" s="419">
        <f t="shared" si="5"/>
        <v>1119.9300000000003</v>
      </c>
      <c r="AD12" s="419">
        <f t="shared" si="6"/>
        <v>0</v>
      </c>
      <c r="AE12" s="419">
        <f t="shared" si="7"/>
        <v>9.9899999999999949</v>
      </c>
    </row>
    <row r="13" spans="1:31" s="417" customFormat="1" ht="12.75">
      <c r="A13" s="417" t="s">
        <v>5</v>
      </c>
      <c r="B13" s="11">
        <v>8</v>
      </c>
      <c r="C13" s="400" t="s">
        <v>56</v>
      </c>
      <c r="D13" s="401">
        <v>73.5</v>
      </c>
      <c r="E13" s="402"/>
      <c r="F13" s="401">
        <v>121.4</v>
      </c>
      <c r="G13" s="401">
        <v>84.26</v>
      </c>
      <c r="H13" s="402"/>
      <c r="I13" s="402">
        <f t="shared" si="8"/>
        <v>205.66000000000003</v>
      </c>
      <c r="J13" s="402">
        <v>130.80000000000001</v>
      </c>
      <c r="K13" s="404">
        <v>121.34</v>
      </c>
      <c r="L13" s="404">
        <f t="shared" si="0"/>
        <v>252.14000000000001</v>
      </c>
      <c r="M13" s="14">
        <f t="shared" si="1"/>
        <v>531.30000000000007</v>
      </c>
      <c r="N13" s="417" t="str">
        <f t="shared" si="2"/>
        <v>HR</v>
      </c>
      <c r="O13" s="11">
        <v>8</v>
      </c>
      <c r="P13" s="400" t="s">
        <v>56</v>
      </c>
      <c r="Q13" s="401">
        <v>73.5</v>
      </c>
      <c r="R13" s="402"/>
      <c r="S13" s="401">
        <v>121.4</v>
      </c>
      <c r="T13" s="401">
        <v>89.26</v>
      </c>
      <c r="U13" s="402">
        <v>1.2</v>
      </c>
      <c r="V13" s="402">
        <v>211.86</v>
      </c>
      <c r="W13" s="402">
        <v>130.80000000000001</v>
      </c>
      <c r="X13" s="403">
        <v>277.02999999999997</v>
      </c>
      <c r="Y13" s="404">
        <v>407.83</v>
      </c>
      <c r="Z13" s="14">
        <v>693.19</v>
      </c>
      <c r="AA13" s="417" t="str">
        <f t="shared" si="3"/>
        <v>HR</v>
      </c>
      <c r="AB13" s="419">
        <f t="shared" si="4"/>
        <v>0</v>
      </c>
      <c r="AC13" s="419">
        <f t="shared" si="5"/>
        <v>155.68999999999997</v>
      </c>
      <c r="AD13" s="419">
        <f t="shared" si="6"/>
        <v>6.1999999999999886</v>
      </c>
      <c r="AE13" s="419">
        <f t="shared" si="7"/>
        <v>0</v>
      </c>
    </row>
    <row r="14" spans="1:31" s="417" customFormat="1" ht="12.75">
      <c r="A14" s="417" t="s">
        <v>88</v>
      </c>
      <c r="B14" s="11">
        <v>9</v>
      </c>
      <c r="C14" s="400" t="s">
        <v>57</v>
      </c>
      <c r="D14" s="401">
        <v>911.51</v>
      </c>
      <c r="E14" s="402"/>
      <c r="F14" s="401"/>
      <c r="G14" s="401">
        <v>7.2</v>
      </c>
      <c r="H14" s="402"/>
      <c r="I14" s="402">
        <f t="shared" si="8"/>
        <v>7.2</v>
      </c>
      <c r="J14" s="402">
        <v>17</v>
      </c>
      <c r="K14" s="404">
        <v>15.93</v>
      </c>
      <c r="L14" s="404">
        <f t="shared" si="0"/>
        <v>32.93</v>
      </c>
      <c r="M14" s="14">
        <f t="shared" si="1"/>
        <v>951.64</v>
      </c>
      <c r="N14" s="417" t="str">
        <f t="shared" si="2"/>
        <v>HP</v>
      </c>
      <c r="O14" s="11">
        <v>9</v>
      </c>
      <c r="P14" s="400" t="s">
        <v>57</v>
      </c>
      <c r="Q14" s="401">
        <v>936.11</v>
      </c>
      <c r="R14" s="402"/>
      <c r="S14" s="401"/>
      <c r="T14" s="401">
        <v>9.1999999999999993</v>
      </c>
      <c r="U14" s="402"/>
      <c r="V14" s="402">
        <v>9.1999999999999993</v>
      </c>
      <c r="W14" s="402">
        <v>24</v>
      </c>
      <c r="X14" s="403">
        <v>18.73</v>
      </c>
      <c r="Y14" s="404">
        <v>42.730000000000004</v>
      </c>
      <c r="Z14" s="14">
        <v>988.04000000000008</v>
      </c>
      <c r="AA14" s="417" t="str">
        <f t="shared" si="3"/>
        <v>HP</v>
      </c>
      <c r="AB14" s="419">
        <f t="shared" si="4"/>
        <v>0</v>
      </c>
      <c r="AC14" s="419">
        <f t="shared" si="5"/>
        <v>9.8000000000000043</v>
      </c>
      <c r="AD14" s="419">
        <f t="shared" si="6"/>
        <v>1.9999999999999991</v>
      </c>
      <c r="AE14" s="419">
        <f t="shared" si="7"/>
        <v>24.600000000000023</v>
      </c>
    </row>
    <row r="15" spans="1:31" s="417" customFormat="1" ht="12.75">
      <c r="A15" s="417" t="s">
        <v>89</v>
      </c>
      <c r="B15" s="11">
        <v>10</v>
      </c>
      <c r="C15" s="400" t="s">
        <v>58</v>
      </c>
      <c r="D15" s="401">
        <v>180.48</v>
      </c>
      <c r="E15" s="402"/>
      <c r="F15" s="401"/>
      <c r="G15" s="401"/>
      <c r="H15" s="402"/>
      <c r="I15" s="402"/>
      <c r="J15" s="402">
        <v>8.49</v>
      </c>
      <c r="K15" s="404">
        <v>10.81</v>
      </c>
      <c r="L15" s="404">
        <f t="shared" si="0"/>
        <v>19.3</v>
      </c>
      <c r="M15" s="14">
        <f t="shared" si="1"/>
        <v>199.78</v>
      </c>
      <c r="N15" s="417" t="str">
        <f t="shared" si="2"/>
        <v>JK</v>
      </c>
      <c r="O15" s="11">
        <v>10</v>
      </c>
      <c r="P15" s="400" t="s">
        <v>58</v>
      </c>
      <c r="Q15" s="401">
        <v>185.98</v>
      </c>
      <c r="R15" s="402"/>
      <c r="S15" s="401"/>
      <c r="T15" s="401"/>
      <c r="U15" s="402"/>
      <c r="V15" s="402"/>
      <c r="W15" s="402">
        <v>8.49</v>
      </c>
      <c r="X15" s="403">
        <v>12.24</v>
      </c>
      <c r="Y15" s="404">
        <v>20.73</v>
      </c>
      <c r="Z15" s="14">
        <v>206.71</v>
      </c>
      <c r="AA15" s="417" t="str">
        <f t="shared" si="3"/>
        <v>JK</v>
      </c>
      <c r="AB15" s="419">
        <f t="shared" si="4"/>
        <v>0</v>
      </c>
      <c r="AC15" s="419">
        <f t="shared" si="5"/>
        <v>1.4299999999999997</v>
      </c>
      <c r="AD15" s="419">
        <f t="shared" si="6"/>
        <v>0</v>
      </c>
      <c r="AE15" s="419">
        <f t="shared" si="7"/>
        <v>5.5</v>
      </c>
    </row>
    <row r="16" spans="1:31" s="417" customFormat="1" ht="12.75">
      <c r="A16" s="417" t="s">
        <v>20</v>
      </c>
      <c r="B16" s="11">
        <v>11</v>
      </c>
      <c r="C16" s="400" t="s">
        <v>59</v>
      </c>
      <c r="D16" s="401">
        <v>4.05</v>
      </c>
      <c r="E16" s="402"/>
      <c r="F16" s="401"/>
      <c r="G16" s="401">
        <v>4.3</v>
      </c>
      <c r="H16" s="402"/>
      <c r="I16" s="402">
        <f>F16+G16+H16</f>
        <v>4.3</v>
      </c>
      <c r="J16" s="402">
        <v>19.05</v>
      </c>
      <c r="K16" s="404">
        <v>19.350000000000001</v>
      </c>
      <c r="L16" s="404">
        <f t="shared" si="0"/>
        <v>38.400000000000006</v>
      </c>
      <c r="M16" s="14">
        <f t="shared" si="1"/>
        <v>46.75</v>
      </c>
      <c r="N16" s="417" t="str">
        <f t="shared" si="2"/>
        <v>JH</v>
      </c>
      <c r="O16" s="11">
        <v>11</v>
      </c>
      <c r="P16" s="400" t="s">
        <v>59</v>
      </c>
      <c r="Q16" s="401">
        <v>4.05</v>
      </c>
      <c r="R16" s="402"/>
      <c r="S16" s="401"/>
      <c r="T16" s="401">
        <v>4.3</v>
      </c>
      <c r="U16" s="402"/>
      <c r="V16" s="402">
        <v>4.3</v>
      </c>
      <c r="W16" s="402">
        <v>19.05</v>
      </c>
      <c r="X16" s="403">
        <v>29.58</v>
      </c>
      <c r="Y16" s="404">
        <v>48.629999999999995</v>
      </c>
      <c r="Z16" s="14">
        <v>56.98</v>
      </c>
      <c r="AA16" s="417" t="str">
        <f t="shared" si="3"/>
        <v>JH</v>
      </c>
      <c r="AB16" s="419">
        <f t="shared" si="4"/>
        <v>0</v>
      </c>
      <c r="AC16" s="419">
        <f t="shared" si="5"/>
        <v>10.22999999999999</v>
      </c>
      <c r="AD16" s="419">
        <f t="shared" si="6"/>
        <v>0</v>
      </c>
      <c r="AE16" s="419">
        <f t="shared" si="7"/>
        <v>0</v>
      </c>
    </row>
    <row r="17" spans="1:31" s="417" customFormat="1" ht="12.75">
      <c r="A17" s="417" t="s">
        <v>11</v>
      </c>
      <c r="B17" s="11">
        <v>12</v>
      </c>
      <c r="C17" s="400" t="s">
        <v>60</v>
      </c>
      <c r="D17" s="401">
        <v>1280.73</v>
      </c>
      <c r="E17" s="402">
        <v>4790.6000000000004</v>
      </c>
      <c r="F17" s="401">
        <v>1866.6</v>
      </c>
      <c r="G17" s="401">
        <v>15.2</v>
      </c>
      <c r="H17" s="402">
        <v>1</v>
      </c>
      <c r="I17" s="402">
        <f>F17+G17+H17</f>
        <v>1882.8</v>
      </c>
      <c r="J17" s="400">
        <v>7045.16</v>
      </c>
      <c r="K17" s="709">
        <v>232.77</v>
      </c>
      <c r="L17" s="404">
        <f t="shared" si="0"/>
        <v>7277.93</v>
      </c>
      <c r="M17" s="14">
        <f t="shared" si="1"/>
        <v>15232.060000000001</v>
      </c>
      <c r="N17" s="417" t="str">
        <f t="shared" si="2"/>
        <v>KA</v>
      </c>
      <c r="O17" s="11">
        <v>12</v>
      </c>
      <c r="P17" s="400" t="s">
        <v>60</v>
      </c>
      <c r="Q17" s="401">
        <v>1280.73</v>
      </c>
      <c r="R17" s="402">
        <v>4912.6000000000004</v>
      </c>
      <c r="S17" s="401">
        <v>1867.1</v>
      </c>
      <c r="T17" s="401">
        <v>20.2</v>
      </c>
      <c r="U17" s="402">
        <v>1</v>
      </c>
      <c r="V17" s="402">
        <v>1888.3</v>
      </c>
      <c r="W17" s="400">
        <v>7091.75</v>
      </c>
      <c r="X17" s="403">
        <v>255.1</v>
      </c>
      <c r="Y17" s="404">
        <v>7346.85</v>
      </c>
      <c r="Z17" s="14">
        <v>15428.480000000001</v>
      </c>
      <c r="AA17" s="417" t="str">
        <f t="shared" si="3"/>
        <v>KA</v>
      </c>
      <c r="AB17" s="419">
        <f t="shared" si="4"/>
        <v>122</v>
      </c>
      <c r="AC17" s="419">
        <f t="shared" si="5"/>
        <v>68.920000000000073</v>
      </c>
      <c r="AD17" s="419">
        <f t="shared" si="6"/>
        <v>5.5</v>
      </c>
      <c r="AE17" s="419">
        <f t="shared" si="7"/>
        <v>0</v>
      </c>
    </row>
    <row r="18" spans="1:31" s="417" customFormat="1" ht="12.75">
      <c r="A18" s="417" t="s">
        <v>12</v>
      </c>
      <c r="B18" s="11">
        <v>13</v>
      </c>
      <c r="C18" s="400" t="s">
        <v>61</v>
      </c>
      <c r="D18" s="401">
        <v>222.02</v>
      </c>
      <c r="E18" s="402">
        <v>62.5</v>
      </c>
      <c r="F18" s="401"/>
      <c r="G18" s="401">
        <v>0.72</v>
      </c>
      <c r="H18" s="402"/>
      <c r="I18" s="402">
        <f>F18+G18+H18</f>
        <v>0.72</v>
      </c>
      <c r="J18" s="406">
        <v>100</v>
      </c>
      <c r="K18" s="709">
        <v>42.23</v>
      </c>
      <c r="L18" s="404">
        <f t="shared" si="0"/>
        <v>142.22999999999999</v>
      </c>
      <c r="M18" s="14">
        <f t="shared" si="1"/>
        <v>427.47</v>
      </c>
      <c r="N18" s="417" t="str">
        <f t="shared" si="2"/>
        <v>KL</v>
      </c>
      <c r="O18" s="11">
        <v>13</v>
      </c>
      <c r="P18" s="400" t="s">
        <v>61</v>
      </c>
      <c r="Q18" s="401">
        <v>230.02</v>
      </c>
      <c r="R18" s="402">
        <v>62.5</v>
      </c>
      <c r="S18" s="401"/>
      <c r="T18" s="401">
        <v>2.27</v>
      </c>
      <c r="U18" s="402"/>
      <c r="V18" s="402">
        <v>2.27</v>
      </c>
      <c r="W18" s="406">
        <v>150</v>
      </c>
      <c r="X18" s="403">
        <v>107</v>
      </c>
      <c r="Y18" s="404">
        <v>257</v>
      </c>
      <c r="Z18" s="14">
        <v>551.79</v>
      </c>
      <c r="AA18" s="417" t="str">
        <f t="shared" si="3"/>
        <v>KL</v>
      </c>
      <c r="AB18" s="419">
        <f t="shared" si="4"/>
        <v>0</v>
      </c>
      <c r="AC18" s="419">
        <f t="shared" si="5"/>
        <v>114.77000000000001</v>
      </c>
      <c r="AD18" s="419">
        <f t="shared" si="6"/>
        <v>1.55</v>
      </c>
      <c r="AE18" s="419">
        <f t="shared" si="7"/>
        <v>8</v>
      </c>
    </row>
    <row r="19" spans="1:31" s="417" customFormat="1" ht="12.75">
      <c r="A19" s="417" t="s">
        <v>9</v>
      </c>
      <c r="B19" s="11">
        <v>14</v>
      </c>
      <c r="C19" s="400" t="s">
        <v>62</v>
      </c>
      <c r="D19" s="401">
        <v>95.91</v>
      </c>
      <c r="E19" s="402">
        <v>2519.89</v>
      </c>
      <c r="F19" s="401">
        <v>93</v>
      </c>
      <c r="G19" s="401">
        <v>12.35</v>
      </c>
      <c r="H19" s="402">
        <v>15.4</v>
      </c>
      <c r="I19" s="402">
        <f>F19+G19+H19</f>
        <v>120.75</v>
      </c>
      <c r="J19" s="400">
        <v>2208.48</v>
      </c>
      <c r="K19" s="709">
        <v>49.98</v>
      </c>
      <c r="L19" s="404">
        <f t="shared" si="0"/>
        <v>2258.46</v>
      </c>
      <c r="M19" s="14">
        <f t="shared" si="1"/>
        <v>4995.0099999999993</v>
      </c>
      <c r="N19" s="417" t="str">
        <f t="shared" si="2"/>
        <v>MP</v>
      </c>
      <c r="O19" s="11">
        <v>14</v>
      </c>
      <c r="P19" s="400" t="s">
        <v>62</v>
      </c>
      <c r="Q19" s="401">
        <v>99.71</v>
      </c>
      <c r="R19" s="402">
        <v>2519.89</v>
      </c>
      <c r="S19" s="401">
        <v>92.5</v>
      </c>
      <c r="T19" s="401">
        <v>14.85</v>
      </c>
      <c r="U19" s="402">
        <v>15.4</v>
      </c>
      <c r="V19" s="402">
        <v>122.75</v>
      </c>
      <c r="W19" s="400">
        <v>2386.31</v>
      </c>
      <c r="X19" s="403">
        <v>76.91</v>
      </c>
      <c r="Y19" s="404">
        <v>2463.2199999999998</v>
      </c>
      <c r="Z19" s="14">
        <v>5205.57</v>
      </c>
      <c r="AA19" s="417" t="str">
        <f t="shared" si="3"/>
        <v>MP</v>
      </c>
      <c r="AB19" s="419">
        <f t="shared" si="4"/>
        <v>0</v>
      </c>
      <c r="AC19" s="419">
        <f t="shared" si="5"/>
        <v>204.75999999999976</v>
      </c>
      <c r="AD19" s="419">
        <f t="shared" si="6"/>
        <v>2</v>
      </c>
      <c r="AE19" s="419">
        <f t="shared" si="7"/>
        <v>3.7999999999999972</v>
      </c>
    </row>
    <row r="20" spans="1:31" s="417" customFormat="1" ht="12.75">
      <c r="A20" s="417" t="s">
        <v>10</v>
      </c>
      <c r="B20" s="11">
        <v>15</v>
      </c>
      <c r="C20" s="400" t="s">
        <v>63</v>
      </c>
      <c r="D20" s="405">
        <v>379.57499999999999</v>
      </c>
      <c r="E20" s="402">
        <v>5000.33</v>
      </c>
      <c r="F20" s="401">
        <v>2499.6999999999998</v>
      </c>
      <c r="G20" s="401">
        <v>16.399999999999999</v>
      </c>
      <c r="H20" s="402">
        <v>12.59</v>
      </c>
      <c r="I20" s="402">
        <f>F20+G20+H20</f>
        <v>2528.69</v>
      </c>
      <c r="J20" s="406">
        <v>1582.24</v>
      </c>
      <c r="K20" s="709">
        <v>219.56</v>
      </c>
      <c r="L20" s="404">
        <f t="shared" si="0"/>
        <v>1801.8</v>
      </c>
      <c r="M20" s="14">
        <f t="shared" si="1"/>
        <v>9710.3949999999986</v>
      </c>
      <c r="N20" s="417" t="str">
        <f t="shared" si="2"/>
        <v>MH</v>
      </c>
      <c r="O20" s="11">
        <v>15</v>
      </c>
      <c r="P20" s="400" t="s">
        <v>63</v>
      </c>
      <c r="Q20" s="401">
        <v>379.58</v>
      </c>
      <c r="R20" s="402">
        <v>5000.33</v>
      </c>
      <c r="S20" s="401">
        <v>2568</v>
      </c>
      <c r="T20" s="401">
        <v>16.399999999999999</v>
      </c>
      <c r="U20" s="402">
        <v>12.59</v>
      </c>
      <c r="V20" s="402">
        <v>2596.9900000000002</v>
      </c>
      <c r="W20" s="406">
        <v>1642.24</v>
      </c>
      <c r="X20" s="403">
        <v>647.73</v>
      </c>
      <c r="Y20" s="404">
        <v>2289.9700000000003</v>
      </c>
      <c r="Z20" s="14">
        <v>10266.869999999999</v>
      </c>
      <c r="AA20" s="417" t="str">
        <f t="shared" si="3"/>
        <v>MH</v>
      </c>
      <c r="AB20" s="419">
        <f t="shared" si="4"/>
        <v>0</v>
      </c>
      <c r="AC20" s="419">
        <f t="shared" si="5"/>
        <v>488.1700000000003</v>
      </c>
      <c r="AD20" s="419">
        <f t="shared" si="6"/>
        <v>68.300000000000182</v>
      </c>
      <c r="AE20" s="419">
        <f t="shared" si="7"/>
        <v>4.9999999999954525E-3</v>
      </c>
    </row>
    <row r="21" spans="1:31" s="417" customFormat="1" ht="12.75">
      <c r="A21" s="417" t="s">
        <v>90</v>
      </c>
      <c r="B21" s="11">
        <v>16</v>
      </c>
      <c r="C21" s="400" t="s">
        <v>64</v>
      </c>
      <c r="D21" s="401">
        <v>5.45</v>
      </c>
      <c r="E21" s="402"/>
      <c r="F21" s="401"/>
      <c r="G21" s="401"/>
      <c r="H21" s="402"/>
      <c r="I21" s="402"/>
      <c r="J21" s="402">
        <v>0</v>
      </c>
      <c r="K21" s="404">
        <v>5.16</v>
      </c>
      <c r="L21" s="404">
        <f t="shared" si="0"/>
        <v>5.16</v>
      </c>
      <c r="M21" s="14">
        <f t="shared" si="1"/>
        <v>10.61</v>
      </c>
      <c r="N21" s="417" t="str">
        <f t="shared" si="2"/>
        <v>NE</v>
      </c>
      <c r="O21" s="11">
        <v>16</v>
      </c>
      <c r="P21" s="400" t="s">
        <v>64</v>
      </c>
      <c r="Q21" s="401">
        <v>5.45</v>
      </c>
      <c r="R21" s="402"/>
      <c r="S21" s="401"/>
      <c r="T21" s="401"/>
      <c r="U21" s="402"/>
      <c r="V21" s="402"/>
      <c r="W21" s="402">
        <v>0</v>
      </c>
      <c r="X21" s="403">
        <v>6.36</v>
      </c>
      <c r="Y21" s="404">
        <v>6.36</v>
      </c>
      <c r="Z21" s="14">
        <v>11.81</v>
      </c>
      <c r="AA21" s="417" t="str">
        <f t="shared" si="3"/>
        <v>NE</v>
      </c>
      <c r="AB21" s="419">
        <f t="shared" si="4"/>
        <v>0</v>
      </c>
      <c r="AC21" s="419">
        <f t="shared" si="5"/>
        <v>1.2000000000000002</v>
      </c>
      <c r="AD21" s="419">
        <f t="shared" si="6"/>
        <v>0</v>
      </c>
      <c r="AE21" s="419">
        <f t="shared" si="7"/>
        <v>0</v>
      </c>
    </row>
    <row r="22" spans="1:31" s="417" customFormat="1" ht="12.75">
      <c r="A22" s="417" t="s">
        <v>90</v>
      </c>
      <c r="B22" s="11">
        <v>17</v>
      </c>
      <c r="C22" s="400" t="s">
        <v>65</v>
      </c>
      <c r="D22" s="401">
        <v>32.53</v>
      </c>
      <c r="E22" s="402"/>
      <c r="F22" s="401"/>
      <c r="G22" s="401">
        <v>13.8</v>
      </c>
      <c r="H22" s="402"/>
      <c r="I22" s="402">
        <f>F22+G22+H22</f>
        <v>13.8</v>
      </c>
      <c r="J22" s="402">
        <v>0</v>
      </c>
      <c r="K22" s="404">
        <v>0.12</v>
      </c>
      <c r="L22" s="404">
        <f t="shared" si="0"/>
        <v>0.12</v>
      </c>
      <c r="M22" s="14">
        <f t="shared" si="1"/>
        <v>46.449999999999996</v>
      </c>
      <c r="N22" s="417" t="str">
        <f t="shared" si="2"/>
        <v>NE</v>
      </c>
      <c r="O22" s="11">
        <v>17</v>
      </c>
      <c r="P22" s="400" t="s">
        <v>65</v>
      </c>
      <c r="Q22" s="401">
        <v>32.53</v>
      </c>
      <c r="R22" s="402"/>
      <c r="S22" s="401"/>
      <c r="T22" s="401">
        <v>13.8</v>
      </c>
      <c r="U22" s="402"/>
      <c r="V22" s="402">
        <v>13.8</v>
      </c>
      <c r="W22" s="402">
        <v>0</v>
      </c>
      <c r="X22" s="403">
        <v>0.12</v>
      </c>
      <c r="Y22" s="404">
        <v>0.12</v>
      </c>
      <c r="Z22" s="14">
        <v>46.449999999999996</v>
      </c>
      <c r="AA22" s="417" t="str">
        <f t="shared" si="3"/>
        <v>NE</v>
      </c>
      <c r="AB22" s="419">
        <f t="shared" si="4"/>
        <v>0</v>
      </c>
      <c r="AC22" s="419">
        <f t="shared" si="5"/>
        <v>0</v>
      </c>
      <c r="AD22" s="419">
        <f t="shared" si="6"/>
        <v>0</v>
      </c>
      <c r="AE22" s="419">
        <f t="shared" si="7"/>
        <v>0</v>
      </c>
    </row>
    <row r="23" spans="1:31" s="417" customFormat="1" ht="12.75">
      <c r="A23" s="417" t="s">
        <v>90</v>
      </c>
      <c r="B23" s="11">
        <v>18</v>
      </c>
      <c r="C23" s="400" t="s">
        <v>66</v>
      </c>
      <c r="D23" s="401">
        <v>36.47</v>
      </c>
      <c r="E23" s="402"/>
      <c r="F23" s="401"/>
      <c r="G23" s="401"/>
      <c r="H23" s="402"/>
      <c r="I23" s="402"/>
      <c r="J23" s="402">
        <v>0.1</v>
      </c>
      <c r="K23" s="404">
        <v>1.42</v>
      </c>
      <c r="L23" s="404">
        <f t="shared" si="0"/>
        <v>1.52</v>
      </c>
      <c r="M23" s="14">
        <f t="shared" si="1"/>
        <v>37.99</v>
      </c>
      <c r="N23" s="417" t="str">
        <f t="shared" si="2"/>
        <v>NE</v>
      </c>
      <c r="O23" s="11">
        <v>18</v>
      </c>
      <c r="P23" s="400" t="s">
        <v>66</v>
      </c>
      <c r="Q23" s="401">
        <v>36.47</v>
      </c>
      <c r="R23" s="402"/>
      <c r="S23" s="401"/>
      <c r="T23" s="401"/>
      <c r="U23" s="402"/>
      <c r="V23" s="402"/>
      <c r="W23" s="402">
        <v>0.1</v>
      </c>
      <c r="X23" s="403">
        <v>1.43</v>
      </c>
      <c r="Y23" s="404">
        <v>1.53</v>
      </c>
      <c r="Z23" s="14">
        <v>38</v>
      </c>
      <c r="AA23" s="417" t="str">
        <f t="shared" si="3"/>
        <v>NE</v>
      </c>
      <c r="AB23" s="419">
        <f t="shared" si="4"/>
        <v>0</v>
      </c>
      <c r="AC23" s="419">
        <f t="shared" si="5"/>
        <v>1.0000000000000009E-2</v>
      </c>
      <c r="AD23" s="419">
        <f t="shared" si="6"/>
        <v>0</v>
      </c>
      <c r="AE23" s="419">
        <f t="shared" si="7"/>
        <v>0</v>
      </c>
    </row>
    <row r="24" spans="1:31" s="417" customFormat="1" ht="12.75">
      <c r="A24" s="417" t="s">
        <v>90</v>
      </c>
      <c r="B24" s="11">
        <v>19</v>
      </c>
      <c r="C24" s="400" t="s">
        <v>67</v>
      </c>
      <c r="D24" s="401">
        <v>30.67</v>
      </c>
      <c r="E24" s="402"/>
      <c r="F24" s="401"/>
      <c r="G24" s="401"/>
      <c r="H24" s="402"/>
      <c r="I24" s="402"/>
      <c r="J24" s="402">
        <v>0</v>
      </c>
      <c r="K24" s="404">
        <v>1</v>
      </c>
      <c r="L24" s="404">
        <f t="shared" si="0"/>
        <v>1</v>
      </c>
      <c r="M24" s="14">
        <f t="shared" si="1"/>
        <v>31.67</v>
      </c>
      <c r="N24" s="417" t="str">
        <f t="shared" si="2"/>
        <v>NE</v>
      </c>
      <c r="O24" s="11">
        <v>19</v>
      </c>
      <c r="P24" s="400" t="s">
        <v>67</v>
      </c>
      <c r="Q24" s="401">
        <v>30.67</v>
      </c>
      <c r="R24" s="402"/>
      <c r="S24" s="401"/>
      <c r="T24" s="401"/>
      <c r="U24" s="402"/>
      <c r="V24" s="402"/>
      <c r="W24" s="402">
        <v>0</v>
      </c>
      <c r="X24" s="403">
        <v>1</v>
      </c>
      <c r="Y24" s="404">
        <v>1</v>
      </c>
      <c r="Z24" s="14">
        <v>31.67</v>
      </c>
      <c r="AA24" s="417" t="str">
        <f t="shared" si="3"/>
        <v>NE</v>
      </c>
      <c r="AB24" s="419">
        <f t="shared" si="4"/>
        <v>0</v>
      </c>
      <c r="AC24" s="419">
        <f t="shared" si="5"/>
        <v>0</v>
      </c>
      <c r="AD24" s="419">
        <f t="shared" si="6"/>
        <v>0</v>
      </c>
      <c r="AE24" s="419">
        <f t="shared" si="7"/>
        <v>0</v>
      </c>
    </row>
    <row r="25" spans="1:31" s="417" customFormat="1" ht="12.75">
      <c r="A25" s="417" t="s">
        <v>16</v>
      </c>
      <c r="B25" s="11">
        <v>20</v>
      </c>
      <c r="C25" s="400" t="s">
        <v>68</v>
      </c>
      <c r="D25" s="405">
        <v>64.625</v>
      </c>
      <c r="E25" s="402"/>
      <c r="F25" s="401">
        <v>50.4</v>
      </c>
      <c r="G25" s="401">
        <v>8.82</v>
      </c>
      <c r="H25" s="402"/>
      <c r="I25" s="402">
        <f>F25+G25+H25</f>
        <v>59.22</v>
      </c>
      <c r="J25" s="400">
        <v>383.56</v>
      </c>
      <c r="K25" s="709">
        <v>14.28</v>
      </c>
      <c r="L25" s="404">
        <f t="shared" si="0"/>
        <v>397.84</v>
      </c>
      <c r="M25" s="14">
        <f t="shared" si="1"/>
        <v>521.68499999999995</v>
      </c>
      <c r="N25" s="417" t="str">
        <f t="shared" si="2"/>
        <v>OD</v>
      </c>
      <c r="O25" s="11">
        <v>20</v>
      </c>
      <c r="P25" s="400" t="s">
        <v>68</v>
      </c>
      <c r="Q25" s="401">
        <v>88.63</v>
      </c>
      <c r="R25" s="402"/>
      <c r="S25" s="401">
        <v>50.4</v>
      </c>
      <c r="T25" s="401">
        <v>8.82</v>
      </c>
      <c r="U25" s="402"/>
      <c r="V25" s="402">
        <v>59.22</v>
      </c>
      <c r="W25" s="400">
        <v>383.56</v>
      </c>
      <c r="X25" s="403">
        <v>18.16</v>
      </c>
      <c r="Y25" s="404">
        <v>401.72</v>
      </c>
      <c r="Z25" s="14">
        <v>549.56999999999994</v>
      </c>
      <c r="AA25" s="417" t="str">
        <f t="shared" si="3"/>
        <v>OD</v>
      </c>
      <c r="AB25" s="419">
        <f t="shared" si="4"/>
        <v>0</v>
      </c>
      <c r="AC25" s="419">
        <f t="shared" si="5"/>
        <v>3.8800000000000523</v>
      </c>
      <c r="AD25" s="419">
        <f t="shared" si="6"/>
        <v>0</v>
      </c>
      <c r="AE25" s="419">
        <f t="shared" si="7"/>
        <v>24.004999999999995</v>
      </c>
    </row>
    <row r="26" spans="1:31" s="417" customFormat="1" ht="12.75">
      <c r="A26" s="417" t="s">
        <v>1</v>
      </c>
      <c r="B26" s="11">
        <v>21</v>
      </c>
      <c r="C26" s="400" t="s">
        <v>69</v>
      </c>
      <c r="D26" s="401">
        <v>173.55</v>
      </c>
      <c r="E26" s="402"/>
      <c r="F26" s="401">
        <v>194</v>
      </c>
      <c r="G26" s="401">
        <v>123.1</v>
      </c>
      <c r="H26" s="402">
        <v>10.75</v>
      </c>
      <c r="I26" s="402">
        <f>F26+G26+H26</f>
        <v>327.85</v>
      </c>
      <c r="J26" s="400">
        <v>828.58</v>
      </c>
      <c r="K26" s="709">
        <v>118.52</v>
      </c>
      <c r="L26" s="404">
        <f t="shared" si="0"/>
        <v>947.1</v>
      </c>
      <c r="M26" s="14">
        <f t="shared" si="1"/>
        <v>1448.5</v>
      </c>
      <c r="N26" s="417" t="str">
        <f t="shared" si="2"/>
        <v>PB</v>
      </c>
      <c r="O26" s="11">
        <v>21</v>
      </c>
      <c r="P26" s="400" t="s">
        <v>69</v>
      </c>
      <c r="Q26" s="401">
        <v>173.55</v>
      </c>
      <c r="R26" s="402"/>
      <c r="S26" s="401">
        <v>299.5</v>
      </c>
      <c r="T26" s="401">
        <v>173.95</v>
      </c>
      <c r="U26" s="402">
        <v>10.75</v>
      </c>
      <c r="V26" s="402">
        <v>484.2</v>
      </c>
      <c r="W26" s="400">
        <v>828.58</v>
      </c>
      <c r="X26" s="403">
        <v>118.52</v>
      </c>
      <c r="Y26" s="404">
        <v>947.1</v>
      </c>
      <c r="Z26" s="14">
        <v>1604.85</v>
      </c>
      <c r="AA26" s="417" t="str">
        <f t="shared" si="3"/>
        <v>PB</v>
      </c>
      <c r="AB26" s="419">
        <f t="shared" si="4"/>
        <v>0</v>
      </c>
      <c r="AC26" s="419">
        <f t="shared" si="5"/>
        <v>0</v>
      </c>
      <c r="AD26" s="419">
        <f t="shared" si="6"/>
        <v>156.34999999999997</v>
      </c>
      <c r="AE26" s="419">
        <f t="shared" si="7"/>
        <v>0</v>
      </c>
    </row>
    <row r="27" spans="1:31" s="417" customFormat="1" ht="12.75">
      <c r="A27" s="417" t="s">
        <v>6</v>
      </c>
      <c r="B27" s="11">
        <v>22</v>
      </c>
      <c r="C27" s="400" t="s">
        <v>70</v>
      </c>
      <c r="D27" s="401">
        <v>23.85</v>
      </c>
      <c r="E27" s="402">
        <v>4299.72</v>
      </c>
      <c r="F27" s="401">
        <v>119.3</v>
      </c>
      <c r="G27" s="401">
        <v>2</v>
      </c>
      <c r="H27" s="402"/>
      <c r="I27" s="402">
        <f>F27+G27+H27</f>
        <v>121.3</v>
      </c>
      <c r="J27" s="400">
        <v>4882.6899999999996</v>
      </c>
      <c r="K27" s="709">
        <v>255.22</v>
      </c>
      <c r="L27" s="404">
        <f t="shared" si="0"/>
        <v>5137.91</v>
      </c>
      <c r="M27" s="14">
        <f t="shared" si="1"/>
        <v>9582.7800000000007</v>
      </c>
      <c r="N27" s="417" t="str">
        <f t="shared" si="2"/>
        <v>RJ</v>
      </c>
      <c r="O27" s="11">
        <v>22</v>
      </c>
      <c r="P27" s="400" t="s">
        <v>70</v>
      </c>
      <c r="Q27" s="401">
        <v>23.85</v>
      </c>
      <c r="R27" s="402">
        <v>4326.82</v>
      </c>
      <c r="S27" s="401">
        <v>119.25</v>
      </c>
      <c r="T27" s="401">
        <v>2</v>
      </c>
      <c r="U27" s="402"/>
      <c r="V27" s="402">
        <v>121.25</v>
      </c>
      <c r="W27" s="400">
        <v>5053.58</v>
      </c>
      <c r="X27" s="403">
        <v>419</v>
      </c>
      <c r="Y27" s="404">
        <v>5472.58</v>
      </c>
      <c r="Z27" s="14">
        <v>9944.5</v>
      </c>
      <c r="AA27" s="417" t="str">
        <f t="shared" si="3"/>
        <v>RJ</v>
      </c>
      <c r="AB27" s="419">
        <f t="shared" si="4"/>
        <v>27.099999999999454</v>
      </c>
      <c r="AC27" s="419">
        <f t="shared" si="5"/>
        <v>334.67000000000007</v>
      </c>
      <c r="AD27" s="419">
        <f t="shared" si="6"/>
        <v>-4.9999999999997158E-2</v>
      </c>
      <c r="AE27" s="419">
        <f t="shared" si="7"/>
        <v>0</v>
      </c>
    </row>
    <row r="28" spans="1:31" s="417" customFormat="1" ht="12.75">
      <c r="A28" s="417" t="s">
        <v>90</v>
      </c>
      <c r="B28" s="11">
        <v>23</v>
      </c>
      <c r="C28" s="400" t="s">
        <v>71</v>
      </c>
      <c r="D28" s="401">
        <v>52.11</v>
      </c>
      <c r="E28" s="402"/>
      <c r="F28" s="401"/>
      <c r="G28" s="401"/>
      <c r="H28" s="402"/>
      <c r="I28" s="402"/>
      <c r="J28" s="402">
        <v>0</v>
      </c>
      <c r="K28" s="404">
        <v>7.0000000000000007E-2</v>
      </c>
      <c r="L28" s="404">
        <f t="shared" si="0"/>
        <v>7.0000000000000007E-2</v>
      </c>
      <c r="M28" s="14">
        <f t="shared" si="1"/>
        <v>52.18</v>
      </c>
      <c r="N28" s="417" t="str">
        <f t="shared" si="2"/>
        <v>NE</v>
      </c>
      <c r="O28" s="11">
        <v>23</v>
      </c>
      <c r="P28" s="400" t="s">
        <v>71</v>
      </c>
      <c r="Q28" s="401">
        <v>52.11</v>
      </c>
      <c r="R28" s="402"/>
      <c r="S28" s="401"/>
      <c r="T28" s="401"/>
      <c r="U28" s="402"/>
      <c r="V28" s="402"/>
      <c r="W28" s="402">
        <v>0</v>
      </c>
      <c r="X28" s="403">
        <v>7.0000000000000007E-2</v>
      </c>
      <c r="Y28" s="404">
        <v>7.0000000000000007E-2</v>
      </c>
      <c r="Z28" s="14">
        <v>52.18</v>
      </c>
      <c r="AA28" s="417" t="str">
        <f t="shared" si="3"/>
        <v>NE</v>
      </c>
      <c r="AB28" s="419">
        <f t="shared" si="4"/>
        <v>0</v>
      </c>
      <c r="AC28" s="419">
        <f t="shared" si="5"/>
        <v>0</v>
      </c>
      <c r="AD28" s="419">
        <f t="shared" si="6"/>
        <v>0</v>
      </c>
      <c r="AE28" s="419">
        <f t="shared" si="7"/>
        <v>0</v>
      </c>
    </row>
    <row r="29" spans="1:31" s="417" customFormat="1" ht="12.75">
      <c r="A29" s="417" t="s">
        <v>13</v>
      </c>
      <c r="B29" s="11">
        <v>24</v>
      </c>
      <c r="C29" s="400" t="s">
        <v>72</v>
      </c>
      <c r="D29" s="401">
        <v>123.05</v>
      </c>
      <c r="E29" s="402">
        <v>9304.34</v>
      </c>
      <c r="F29" s="401">
        <v>969</v>
      </c>
      <c r="G29" s="401">
        <v>28.55</v>
      </c>
      <c r="H29" s="402">
        <v>6.4</v>
      </c>
      <c r="I29" s="402">
        <f>F29+G29+H29</f>
        <v>1003.9499999999999</v>
      </c>
      <c r="J29" s="400">
        <v>3759.89</v>
      </c>
      <c r="K29" s="709">
        <v>155.99</v>
      </c>
      <c r="L29" s="404">
        <f t="shared" si="0"/>
        <v>3915.88</v>
      </c>
      <c r="M29" s="14">
        <f t="shared" si="1"/>
        <v>14347.22</v>
      </c>
      <c r="N29" s="417" t="str">
        <f t="shared" si="2"/>
        <v>TN</v>
      </c>
      <c r="O29" s="11">
        <v>24</v>
      </c>
      <c r="P29" s="400" t="s">
        <v>72</v>
      </c>
      <c r="Q29" s="401">
        <v>123.05</v>
      </c>
      <c r="R29" s="402">
        <v>9431.5400000000009</v>
      </c>
      <c r="S29" s="401">
        <v>969.1</v>
      </c>
      <c r="T29" s="401">
        <v>43.55</v>
      </c>
      <c r="U29" s="402">
        <v>6.4</v>
      </c>
      <c r="V29" s="402">
        <v>1019.05</v>
      </c>
      <c r="W29" s="400">
        <v>4090.15</v>
      </c>
      <c r="X29" s="403">
        <v>313.33</v>
      </c>
      <c r="Y29" s="404">
        <v>4403.4800000000005</v>
      </c>
      <c r="Z29" s="14">
        <v>14977.119999999999</v>
      </c>
      <c r="AA29" s="417" t="str">
        <f t="shared" si="3"/>
        <v>TN</v>
      </c>
      <c r="AB29" s="419">
        <f t="shared" si="4"/>
        <v>127.20000000000073</v>
      </c>
      <c r="AC29" s="419">
        <f t="shared" si="5"/>
        <v>487.60000000000036</v>
      </c>
      <c r="AD29" s="419">
        <f t="shared" si="6"/>
        <v>15.100000000000023</v>
      </c>
      <c r="AE29" s="419">
        <f t="shared" si="7"/>
        <v>0</v>
      </c>
    </row>
    <row r="30" spans="1:31" s="15" customFormat="1" ht="12.75">
      <c r="A30" s="15" t="s">
        <v>15</v>
      </c>
      <c r="B30" s="16">
        <v>25</v>
      </c>
      <c r="C30" s="407" t="s">
        <v>73</v>
      </c>
      <c r="D30" s="401">
        <v>90.87</v>
      </c>
      <c r="E30" s="402">
        <v>128.1</v>
      </c>
      <c r="F30" s="408">
        <v>158.1</v>
      </c>
      <c r="G30" s="408">
        <v>1</v>
      </c>
      <c r="H30" s="402">
        <v>26</v>
      </c>
      <c r="I30" s="402">
        <f>F30+G30+H30</f>
        <v>185.1</v>
      </c>
      <c r="J30" s="400">
        <v>3530.29</v>
      </c>
      <c r="K30" s="709">
        <v>90.46</v>
      </c>
      <c r="L30" s="404">
        <f t="shared" si="0"/>
        <v>3620.75</v>
      </c>
      <c r="M30" s="14">
        <f t="shared" si="1"/>
        <v>4024.82</v>
      </c>
      <c r="N30" s="417" t="str">
        <f t="shared" si="2"/>
        <v>TS</v>
      </c>
      <c r="O30" s="16">
        <v>25</v>
      </c>
      <c r="P30" s="407" t="s">
        <v>73</v>
      </c>
      <c r="Q30" s="401">
        <v>90.87</v>
      </c>
      <c r="R30" s="402">
        <v>128.1</v>
      </c>
      <c r="S30" s="408">
        <v>158.1</v>
      </c>
      <c r="T30" s="408">
        <v>2</v>
      </c>
      <c r="U30" s="402">
        <v>45.8</v>
      </c>
      <c r="V30" s="402">
        <v>205.89999999999998</v>
      </c>
      <c r="W30" s="400">
        <v>3784.27</v>
      </c>
      <c r="X30" s="403">
        <v>152.09</v>
      </c>
      <c r="Y30" s="404">
        <v>3936.36</v>
      </c>
      <c r="Z30" s="14">
        <v>4361.2300000000005</v>
      </c>
      <c r="AA30" s="417" t="str">
        <f t="shared" si="3"/>
        <v>TS</v>
      </c>
      <c r="AB30" s="419">
        <f t="shared" si="4"/>
        <v>0</v>
      </c>
      <c r="AC30" s="419">
        <f t="shared" si="5"/>
        <v>315.61000000000013</v>
      </c>
      <c r="AD30" s="419">
        <f t="shared" si="6"/>
        <v>20.799999999999983</v>
      </c>
      <c r="AE30" s="419">
        <f t="shared" si="7"/>
        <v>0</v>
      </c>
    </row>
    <row r="31" spans="1:31" s="417" customFormat="1" ht="12.75">
      <c r="A31" s="417" t="s">
        <v>90</v>
      </c>
      <c r="B31" s="11">
        <v>26</v>
      </c>
      <c r="C31" s="400" t="s">
        <v>74</v>
      </c>
      <c r="D31" s="401">
        <v>16.010000000000002</v>
      </c>
      <c r="E31" s="402"/>
      <c r="F31" s="402"/>
      <c r="G31" s="402"/>
      <c r="H31" s="402"/>
      <c r="I31" s="402"/>
      <c r="J31" s="402">
        <v>5</v>
      </c>
      <c r="K31" s="404">
        <v>4.41</v>
      </c>
      <c r="L31" s="404">
        <f t="shared" si="0"/>
        <v>9.41</v>
      </c>
      <c r="M31" s="14">
        <f t="shared" si="1"/>
        <v>25.42</v>
      </c>
      <c r="N31" s="417" t="str">
        <f t="shared" si="2"/>
        <v>NE</v>
      </c>
      <c r="O31" s="11">
        <v>26</v>
      </c>
      <c r="P31" s="400" t="s">
        <v>74</v>
      </c>
      <c r="Q31" s="401">
        <v>16.010000000000002</v>
      </c>
      <c r="R31" s="402"/>
      <c r="S31" s="402"/>
      <c r="T31" s="402"/>
      <c r="U31" s="402"/>
      <c r="V31" s="402"/>
      <c r="W31" s="402">
        <v>5</v>
      </c>
      <c r="X31" s="403">
        <v>4.41</v>
      </c>
      <c r="Y31" s="404">
        <v>9.41</v>
      </c>
      <c r="Z31" s="14">
        <v>25.42</v>
      </c>
      <c r="AA31" s="417" t="str">
        <f t="shared" si="3"/>
        <v>NE</v>
      </c>
      <c r="AB31" s="419">
        <f t="shared" si="4"/>
        <v>0</v>
      </c>
      <c r="AC31" s="419">
        <f t="shared" si="5"/>
        <v>0</v>
      </c>
      <c r="AD31" s="419">
        <f t="shared" si="6"/>
        <v>0</v>
      </c>
      <c r="AE31" s="419">
        <f t="shared" si="7"/>
        <v>0</v>
      </c>
    </row>
    <row r="32" spans="1:31" s="417" customFormat="1" ht="12.75">
      <c r="A32" s="417" t="s">
        <v>0</v>
      </c>
      <c r="B32" s="11">
        <v>27</v>
      </c>
      <c r="C32" s="400" t="s">
        <v>75</v>
      </c>
      <c r="D32" s="401">
        <v>25.1</v>
      </c>
      <c r="E32" s="402"/>
      <c r="F32" s="401">
        <v>1957.5</v>
      </c>
      <c r="G32" s="401">
        <v>158.01</v>
      </c>
      <c r="H32" s="402"/>
      <c r="I32" s="402">
        <f>F32+G32+H32</f>
        <v>2115.5100000000002</v>
      </c>
      <c r="J32" s="402">
        <v>949</v>
      </c>
      <c r="K32" s="404">
        <v>146.1</v>
      </c>
      <c r="L32" s="404">
        <f t="shared" si="0"/>
        <v>1095.0999999999999</v>
      </c>
      <c r="M32" s="14">
        <f t="shared" si="1"/>
        <v>3235.71</v>
      </c>
      <c r="N32" s="417" t="str">
        <f t="shared" si="2"/>
        <v>UP</v>
      </c>
      <c r="O32" s="11">
        <v>27</v>
      </c>
      <c r="P32" s="400" t="s">
        <v>75</v>
      </c>
      <c r="Q32" s="401">
        <v>49.1</v>
      </c>
      <c r="R32" s="402"/>
      <c r="S32" s="401">
        <v>1957.5</v>
      </c>
      <c r="T32" s="401">
        <v>159.76</v>
      </c>
      <c r="U32" s="402"/>
      <c r="V32" s="402">
        <v>2117.2600000000002</v>
      </c>
      <c r="W32" s="402">
        <v>1410.25</v>
      </c>
      <c r="X32" s="403">
        <v>257.25</v>
      </c>
      <c r="Y32" s="404">
        <v>1667.5</v>
      </c>
      <c r="Z32" s="14">
        <v>3833.86</v>
      </c>
      <c r="AA32" s="417" t="str">
        <f t="shared" si="3"/>
        <v>UP</v>
      </c>
      <c r="AB32" s="419">
        <f t="shared" si="4"/>
        <v>0</v>
      </c>
      <c r="AC32" s="419">
        <f t="shared" si="5"/>
        <v>572.40000000000009</v>
      </c>
      <c r="AD32" s="419">
        <f t="shared" si="6"/>
        <v>1.75</v>
      </c>
      <c r="AE32" s="419">
        <f t="shared" si="7"/>
        <v>24</v>
      </c>
    </row>
    <row r="33" spans="1:31" s="417" customFormat="1" ht="12.75">
      <c r="A33" s="417" t="s">
        <v>4</v>
      </c>
      <c r="B33" s="11">
        <v>28</v>
      </c>
      <c r="C33" s="400" t="s">
        <v>76</v>
      </c>
      <c r="D33" s="405">
        <v>214.32</v>
      </c>
      <c r="E33" s="402"/>
      <c r="F33" s="401">
        <v>73</v>
      </c>
      <c r="G33" s="401">
        <v>57.5</v>
      </c>
      <c r="H33" s="402"/>
      <c r="I33" s="402">
        <f>F33+G33+H33</f>
        <v>130.5</v>
      </c>
      <c r="J33" s="402">
        <v>239.78</v>
      </c>
      <c r="K33" s="404">
        <v>76.12</v>
      </c>
      <c r="L33" s="404">
        <f t="shared" si="0"/>
        <v>315.89999999999998</v>
      </c>
      <c r="M33" s="14">
        <f t="shared" si="1"/>
        <v>660.72</v>
      </c>
      <c r="N33" s="417" t="str">
        <f t="shared" si="2"/>
        <v>UK</v>
      </c>
      <c r="O33" s="11">
        <v>28</v>
      </c>
      <c r="P33" s="400" t="s">
        <v>76</v>
      </c>
      <c r="Q33" s="401">
        <v>214.32</v>
      </c>
      <c r="R33" s="402"/>
      <c r="S33" s="401">
        <v>72.72</v>
      </c>
      <c r="T33" s="401">
        <v>57.5</v>
      </c>
      <c r="U33" s="402"/>
      <c r="V33" s="402">
        <v>130.22</v>
      </c>
      <c r="W33" s="402">
        <v>239.78</v>
      </c>
      <c r="X33" s="403">
        <v>113.63</v>
      </c>
      <c r="Y33" s="404">
        <v>353.40999999999997</v>
      </c>
      <c r="Z33" s="14">
        <v>697.94999999999993</v>
      </c>
      <c r="AA33" s="417" t="str">
        <f t="shared" si="3"/>
        <v>UK</v>
      </c>
      <c r="AB33" s="419">
        <f t="shared" si="4"/>
        <v>0</v>
      </c>
      <c r="AC33" s="419">
        <f t="shared" si="5"/>
        <v>37.509999999999991</v>
      </c>
      <c r="AD33" s="419">
        <f t="shared" si="6"/>
        <v>-0.28000000000000114</v>
      </c>
      <c r="AE33" s="419">
        <f t="shared" si="7"/>
        <v>0</v>
      </c>
    </row>
    <row r="34" spans="1:31" s="417" customFormat="1" ht="12.75">
      <c r="A34" s="417" t="s">
        <v>17</v>
      </c>
      <c r="B34" s="11">
        <v>29</v>
      </c>
      <c r="C34" s="400" t="s">
        <v>77</v>
      </c>
      <c r="D34" s="401">
        <v>98.5</v>
      </c>
      <c r="E34" s="402"/>
      <c r="F34" s="401">
        <v>300</v>
      </c>
      <c r="G34" s="401">
        <v>19.920000000000002</v>
      </c>
      <c r="H34" s="402"/>
      <c r="I34" s="402">
        <f>F34+G34+H34</f>
        <v>319.92</v>
      </c>
      <c r="J34" s="402">
        <v>70</v>
      </c>
      <c r="K34" s="404">
        <v>44.46</v>
      </c>
      <c r="L34" s="404">
        <f t="shared" si="0"/>
        <v>114.46000000000001</v>
      </c>
      <c r="M34" s="14">
        <f t="shared" si="1"/>
        <v>532.88</v>
      </c>
      <c r="N34" s="417" t="str">
        <f t="shared" si="2"/>
        <v>WB</v>
      </c>
      <c r="O34" s="11">
        <v>29</v>
      </c>
      <c r="P34" s="400" t="s">
        <v>77</v>
      </c>
      <c r="Q34" s="401">
        <v>98.5</v>
      </c>
      <c r="R34" s="402"/>
      <c r="S34" s="401">
        <v>300</v>
      </c>
      <c r="T34" s="401">
        <v>19.920000000000002</v>
      </c>
      <c r="U34" s="402"/>
      <c r="V34" s="402">
        <v>319.92</v>
      </c>
      <c r="W34" s="402">
        <v>100</v>
      </c>
      <c r="X34" s="403">
        <v>49.84</v>
      </c>
      <c r="Y34" s="404">
        <v>149.84</v>
      </c>
      <c r="Z34" s="14">
        <v>568.2600000000001</v>
      </c>
      <c r="AA34" s="417" t="str">
        <f t="shared" si="3"/>
        <v>WB</v>
      </c>
      <c r="AB34" s="419">
        <f t="shared" si="4"/>
        <v>0</v>
      </c>
      <c r="AC34" s="419">
        <f t="shared" si="5"/>
        <v>35.379999999999995</v>
      </c>
      <c r="AD34" s="419">
        <f t="shared" si="6"/>
        <v>0</v>
      </c>
      <c r="AE34" s="419">
        <f t="shared" si="7"/>
        <v>0</v>
      </c>
    </row>
    <row r="35" spans="1:31" s="418" customFormat="1" ht="12.75">
      <c r="B35" s="11">
        <v>30</v>
      </c>
      <c r="C35" s="400" t="s">
        <v>78</v>
      </c>
      <c r="D35" s="401">
        <v>5.25</v>
      </c>
      <c r="E35" s="402"/>
      <c r="F35" s="402"/>
      <c r="G35" s="402"/>
      <c r="H35" s="402"/>
      <c r="I35" s="402"/>
      <c r="J35" s="402">
        <v>7.6</v>
      </c>
      <c r="K35" s="404">
        <v>4.59</v>
      </c>
      <c r="L35" s="404">
        <f t="shared" si="0"/>
        <v>12.19</v>
      </c>
      <c r="M35" s="14">
        <f t="shared" si="1"/>
        <v>17.439999999999998</v>
      </c>
      <c r="N35" s="417">
        <f t="shared" si="2"/>
        <v>0</v>
      </c>
      <c r="O35" s="11">
        <v>30</v>
      </c>
      <c r="P35" s="400" t="s">
        <v>78</v>
      </c>
      <c r="Q35" s="401">
        <v>5.25</v>
      </c>
      <c r="R35" s="402"/>
      <c r="S35" s="402"/>
      <c r="T35" s="402"/>
      <c r="U35" s="402"/>
      <c r="V35" s="402"/>
      <c r="W35" s="402">
        <v>24.63</v>
      </c>
      <c r="X35" s="403">
        <v>4.59</v>
      </c>
      <c r="Y35" s="404">
        <v>29.22</v>
      </c>
      <c r="Z35" s="14">
        <v>34.47</v>
      </c>
      <c r="AA35" s="417">
        <f t="shared" si="3"/>
        <v>0</v>
      </c>
      <c r="AB35" s="419">
        <f t="shared" si="4"/>
        <v>0</v>
      </c>
      <c r="AC35" s="419">
        <f t="shared" si="5"/>
        <v>17.03</v>
      </c>
      <c r="AD35" s="419">
        <f t="shared" si="6"/>
        <v>0</v>
      </c>
      <c r="AE35" s="419">
        <f t="shared" si="7"/>
        <v>0</v>
      </c>
    </row>
    <row r="36" spans="1:31" s="417" customFormat="1" ht="12.75">
      <c r="A36" s="417" t="s">
        <v>92</v>
      </c>
      <c r="B36" s="11">
        <v>31</v>
      </c>
      <c r="C36" s="400" t="s">
        <v>79</v>
      </c>
      <c r="D36" s="401"/>
      <c r="E36" s="402"/>
      <c r="F36" s="402"/>
      <c r="G36" s="402"/>
      <c r="H36" s="402"/>
      <c r="I36" s="402"/>
      <c r="J36" s="402">
        <v>6.34</v>
      </c>
      <c r="K36" s="404">
        <v>34.21</v>
      </c>
      <c r="L36" s="404">
        <f t="shared" si="0"/>
        <v>40.549999999999997</v>
      </c>
      <c r="M36" s="14">
        <f t="shared" si="1"/>
        <v>40.549999999999997</v>
      </c>
      <c r="N36" s="417" t="str">
        <f t="shared" si="2"/>
        <v>UT</v>
      </c>
      <c r="O36" s="11">
        <v>31</v>
      </c>
      <c r="P36" s="400" t="s">
        <v>79</v>
      </c>
      <c r="Q36" s="401"/>
      <c r="R36" s="402"/>
      <c r="S36" s="402"/>
      <c r="T36" s="402"/>
      <c r="U36" s="402"/>
      <c r="V36" s="402"/>
      <c r="W36" s="402">
        <v>6.34</v>
      </c>
      <c r="X36" s="403">
        <v>38.82</v>
      </c>
      <c r="Y36" s="404">
        <v>45.16</v>
      </c>
      <c r="Z36" s="14">
        <v>45.16</v>
      </c>
      <c r="AA36" s="417" t="str">
        <f t="shared" si="3"/>
        <v>UT</v>
      </c>
      <c r="AB36" s="419">
        <f t="shared" si="4"/>
        <v>0</v>
      </c>
      <c r="AC36" s="419">
        <f t="shared" si="5"/>
        <v>4.6099999999999994</v>
      </c>
      <c r="AD36" s="419">
        <f t="shared" si="6"/>
        <v>0</v>
      </c>
      <c r="AE36" s="419">
        <f t="shared" si="7"/>
        <v>0</v>
      </c>
    </row>
    <row r="37" spans="1:31" s="417" customFormat="1" ht="12.75">
      <c r="A37" s="417" t="s">
        <v>92</v>
      </c>
      <c r="B37" s="11">
        <v>32</v>
      </c>
      <c r="C37" s="400" t="s">
        <v>80</v>
      </c>
      <c r="D37" s="401"/>
      <c r="E37" s="402"/>
      <c r="F37" s="402"/>
      <c r="G37" s="402"/>
      <c r="H37" s="402"/>
      <c r="I37" s="402"/>
      <c r="J37" s="402">
        <v>2.4900000000000002</v>
      </c>
      <c r="K37" s="17">
        <v>2.97</v>
      </c>
      <c r="L37" s="404">
        <f t="shared" si="0"/>
        <v>5.4600000000000009</v>
      </c>
      <c r="M37" s="14">
        <f t="shared" si="1"/>
        <v>5.4600000000000009</v>
      </c>
      <c r="N37" s="417" t="str">
        <f t="shared" si="2"/>
        <v>UT</v>
      </c>
      <c r="O37" s="11">
        <v>32</v>
      </c>
      <c r="P37" s="400" t="s">
        <v>80</v>
      </c>
      <c r="Q37" s="401"/>
      <c r="R37" s="402"/>
      <c r="S37" s="402"/>
      <c r="T37" s="402"/>
      <c r="U37" s="402"/>
      <c r="V37" s="402"/>
      <c r="W37" s="402">
        <v>2.4900000000000002</v>
      </c>
      <c r="X37" s="403">
        <v>2.97</v>
      </c>
      <c r="Y37" s="404">
        <v>5.4600000000000009</v>
      </c>
      <c r="Z37" s="14">
        <v>5.4600000000000009</v>
      </c>
      <c r="AA37" s="417" t="str">
        <f t="shared" si="3"/>
        <v>UT</v>
      </c>
      <c r="AB37" s="419">
        <f t="shared" si="4"/>
        <v>0</v>
      </c>
      <c r="AC37" s="419">
        <f t="shared" si="5"/>
        <v>0</v>
      </c>
      <c r="AD37" s="419">
        <f t="shared" si="6"/>
        <v>0</v>
      </c>
      <c r="AE37" s="419">
        <f t="shared" si="7"/>
        <v>0</v>
      </c>
    </row>
    <row r="38" spans="1:31" s="417" customFormat="1" ht="12.75">
      <c r="A38" s="417" t="s">
        <v>92</v>
      </c>
      <c r="B38" s="11">
        <v>33</v>
      </c>
      <c r="C38" s="400" t="s">
        <v>81</v>
      </c>
      <c r="D38" s="409"/>
      <c r="E38" s="402"/>
      <c r="F38" s="402"/>
      <c r="G38" s="402"/>
      <c r="H38" s="402"/>
      <c r="I38" s="402"/>
      <c r="J38" s="18">
        <v>10.15</v>
      </c>
      <c r="K38" s="19">
        <v>9.7100000000000009</v>
      </c>
      <c r="L38" s="404">
        <f t="shared" si="0"/>
        <v>19.86</v>
      </c>
      <c r="M38" s="14">
        <f t="shared" si="1"/>
        <v>19.86</v>
      </c>
      <c r="N38" s="417" t="str">
        <f t="shared" si="2"/>
        <v>UT</v>
      </c>
      <c r="O38" s="11">
        <v>33</v>
      </c>
      <c r="P38" s="400" t="s">
        <v>81</v>
      </c>
      <c r="Q38" s="409"/>
      <c r="R38" s="402"/>
      <c r="S38" s="402"/>
      <c r="T38" s="402"/>
      <c r="U38" s="402"/>
      <c r="V38" s="402"/>
      <c r="W38" s="18">
        <v>10.15</v>
      </c>
      <c r="X38" s="403">
        <v>30.4</v>
      </c>
      <c r="Y38" s="404">
        <v>40.549999999999997</v>
      </c>
      <c r="Z38" s="14">
        <v>40.549999999999997</v>
      </c>
      <c r="AA38" s="417" t="str">
        <f t="shared" si="3"/>
        <v>UT</v>
      </c>
      <c r="AB38" s="419">
        <f t="shared" si="4"/>
        <v>0</v>
      </c>
      <c r="AC38" s="419">
        <f t="shared" si="5"/>
        <v>20.689999999999998</v>
      </c>
      <c r="AD38" s="419">
        <f t="shared" si="6"/>
        <v>0</v>
      </c>
      <c r="AE38" s="419">
        <f t="shared" si="7"/>
        <v>0</v>
      </c>
    </row>
    <row r="39" spans="1:31" s="417" customFormat="1" ht="12.75">
      <c r="A39" s="417" t="s">
        <v>93</v>
      </c>
      <c r="B39" s="11">
        <v>34</v>
      </c>
      <c r="C39" s="400" t="s">
        <v>82</v>
      </c>
      <c r="D39" s="409"/>
      <c r="E39" s="402"/>
      <c r="F39" s="402"/>
      <c r="G39" s="402"/>
      <c r="H39" s="402">
        <v>52</v>
      </c>
      <c r="I39" s="402">
        <f>F39+G39+H39</f>
        <v>52</v>
      </c>
      <c r="J39" s="402">
        <v>8.9600000000000009</v>
      </c>
      <c r="K39" s="17">
        <v>156.19999999999999</v>
      </c>
      <c r="L39" s="404">
        <f t="shared" si="0"/>
        <v>165.16</v>
      </c>
      <c r="M39" s="14">
        <f t="shared" si="1"/>
        <v>217.16</v>
      </c>
      <c r="N39" s="417" t="str">
        <f t="shared" si="2"/>
        <v>DL</v>
      </c>
      <c r="O39" s="11">
        <v>34</v>
      </c>
      <c r="P39" s="400" t="s">
        <v>82</v>
      </c>
      <c r="Q39" s="409"/>
      <c r="R39" s="402"/>
      <c r="S39" s="402"/>
      <c r="T39" s="402"/>
      <c r="U39" s="402">
        <v>52</v>
      </c>
      <c r="V39" s="402">
        <v>52</v>
      </c>
      <c r="W39" s="402">
        <v>8.9600000000000009</v>
      </c>
      <c r="X39" s="403">
        <v>184.01</v>
      </c>
      <c r="Y39" s="404">
        <v>192.97</v>
      </c>
      <c r="Z39" s="14">
        <v>244.97</v>
      </c>
      <c r="AA39" s="417" t="str">
        <f t="shared" si="3"/>
        <v>DL</v>
      </c>
      <c r="AB39" s="419">
        <f t="shared" si="4"/>
        <v>0</v>
      </c>
      <c r="AC39" s="419">
        <f t="shared" si="5"/>
        <v>27.810000000000002</v>
      </c>
      <c r="AD39" s="419">
        <f t="shared" si="6"/>
        <v>0</v>
      </c>
      <c r="AE39" s="419">
        <f t="shared" si="7"/>
        <v>0</v>
      </c>
    </row>
    <row r="40" spans="1:31" s="417" customFormat="1" ht="12.75">
      <c r="B40" s="11">
        <v>35</v>
      </c>
      <c r="C40" s="400" t="s">
        <v>83</v>
      </c>
      <c r="D40" s="409"/>
      <c r="E40" s="409"/>
      <c r="F40" s="402"/>
      <c r="G40" s="402"/>
      <c r="H40" s="402"/>
      <c r="I40" s="402"/>
      <c r="J40" s="402">
        <v>0.75</v>
      </c>
      <c r="K40" s="17">
        <v>0</v>
      </c>
      <c r="L40" s="404">
        <f t="shared" si="0"/>
        <v>0.75</v>
      </c>
      <c r="M40" s="14">
        <f t="shared" si="1"/>
        <v>0.75</v>
      </c>
      <c r="N40" s="417">
        <f t="shared" si="2"/>
        <v>0</v>
      </c>
      <c r="O40" s="11">
        <v>35</v>
      </c>
      <c r="P40" s="400" t="s">
        <v>83</v>
      </c>
      <c r="Q40" s="409"/>
      <c r="R40" s="409"/>
      <c r="S40" s="402"/>
      <c r="T40" s="402"/>
      <c r="U40" s="402"/>
      <c r="V40" s="402"/>
      <c r="W40" s="402">
        <v>0.75</v>
      </c>
      <c r="X40" s="403">
        <v>0</v>
      </c>
      <c r="Y40" s="404">
        <v>0.75</v>
      </c>
      <c r="Z40" s="14">
        <v>0.75</v>
      </c>
      <c r="AA40" s="417">
        <f t="shared" si="3"/>
        <v>0</v>
      </c>
      <c r="AB40" s="419">
        <f t="shared" si="4"/>
        <v>0</v>
      </c>
      <c r="AC40" s="419">
        <f t="shared" si="5"/>
        <v>0</v>
      </c>
      <c r="AD40" s="419">
        <f t="shared" si="6"/>
        <v>0</v>
      </c>
      <c r="AE40" s="419">
        <f t="shared" si="7"/>
        <v>0</v>
      </c>
    </row>
    <row r="41" spans="1:31" s="417" customFormat="1" ht="12.75">
      <c r="A41" s="417" t="s">
        <v>92</v>
      </c>
      <c r="B41" s="11">
        <v>36</v>
      </c>
      <c r="C41" s="400" t="s">
        <v>84</v>
      </c>
      <c r="D41" s="409"/>
      <c r="E41" s="402"/>
      <c r="F41" s="402"/>
      <c r="G41" s="402"/>
      <c r="H41" s="402"/>
      <c r="I41" s="402"/>
      <c r="J41" s="20">
        <v>0.03</v>
      </c>
      <c r="K41" s="19">
        <v>5.48</v>
      </c>
      <c r="L41" s="404">
        <f t="shared" si="0"/>
        <v>5.5100000000000007</v>
      </c>
      <c r="M41" s="14">
        <f t="shared" si="1"/>
        <v>5.5100000000000007</v>
      </c>
      <c r="N41" s="417" t="str">
        <f t="shared" si="2"/>
        <v>UT</v>
      </c>
      <c r="O41" s="11">
        <v>36</v>
      </c>
      <c r="P41" s="400" t="s">
        <v>84</v>
      </c>
      <c r="Q41" s="409"/>
      <c r="R41" s="402"/>
      <c r="S41" s="402"/>
      <c r="T41" s="402"/>
      <c r="U41" s="402"/>
      <c r="V41" s="402"/>
      <c r="W41" s="20">
        <v>0.03</v>
      </c>
      <c r="X41" s="403">
        <v>9.3000000000000007</v>
      </c>
      <c r="Y41" s="404">
        <v>9.33</v>
      </c>
      <c r="Z41" s="14">
        <v>9.33</v>
      </c>
      <c r="AA41" s="417" t="str">
        <f t="shared" si="3"/>
        <v>UT</v>
      </c>
      <c r="AB41" s="419">
        <f t="shared" si="4"/>
        <v>0</v>
      </c>
      <c r="AC41" s="419">
        <f t="shared" si="5"/>
        <v>3.8199999999999994</v>
      </c>
      <c r="AD41" s="419">
        <f t="shared" si="6"/>
        <v>0</v>
      </c>
      <c r="AE41" s="419">
        <f t="shared" si="7"/>
        <v>0</v>
      </c>
    </row>
    <row r="42" spans="1:31" s="417" customFormat="1" ht="12.75">
      <c r="B42" s="11">
        <v>37</v>
      </c>
      <c r="C42" s="400" t="s">
        <v>85</v>
      </c>
      <c r="D42" s="409"/>
      <c r="E42" s="402">
        <v>4.3</v>
      </c>
      <c r="F42" s="402"/>
      <c r="G42" s="402"/>
      <c r="H42" s="402"/>
      <c r="I42" s="402"/>
      <c r="J42" s="402"/>
      <c r="K42" s="21"/>
      <c r="L42" s="404"/>
      <c r="M42" s="14">
        <f t="shared" si="1"/>
        <v>4.3</v>
      </c>
      <c r="N42" s="417">
        <f t="shared" si="2"/>
        <v>0</v>
      </c>
      <c r="O42" s="11">
        <v>37</v>
      </c>
      <c r="P42" s="400" t="s">
        <v>85</v>
      </c>
      <c r="Q42" s="409"/>
      <c r="R42" s="402">
        <v>4.3</v>
      </c>
      <c r="S42" s="402"/>
      <c r="T42" s="402"/>
      <c r="U42" s="402"/>
      <c r="V42" s="402"/>
      <c r="W42" s="402"/>
      <c r="X42" s="410"/>
      <c r="Y42" s="404"/>
      <c r="Z42" s="14">
        <v>4.3</v>
      </c>
      <c r="AA42" s="417">
        <f t="shared" si="3"/>
        <v>0</v>
      </c>
      <c r="AB42" s="419">
        <f t="shared" si="4"/>
        <v>0</v>
      </c>
      <c r="AC42" s="419">
        <f t="shared" si="5"/>
        <v>0</v>
      </c>
      <c r="AD42" s="419">
        <f t="shared" si="6"/>
        <v>0</v>
      </c>
      <c r="AE42" s="419">
        <f t="shared" si="7"/>
        <v>0</v>
      </c>
    </row>
    <row r="43" spans="1:31" s="418" customFormat="1" ht="12.75">
      <c r="B43" s="10"/>
      <c r="C43" s="411" t="s">
        <v>86</v>
      </c>
      <c r="D43" s="412">
        <f t="shared" ref="D43:M43" si="9">SUM(D6:D42)</f>
        <v>4683.1549999999997</v>
      </c>
      <c r="E43" s="413">
        <f t="shared" si="9"/>
        <v>37743.750000000007</v>
      </c>
      <c r="F43" s="413">
        <f t="shared" si="9"/>
        <v>9200.5</v>
      </c>
      <c r="G43" s="413">
        <f t="shared" si="9"/>
        <v>674.80999999999983</v>
      </c>
      <c r="H43" s="413">
        <f t="shared" si="9"/>
        <v>147.63999999999999</v>
      </c>
      <c r="I43" s="413">
        <f t="shared" si="9"/>
        <v>10022.950000000003</v>
      </c>
      <c r="J43" s="413">
        <f t="shared" si="9"/>
        <v>32112.51</v>
      </c>
      <c r="K43" s="414">
        <f t="shared" si="9"/>
        <v>2515.31</v>
      </c>
      <c r="L43" s="414">
        <f t="shared" si="9"/>
        <v>34627.820000000014</v>
      </c>
      <c r="M43" s="22">
        <f t="shared" si="9"/>
        <v>87077.675000000017</v>
      </c>
      <c r="N43" s="417">
        <f t="shared" si="2"/>
        <v>0</v>
      </c>
      <c r="O43" s="10"/>
      <c r="P43" s="411" t="s">
        <v>86</v>
      </c>
      <c r="Q43" s="412">
        <v>4783.0550000000003</v>
      </c>
      <c r="R43" s="413">
        <v>38789.15</v>
      </c>
      <c r="S43" s="413">
        <v>9373.869999999999</v>
      </c>
      <c r="T43" s="413">
        <v>772.04999999999984</v>
      </c>
      <c r="U43" s="413">
        <v>168.64</v>
      </c>
      <c r="V43" s="413">
        <v>10314.56</v>
      </c>
      <c r="W43" s="413">
        <v>34759.12999999999</v>
      </c>
      <c r="X43" s="414">
        <v>4324.58</v>
      </c>
      <c r="Y43" s="414">
        <v>39083.710000000006</v>
      </c>
      <c r="Z43" s="22">
        <v>92970.474999999977</v>
      </c>
      <c r="AA43" s="417"/>
      <c r="AB43" s="419">
        <f>SUM(AB6:AB42)</f>
        <v>1045.3999999999996</v>
      </c>
      <c r="AC43" s="419">
        <f t="shared" ref="AC43:AE43" si="10">SUM(AC6:AC42)</f>
        <v>4455.8900000000003</v>
      </c>
      <c r="AD43" s="419">
        <f t="shared" si="10"/>
        <v>291.61000000000013</v>
      </c>
      <c r="AE43" s="419">
        <f t="shared" si="10"/>
        <v>99.9</v>
      </c>
    </row>
    <row r="44" spans="1:31" s="418" customFormat="1" ht="13.5" thickBot="1">
      <c r="B44" s="913" t="s">
        <v>87</v>
      </c>
      <c r="C44" s="914"/>
      <c r="D44" s="914"/>
      <c r="E44" s="914"/>
      <c r="F44" s="914"/>
      <c r="G44" s="914"/>
      <c r="H44" s="914"/>
      <c r="I44" s="914"/>
      <c r="J44" s="914"/>
      <c r="K44" s="915"/>
      <c r="L44" s="915"/>
      <c r="M44" s="916"/>
      <c r="N44" s="417">
        <f t="shared" si="2"/>
        <v>0</v>
      </c>
      <c r="Q44" s="415">
        <f>Q43-D43</f>
        <v>99.900000000000546</v>
      </c>
      <c r="R44" s="415">
        <f t="shared" ref="R44:Z44" si="11">R43-E43</f>
        <v>1045.3999999999942</v>
      </c>
      <c r="S44" s="415">
        <f t="shared" si="11"/>
        <v>173.36999999999898</v>
      </c>
      <c r="T44" s="415">
        <f t="shared" si="11"/>
        <v>97.240000000000009</v>
      </c>
      <c r="U44" s="415">
        <f t="shared" si="11"/>
        <v>21</v>
      </c>
      <c r="V44" s="415">
        <f t="shared" si="11"/>
        <v>291.60999999999694</v>
      </c>
      <c r="W44" s="415">
        <f t="shared" si="11"/>
        <v>2646.6199999999917</v>
      </c>
      <c r="X44" s="415">
        <f t="shared" si="11"/>
        <v>1809.27</v>
      </c>
      <c r="Y44" s="415">
        <f t="shared" si="11"/>
        <v>4455.8899999999921</v>
      </c>
      <c r="Z44" s="415">
        <f t="shared" si="11"/>
        <v>5892.7999999999593</v>
      </c>
      <c r="AA44" s="417">
        <f t="shared" si="3"/>
        <v>0</v>
      </c>
      <c r="AB44" s="419">
        <f>R44</f>
        <v>1045.3999999999942</v>
      </c>
      <c r="AC44" s="419">
        <f>Y44</f>
        <v>4455.8899999999921</v>
      </c>
      <c r="AD44" s="419">
        <f>V44</f>
        <v>291.60999999999694</v>
      </c>
      <c r="AE44" s="419">
        <f>Q44</f>
        <v>99.900000000000546</v>
      </c>
    </row>
    <row r="45" spans="1:31" s="417" customFormat="1" ht="12.75">
      <c r="B45" s="917"/>
      <c r="C45" s="917"/>
      <c r="D45" s="917"/>
      <c r="E45" s="917"/>
      <c r="F45" s="917"/>
      <c r="G45" s="917"/>
      <c r="H45" s="917"/>
      <c r="I45" s="917"/>
      <c r="J45" s="917"/>
      <c r="K45" s="648"/>
      <c r="L45" s="648"/>
    </row>
    <row r="46" spans="1:31" s="417" customFormat="1" ht="12.75">
      <c r="D46" s="15"/>
      <c r="E46" s="15"/>
      <c r="F46" s="23"/>
      <c r="G46" s="23"/>
      <c r="H46" s="23"/>
      <c r="I46" s="23"/>
      <c r="J46" s="23"/>
      <c r="K46" s="23"/>
      <c r="L46" s="23"/>
    </row>
    <row r="47" spans="1:31" s="417" customFormat="1" ht="12.75">
      <c r="D47" s="15"/>
      <c r="E47" s="15"/>
      <c r="F47" s="23"/>
      <c r="G47" s="23"/>
      <c r="H47" s="23"/>
      <c r="I47" s="23"/>
      <c r="J47" s="23"/>
      <c r="K47" s="23"/>
      <c r="L47" s="23"/>
    </row>
    <row r="48" spans="1:31" s="417" customFormat="1" ht="12.75">
      <c r="D48" s="15"/>
      <c r="E48" s="15"/>
      <c r="F48" s="23"/>
      <c r="G48" s="23"/>
      <c r="H48" s="23"/>
      <c r="I48" s="23"/>
      <c r="J48" s="23"/>
      <c r="K48" s="23"/>
      <c r="L48" s="23"/>
    </row>
    <row r="49" spans="4:12" s="417" customFormat="1" ht="12.75">
      <c r="D49" s="15"/>
      <c r="E49" s="15"/>
      <c r="F49" s="23"/>
      <c r="G49" s="23"/>
      <c r="H49" s="23"/>
      <c r="I49" s="23"/>
      <c r="J49" s="23"/>
      <c r="K49" s="23"/>
      <c r="L49" s="23"/>
    </row>
    <row r="50" spans="4:12" s="417" customFormat="1" ht="12.75">
      <c r="D50" s="15"/>
      <c r="E50" s="15"/>
      <c r="F50" s="23"/>
      <c r="G50" s="23"/>
      <c r="H50" s="23"/>
      <c r="I50" s="23"/>
      <c r="J50" s="23"/>
      <c r="K50" s="23"/>
      <c r="L50" s="23"/>
    </row>
    <row r="51" spans="4:12" s="417" customFormat="1" ht="12.75">
      <c r="D51" s="15"/>
      <c r="E51" s="15"/>
      <c r="F51" s="23"/>
      <c r="G51" s="23"/>
      <c r="H51" s="23"/>
      <c r="I51" s="23"/>
      <c r="J51" s="23"/>
      <c r="K51" s="23"/>
      <c r="L51" s="23"/>
    </row>
    <row r="52" spans="4:12" s="417" customFormat="1" ht="12.75">
      <c r="D52" s="15"/>
      <c r="E52" s="15"/>
      <c r="F52" s="23"/>
      <c r="G52" s="23"/>
      <c r="H52" s="23"/>
      <c r="I52" s="23"/>
      <c r="J52" s="23"/>
      <c r="K52" s="23"/>
      <c r="L52" s="23"/>
    </row>
    <row r="53" spans="4:12" s="417" customFormat="1" ht="12.75">
      <c r="D53" s="15"/>
      <c r="E53" s="15"/>
      <c r="F53" s="23"/>
      <c r="G53" s="23"/>
      <c r="H53" s="23"/>
      <c r="I53" s="23"/>
      <c r="J53" s="23"/>
      <c r="K53" s="23"/>
      <c r="L53" s="23"/>
    </row>
    <row r="54" spans="4:12" s="417" customFormat="1" ht="12.75">
      <c r="D54" s="15"/>
      <c r="E54" s="15"/>
      <c r="F54" s="23"/>
      <c r="G54" s="23"/>
      <c r="H54" s="23"/>
      <c r="I54" s="23"/>
      <c r="J54" s="23"/>
      <c r="K54" s="23"/>
      <c r="L54" s="23"/>
    </row>
    <row r="55" spans="4:12" s="417" customFormat="1" ht="12.75">
      <c r="D55" s="15"/>
      <c r="E55" s="15"/>
      <c r="F55" s="23"/>
      <c r="G55" s="23"/>
      <c r="H55" s="23"/>
      <c r="I55" s="23"/>
      <c r="J55" s="23"/>
      <c r="K55" s="23"/>
      <c r="L55" s="23"/>
    </row>
    <row r="56" spans="4:12" s="417" customFormat="1" ht="12.75">
      <c r="D56" s="15"/>
      <c r="E56" s="15"/>
      <c r="F56" s="23"/>
      <c r="G56" s="23"/>
      <c r="H56" s="23"/>
      <c r="I56" s="23"/>
      <c r="J56" s="23"/>
      <c r="K56" s="23"/>
      <c r="L56" s="23"/>
    </row>
    <row r="57" spans="4:12" s="417" customFormat="1" ht="12.75">
      <c r="D57" s="15"/>
      <c r="E57" s="15"/>
      <c r="F57" s="23"/>
      <c r="G57" s="23"/>
      <c r="H57" s="23"/>
      <c r="I57" s="23"/>
      <c r="J57" s="23"/>
      <c r="K57" s="23"/>
      <c r="L57" s="23"/>
    </row>
    <row r="58" spans="4:12" s="417" customFormat="1" ht="12.75">
      <c r="D58" s="15"/>
      <c r="E58" s="15"/>
      <c r="F58" s="23"/>
      <c r="G58" s="23"/>
      <c r="H58" s="23"/>
      <c r="I58" s="23"/>
      <c r="J58" s="23"/>
      <c r="K58" s="23"/>
      <c r="L58" s="23"/>
    </row>
    <row r="59" spans="4:12" s="417" customFormat="1" ht="12.75">
      <c r="D59" s="15"/>
      <c r="E59" s="15"/>
      <c r="F59" s="23"/>
      <c r="G59" s="23"/>
      <c r="H59" s="23"/>
      <c r="I59" s="23"/>
      <c r="J59" s="23"/>
      <c r="K59" s="23"/>
      <c r="L59" s="23"/>
    </row>
    <row r="60" spans="4:12" s="417" customFormat="1" ht="12.75">
      <c r="D60" s="15"/>
      <c r="E60" s="15"/>
      <c r="F60" s="23"/>
      <c r="G60" s="23"/>
      <c r="H60" s="23"/>
      <c r="I60" s="23"/>
      <c r="J60" s="23"/>
      <c r="K60" s="23"/>
      <c r="L60" s="23"/>
    </row>
    <row r="61" spans="4:12" s="417" customFormat="1" ht="12.75">
      <c r="D61" s="15"/>
      <c r="E61" s="15"/>
      <c r="F61" s="23"/>
      <c r="G61" s="23"/>
      <c r="H61" s="23"/>
      <c r="I61" s="23"/>
      <c r="J61" s="23"/>
      <c r="K61" s="23"/>
      <c r="L61" s="23"/>
    </row>
    <row r="62" spans="4:12" s="417" customFormat="1" ht="12.75">
      <c r="D62" s="15"/>
      <c r="E62" s="15"/>
      <c r="F62" s="23"/>
      <c r="G62" s="23"/>
      <c r="H62" s="23"/>
      <c r="I62" s="23"/>
      <c r="J62" s="23"/>
      <c r="K62" s="23"/>
      <c r="L62" s="23"/>
    </row>
    <row r="63" spans="4:12" s="417" customFormat="1" ht="12.75">
      <c r="D63" s="15"/>
      <c r="E63" s="15"/>
      <c r="F63" s="23"/>
      <c r="G63" s="23"/>
      <c r="H63" s="23"/>
      <c r="I63" s="23"/>
      <c r="J63" s="23"/>
      <c r="K63" s="23"/>
      <c r="L63" s="23"/>
    </row>
    <row r="64" spans="4:12" s="417" customFormat="1" ht="12.75">
      <c r="D64" s="15"/>
      <c r="E64" s="15"/>
      <c r="F64" s="23"/>
      <c r="G64" s="23"/>
      <c r="H64" s="23"/>
      <c r="I64" s="23"/>
      <c r="J64" s="23"/>
      <c r="K64" s="23"/>
      <c r="L64" s="23"/>
    </row>
    <row r="65" spans="4:12" s="417" customFormat="1" ht="12.75">
      <c r="D65" s="15"/>
      <c r="E65" s="15"/>
      <c r="F65" s="23"/>
      <c r="G65" s="23"/>
      <c r="H65" s="23"/>
      <c r="I65" s="23"/>
      <c r="J65" s="23"/>
      <c r="K65" s="23"/>
      <c r="L65" s="23"/>
    </row>
    <row r="66" spans="4:12" s="417" customFormat="1" ht="12.75">
      <c r="D66" s="15"/>
      <c r="E66" s="15"/>
      <c r="F66" s="23"/>
      <c r="G66" s="23"/>
      <c r="H66" s="23"/>
      <c r="I66" s="23"/>
      <c r="J66" s="23"/>
      <c r="K66" s="23"/>
      <c r="L66" s="23"/>
    </row>
    <row r="67" spans="4:12" s="417" customFormat="1" ht="12.75">
      <c r="D67" s="15"/>
      <c r="E67" s="15"/>
      <c r="F67" s="23"/>
      <c r="G67" s="23"/>
      <c r="H67" s="23"/>
      <c r="I67" s="23"/>
      <c r="J67" s="23"/>
      <c r="K67" s="23"/>
      <c r="L67" s="23"/>
    </row>
    <row r="68" spans="4:12" s="417" customFormat="1" ht="12.75">
      <c r="D68" s="15"/>
      <c r="E68" s="15"/>
      <c r="F68" s="23"/>
      <c r="G68" s="23"/>
      <c r="H68" s="23"/>
      <c r="I68" s="23"/>
      <c r="J68" s="23"/>
      <c r="K68" s="23"/>
      <c r="L68" s="23"/>
    </row>
    <row r="69" spans="4:12" s="417" customFormat="1" ht="12.75">
      <c r="D69" s="15"/>
      <c r="E69" s="15"/>
      <c r="F69" s="23"/>
      <c r="G69" s="23"/>
      <c r="H69" s="23"/>
      <c r="I69" s="23"/>
      <c r="J69" s="23"/>
      <c r="K69" s="23"/>
      <c r="L69" s="23"/>
    </row>
    <row r="70" spans="4:12" s="417" customFormat="1" ht="12.75">
      <c r="D70" s="15"/>
      <c r="E70" s="15"/>
      <c r="F70" s="23"/>
      <c r="G70" s="23"/>
      <c r="H70" s="23"/>
      <c r="I70" s="23"/>
      <c r="J70" s="23"/>
      <c r="K70" s="23"/>
      <c r="L70" s="23"/>
    </row>
    <row r="71" spans="4:12" s="417" customFormat="1" ht="12.75">
      <c r="E71" s="15"/>
      <c r="F71" s="23"/>
      <c r="G71" s="23"/>
      <c r="H71" s="23"/>
      <c r="I71" s="23"/>
      <c r="J71" s="23"/>
      <c r="K71" s="23"/>
      <c r="L71" s="23"/>
    </row>
    <row r="72" spans="4:12" s="417" customFormat="1" ht="12.75">
      <c r="D72" s="15"/>
      <c r="E72" s="15"/>
      <c r="F72" s="23"/>
      <c r="G72" s="23"/>
      <c r="H72" s="23"/>
      <c r="I72" s="23"/>
      <c r="J72" s="23"/>
      <c r="K72" s="23"/>
      <c r="L72" s="23"/>
    </row>
    <row r="73" spans="4:12" s="417" customFormat="1" ht="12.75">
      <c r="D73" s="15"/>
      <c r="E73" s="15"/>
      <c r="F73" s="23"/>
      <c r="G73" s="23"/>
      <c r="H73" s="23"/>
      <c r="I73" s="23"/>
      <c r="J73" s="23"/>
      <c r="K73" s="23"/>
      <c r="L73" s="23"/>
    </row>
    <row r="74" spans="4:12" s="417" customFormat="1" ht="12.75">
      <c r="D74" s="15"/>
      <c r="E74" s="15"/>
      <c r="F74" s="23"/>
      <c r="G74" s="23"/>
      <c r="H74" s="23"/>
      <c r="I74" s="23"/>
      <c r="J74" s="23"/>
      <c r="K74" s="23"/>
      <c r="L74" s="23"/>
    </row>
    <row r="75" spans="4:12" s="417" customFormat="1" ht="12.75">
      <c r="D75" s="15"/>
      <c r="E75" s="15"/>
      <c r="F75" s="23"/>
      <c r="G75" s="23"/>
      <c r="H75" s="23"/>
      <c r="I75" s="23"/>
      <c r="J75" s="23"/>
      <c r="K75" s="23"/>
      <c r="L75" s="23"/>
    </row>
    <row r="76" spans="4:12" s="417" customFormat="1" ht="12.75">
      <c r="D76" s="15"/>
      <c r="E76" s="15"/>
      <c r="F76" s="23"/>
      <c r="G76" s="23"/>
      <c r="H76" s="23"/>
      <c r="I76" s="23"/>
      <c r="J76" s="23"/>
      <c r="K76" s="23"/>
      <c r="L76" s="23"/>
    </row>
    <row r="77" spans="4:12" s="417" customFormat="1" ht="12.75">
      <c r="D77" s="15"/>
      <c r="E77" s="15"/>
      <c r="F77" s="23"/>
      <c r="G77" s="23"/>
      <c r="H77" s="23"/>
      <c r="I77" s="23"/>
      <c r="J77" s="23"/>
      <c r="K77" s="23"/>
      <c r="L77" s="23"/>
    </row>
    <row r="78" spans="4:12" s="417" customFormat="1" ht="12.75">
      <c r="D78" s="15"/>
      <c r="E78" s="15"/>
      <c r="F78" s="23"/>
      <c r="G78" s="23"/>
      <c r="H78" s="23"/>
      <c r="I78" s="23"/>
      <c r="J78" s="23"/>
      <c r="K78" s="23"/>
      <c r="L78" s="23"/>
    </row>
    <row r="79" spans="4:12" s="417" customFormat="1" ht="12.75"/>
    <row r="80" spans="4:12" s="417" customFormat="1" ht="12.75"/>
    <row r="81" s="417" customFormat="1" ht="12.75"/>
    <row r="82" s="417" customFormat="1" ht="12.75"/>
    <row r="83" s="417" customFormat="1" ht="12.75"/>
    <row r="84" s="417" customFormat="1" ht="12.75"/>
    <row r="85" s="417" customFormat="1" ht="12.75"/>
    <row r="86" s="417" customFormat="1" ht="12.75"/>
    <row r="87" s="417" customFormat="1" ht="12.75"/>
    <row r="88" s="417" customFormat="1" ht="12.75"/>
    <row r="89" s="417" customFormat="1" ht="12.75"/>
    <row r="90" s="417" customFormat="1" ht="12.75"/>
    <row r="91" s="417" customFormat="1" ht="12.75"/>
    <row r="92" s="417" customFormat="1" ht="12.75"/>
    <row r="93" s="417" customFormat="1" ht="12.75"/>
    <row r="94" s="417" customFormat="1" ht="12.75"/>
    <row r="95" s="417" customFormat="1" ht="12.75"/>
    <row r="96" s="417" customFormat="1" ht="12.75"/>
    <row r="97" s="417" customFormat="1" ht="12.75"/>
    <row r="98" s="417" customFormat="1" ht="12.75"/>
    <row r="99" s="417" customFormat="1" ht="12.75"/>
    <row r="100" s="417" customFormat="1" ht="12.75"/>
    <row r="101" s="417" customFormat="1" ht="12.75"/>
    <row r="102" s="417" customFormat="1" ht="12.75"/>
    <row r="103" s="417" customFormat="1" ht="12.75"/>
    <row r="104" s="417" customFormat="1" ht="12.75"/>
    <row r="105" s="417" customFormat="1" ht="12.75"/>
    <row r="106" s="417" customFormat="1" ht="12.75"/>
    <row r="107" s="417" customFormat="1" ht="12.75"/>
    <row r="108" s="417" customFormat="1" ht="12.75"/>
    <row r="109" s="417" customFormat="1" ht="12.75"/>
    <row r="110" s="417" customFormat="1" ht="12.75"/>
    <row r="111" s="417" customFormat="1" ht="12.75"/>
    <row r="112" s="417" customFormat="1" ht="12.75"/>
    <row r="113" s="417" customFormat="1" ht="12.75"/>
    <row r="114" s="417" customFormat="1" ht="12.75"/>
    <row r="115" s="417" customFormat="1" ht="12.75"/>
    <row r="116" s="417" customFormat="1" ht="12.75"/>
    <row r="117" s="417" customFormat="1" ht="12.75"/>
    <row r="118" s="417" customFormat="1" ht="12.75"/>
    <row r="119" s="417" customFormat="1" ht="12.75"/>
    <row r="120" s="417" customFormat="1" ht="12.75"/>
    <row r="121" s="417" customFormat="1" ht="12.75"/>
    <row r="122" s="417" customFormat="1" ht="12.75"/>
    <row r="123" s="417" customFormat="1" ht="12.75"/>
    <row r="124" s="417" customFormat="1" ht="12.75"/>
    <row r="125" s="417" customFormat="1" ht="12.75"/>
    <row r="126" s="417" customFormat="1" ht="12.75"/>
    <row r="127" s="417" customFormat="1" ht="12.75"/>
    <row r="128" s="417" customFormat="1" ht="12.75"/>
    <row r="129" s="417" customFormat="1" ht="12.75"/>
    <row r="130" s="417" customFormat="1" ht="12.75"/>
    <row r="131" s="417" customFormat="1" ht="12.75"/>
    <row r="132" s="417" customFormat="1" ht="12.75"/>
    <row r="133" s="417" customFormat="1" ht="12.75"/>
    <row r="134" s="417" customFormat="1" ht="12.75"/>
    <row r="135" s="417" customFormat="1" ht="12.75"/>
    <row r="136" s="417" customFormat="1" ht="12.75"/>
    <row r="137" s="417" customFormat="1" ht="12.75"/>
    <row r="138" s="417" customFormat="1" ht="12.75"/>
    <row r="139" s="417" customFormat="1" ht="12.75"/>
    <row r="140" s="417" customFormat="1" ht="12.75"/>
    <row r="141" s="417" customFormat="1" ht="12.75"/>
    <row r="142" s="417" customFormat="1" ht="12.75"/>
    <row r="143" s="417" customFormat="1" ht="12.75"/>
    <row r="144" s="417" customFormat="1" ht="12.75"/>
    <row r="145" s="417" customFormat="1" ht="12.75"/>
    <row r="146" s="417" customFormat="1" ht="12.75"/>
    <row r="147" s="417" customFormat="1" ht="12.75"/>
    <row r="148" s="417" customFormat="1" ht="12.75"/>
    <row r="149" s="417" customFormat="1" ht="12.75"/>
    <row r="150" s="417" customFormat="1" ht="12.75"/>
    <row r="151" s="417" customFormat="1" ht="12.75"/>
    <row r="152" s="417" customFormat="1" ht="12.75"/>
    <row r="153" s="417" customFormat="1" ht="12.75"/>
    <row r="154" s="417" customFormat="1" ht="12.75"/>
    <row r="155" s="417" customFormat="1" ht="12.75"/>
    <row r="156" s="417" customFormat="1" ht="12.75"/>
    <row r="157" s="417" customFormat="1" ht="12.75"/>
    <row r="158" s="417" customFormat="1" ht="12.75"/>
    <row r="159" s="417" customFormat="1" ht="12.75"/>
    <row r="160" s="417" customFormat="1" ht="12.75"/>
    <row r="161" s="417" customFormat="1" ht="12.75"/>
    <row r="162" s="417" customFormat="1" ht="12.75"/>
    <row r="163" s="417" customFormat="1" ht="12.75"/>
    <row r="164" s="417" customFormat="1" ht="12.75"/>
    <row r="165" s="417" customFormat="1" ht="12.75"/>
    <row r="166" s="417" customFormat="1" ht="12.75"/>
    <row r="167" s="417" customFormat="1" ht="12.75"/>
    <row r="168" s="417" customFormat="1" ht="12.75"/>
    <row r="169" s="417" customFormat="1" ht="12.75"/>
    <row r="170" s="417" customFormat="1" ht="12.75"/>
    <row r="171" s="417" customFormat="1" ht="12.75"/>
    <row r="172" s="417" customFormat="1" ht="12.75"/>
    <row r="173" s="417" customFormat="1" ht="12.75"/>
    <row r="174" s="417" customFormat="1" ht="12.75"/>
    <row r="175" s="417" customFormat="1" ht="12.75"/>
    <row r="176" s="417" customFormat="1" ht="12.75"/>
    <row r="177" s="417" customFormat="1" ht="12.75"/>
    <row r="178" s="417" customFormat="1" ht="12.75"/>
    <row r="179" s="417" customFormat="1" ht="12.75"/>
    <row r="180" s="417" customFormat="1" ht="12.75"/>
    <row r="181" s="417" customFormat="1" ht="12.75"/>
    <row r="182" s="417" customFormat="1" ht="12.75"/>
    <row r="183" s="417" customFormat="1" ht="12.75"/>
    <row r="184" s="417" customFormat="1" ht="12.75"/>
    <row r="185" s="417" customFormat="1" ht="12.75"/>
    <row r="186" s="417" customFormat="1" ht="12.75"/>
    <row r="187" s="417" customFormat="1" ht="12.75"/>
    <row r="188" s="417" customFormat="1" ht="12.75"/>
    <row r="189" s="417" customFormat="1" ht="12.75"/>
    <row r="190" s="417" customFormat="1" ht="12.75"/>
    <row r="191" s="417" customFormat="1" ht="12.75"/>
    <row r="192" s="417" customFormat="1" ht="12.75"/>
    <row r="193" s="417" customFormat="1" ht="12.75"/>
    <row r="194" s="417" customFormat="1" ht="12.75"/>
    <row r="195" s="417" customFormat="1" ht="12.75"/>
    <row r="196" s="417" customFormat="1" ht="12.75"/>
    <row r="197" s="417" customFormat="1" ht="12.75"/>
    <row r="198" s="417" customFormat="1" ht="12.75"/>
    <row r="199" s="417" customFormat="1" ht="12.75"/>
    <row r="200" s="417" customFormat="1" ht="12.75"/>
    <row r="201" s="417" customFormat="1" ht="12.75"/>
    <row r="202" s="417" customFormat="1" ht="12.75"/>
    <row r="203" s="417" customFormat="1" ht="12.75"/>
    <row r="204" s="417" customFormat="1" ht="12.75"/>
    <row r="205" s="417" customFormat="1" ht="12.75"/>
    <row r="206" s="417" customFormat="1" ht="12.75"/>
    <row r="207" s="417" customFormat="1" ht="12.75"/>
    <row r="208" s="417" customFormat="1" ht="12.75"/>
    <row r="209" s="417" customFormat="1" ht="12.75"/>
    <row r="210" s="417" customFormat="1" ht="12.75"/>
    <row r="211" s="417" customFormat="1" ht="12.75"/>
    <row r="212" s="417" customFormat="1" ht="12.75"/>
    <row r="213" s="417" customFormat="1" ht="12.75"/>
    <row r="214" s="417" customFormat="1" ht="12.75"/>
    <row r="215" s="417" customFormat="1" ht="12.75"/>
    <row r="216" s="417" customFormat="1" ht="12.75"/>
    <row r="217" s="417" customFormat="1" ht="12.75"/>
    <row r="218" s="417" customFormat="1" ht="12.75"/>
    <row r="219" s="417" customFormat="1" ht="12.75"/>
    <row r="220" s="417" customFormat="1" ht="12.75"/>
    <row r="221" s="417" customFormat="1" ht="12.75"/>
    <row r="222" s="417" customFormat="1" ht="12.75"/>
    <row r="223" s="417" customFormat="1" ht="12.75"/>
    <row r="224" s="417" customFormat="1" ht="12.75"/>
    <row r="225" s="417" customFormat="1" ht="12.75"/>
    <row r="226" s="417" customFormat="1" ht="12.75"/>
    <row r="227" s="417" customFormat="1" ht="12.75"/>
    <row r="228" s="417" customFormat="1" ht="12.75"/>
    <row r="229" s="417" customFormat="1" ht="12.75"/>
    <row r="230" s="417" customFormat="1" ht="12.75"/>
    <row r="231" s="417" customFormat="1" ht="12.75"/>
    <row r="232" s="417" customFormat="1" ht="12.75"/>
    <row r="233" s="417" customFormat="1" ht="12.75"/>
    <row r="234" s="417" customFormat="1" ht="12.75"/>
    <row r="235" s="417" customFormat="1" ht="12.75"/>
    <row r="236" s="417" customFormat="1" ht="12.75"/>
    <row r="237" s="417" customFormat="1" ht="12.75"/>
    <row r="238" s="417" customFormat="1" ht="12.75"/>
    <row r="239" s="417" customFormat="1" ht="12.75"/>
    <row r="240" s="417" customFormat="1" ht="12.75"/>
    <row r="241" s="417" customFormat="1" ht="12.75"/>
    <row r="242" s="417" customFormat="1" ht="12.75"/>
    <row r="243" s="417" customFormat="1" ht="12.75"/>
    <row r="244" s="417" customFormat="1" ht="12.75"/>
    <row r="245" s="417" customFormat="1" ht="12.75"/>
    <row r="246" s="417" customFormat="1" ht="12.75"/>
    <row r="247" s="417" customFormat="1" ht="12.75"/>
    <row r="248" s="417" customFormat="1" ht="12.75"/>
    <row r="249" s="417" customFormat="1" ht="12.75"/>
    <row r="250" s="417" customFormat="1" ht="12.75"/>
    <row r="251" s="417" customFormat="1" ht="12.75"/>
    <row r="252" s="417" customFormat="1" ht="12.75"/>
    <row r="253" s="417" customFormat="1" ht="12.75"/>
    <row r="254" s="417" customFormat="1" ht="12.75"/>
    <row r="255" s="417" customFormat="1" ht="12.75"/>
    <row r="256" s="417" customFormat="1" ht="12.75"/>
    <row r="257" s="417" customFormat="1" ht="12.75"/>
    <row r="258" s="417" customFormat="1" ht="12.75"/>
    <row r="259" s="417" customFormat="1" ht="12.75"/>
    <row r="260" s="417" customFormat="1" ht="12.75"/>
    <row r="261" s="417" customFormat="1" ht="12.75"/>
    <row r="262" s="417" customFormat="1" ht="12.75"/>
    <row r="263" s="417" customFormat="1" ht="12.75"/>
    <row r="264" s="417" customFormat="1" ht="12.75"/>
    <row r="265" s="417" customFormat="1" ht="12.75"/>
    <row r="266" s="417" customFormat="1" ht="12.75"/>
    <row r="267" s="417" customFormat="1" ht="12.75"/>
    <row r="268" s="417" customFormat="1" ht="12.75"/>
    <row r="269" s="417" customFormat="1" ht="12.75"/>
    <row r="270" s="417" customFormat="1" ht="12.75"/>
    <row r="271" s="417" customFormat="1" ht="12.75"/>
    <row r="272" s="417" customFormat="1" ht="12.75"/>
    <row r="273" s="417" customFormat="1" ht="12.75"/>
    <row r="274" s="417" customFormat="1" ht="12.75"/>
    <row r="275" s="417" customFormat="1" ht="12.75"/>
    <row r="276" s="417" customFormat="1" ht="12.75"/>
    <row r="277" s="417" customFormat="1" ht="12.75"/>
    <row r="278" s="417" customFormat="1" ht="12.75"/>
    <row r="279" s="417" customFormat="1" ht="12.75"/>
    <row r="280" s="417" customFormat="1" ht="12.75"/>
    <row r="281" s="417" customFormat="1" ht="12.75"/>
    <row r="282" s="417" customFormat="1" ht="12.75"/>
    <row r="283" s="417" customFormat="1" ht="12.75"/>
    <row r="284" s="417" customFormat="1" ht="12.75"/>
    <row r="285" s="417" customFormat="1" ht="12.75"/>
    <row r="286" s="417" customFormat="1" ht="12.75"/>
    <row r="287" s="417" customFormat="1" ht="12.75"/>
    <row r="288" s="417" customFormat="1" ht="12.75"/>
    <row r="289" s="417" customFormat="1" ht="12.75"/>
    <row r="290" s="417" customFormat="1" ht="12.75"/>
    <row r="291" s="417" customFormat="1" ht="12.75"/>
    <row r="292" s="417" customFormat="1" ht="12.75"/>
    <row r="293" s="417" customFormat="1" ht="12.75"/>
    <row r="294" s="417" customFormat="1" ht="12.75"/>
    <row r="295" s="417" customFormat="1" ht="12.75"/>
    <row r="296" s="417" customFormat="1" ht="12.75"/>
    <row r="297" s="417" customFormat="1" ht="12.75"/>
    <row r="298" s="417" customFormat="1" ht="12.75"/>
    <row r="299" s="417" customFormat="1" ht="12.75"/>
    <row r="300" s="417" customFormat="1" ht="12.75"/>
    <row r="301" s="417" customFormat="1" ht="12.75"/>
    <row r="302" s="417" customFormat="1" ht="12.75"/>
    <row r="303" s="417" customFormat="1" ht="12.75"/>
    <row r="304" s="417" customFormat="1" ht="12.75"/>
    <row r="305" s="417" customFormat="1" ht="12.75"/>
    <row r="306" s="417" customFormat="1" ht="12.75"/>
    <row r="307" s="417" customFormat="1" ht="12.75"/>
    <row r="308" s="417" customFormat="1" ht="12.75"/>
    <row r="309" s="417" customFormat="1" ht="12.75"/>
    <row r="310" s="417" customFormat="1" ht="12.75"/>
    <row r="311" s="417" customFormat="1" ht="12.75"/>
    <row r="312" s="417" customFormat="1" ht="12.75"/>
    <row r="313" s="417" customFormat="1" ht="12.75"/>
    <row r="314" s="417" customFormat="1" ht="12.75"/>
    <row r="315" s="417" customFormat="1" ht="12.75"/>
    <row r="316" s="417" customFormat="1" ht="12.75"/>
    <row r="317" s="417" customFormat="1" ht="12.75"/>
    <row r="318" s="417" customFormat="1" ht="12.75"/>
    <row r="319" s="417" customFormat="1" ht="12.75"/>
    <row r="320" s="417" customFormat="1" ht="12.75"/>
    <row r="321" s="417" customFormat="1" ht="12.75"/>
    <row r="322" s="417" customFormat="1" ht="12.75"/>
    <row r="323" s="417" customFormat="1" ht="12.75"/>
    <row r="324" s="417" customFormat="1" ht="12.75"/>
    <row r="325" s="417" customFormat="1" ht="12.75"/>
    <row r="326" s="417" customFormat="1" ht="12.75"/>
    <row r="327" s="417" customFormat="1" ht="12.75"/>
    <row r="328" s="417" customFormat="1" ht="12.75"/>
    <row r="329" s="417" customFormat="1" ht="12.75"/>
    <row r="330" s="417" customFormat="1" ht="12.75"/>
    <row r="331" s="417" customFormat="1" ht="12.75"/>
    <row r="332" s="417" customFormat="1" ht="12.75"/>
    <row r="333" s="417" customFormat="1" ht="12.75"/>
    <row r="334" s="417" customFormat="1" ht="12.75"/>
    <row r="335" s="417" customFormat="1" ht="12.75"/>
    <row r="336" s="417" customFormat="1" ht="12.75"/>
    <row r="337" s="417" customFormat="1" ht="12.75"/>
    <row r="338" s="417" customFormat="1" ht="12.75"/>
    <row r="339" s="417" customFormat="1" ht="12.75"/>
    <row r="340" s="417" customFormat="1" ht="12.75"/>
    <row r="341" s="417" customFormat="1" ht="12.75"/>
    <row r="342" s="417" customFormat="1" ht="12.75"/>
    <row r="343" s="417" customFormat="1" ht="12.75"/>
    <row r="344" s="417" customFormat="1" ht="12.75"/>
    <row r="345" s="417" customFormat="1" ht="12.75"/>
    <row r="346" s="417" customFormat="1" ht="12.75"/>
    <row r="347" s="417" customFormat="1" ht="12.75"/>
    <row r="348" s="417" customFormat="1" ht="12.75"/>
    <row r="349" s="417" customFormat="1" ht="12.75"/>
    <row r="350" s="417" customFormat="1" ht="12.75"/>
    <row r="351" s="417" customFormat="1" ht="12.75"/>
    <row r="352" s="417" customFormat="1" ht="12.75"/>
    <row r="353" s="417" customFormat="1" ht="12.75"/>
    <row r="354" s="417" customFormat="1" ht="12.75"/>
    <row r="355" s="417" customFormat="1" ht="12.75"/>
    <row r="356" s="417" customFormat="1" ht="12.75"/>
    <row r="357" s="417" customFormat="1" ht="12.75"/>
    <row r="358" s="417" customFormat="1" ht="12.75"/>
    <row r="359" s="417" customFormat="1" ht="12.75"/>
    <row r="360" s="417" customFormat="1" ht="12.75"/>
    <row r="361" s="417" customFormat="1" ht="12.75"/>
    <row r="362" s="417" customFormat="1" ht="12.75"/>
    <row r="363" s="417" customFormat="1" ht="12.75"/>
    <row r="364" s="417" customFormat="1" ht="12.75"/>
    <row r="365" s="417" customFormat="1" ht="12.75"/>
    <row r="366" s="417" customFormat="1" ht="12.75"/>
    <row r="367" s="417" customFormat="1" ht="12.75"/>
    <row r="368" s="417" customFormat="1" ht="12.75"/>
    <row r="369" s="417" customFormat="1" ht="12.75"/>
    <row r="370" s="417" customFormat="1" ht="12.75"/>
    <row r="371" s="417" customFormat="1" ht="12.75"/>
    <row r="372" s="417" customFormat="1" ht="12.75"/>
    <row r="373" s="417" customFormat="1" ht="12.75"/>
    <row r="374" s="417" customFormat="1" ht="12.75"/>
    <row r="375" s="417" customFormat="1" ht="12.75"/>
    <row r="376" s="417" customFormat="1" ht="12.75"/>
    <row r="377" s="417" customFormat="1" ht="12.75"/>
    <row r="378" s="417" customFormat="1" ht="12.75"/>
    <row r="379" s="417" customFormat="1" ht="12.75"/>
    <row r="380" s="417" customFormat="1" ht="12.75"/>
    <row r="381" s="417" customFormat="1" ht="12.75"/>
    <row r="382" s="417" customFormat="1" ht="12.75"/>
    <row r="383" s="417" customFormat="1" ht="12.75"/>
    <row r="384" s="417" customFormat="1" ht="12.75"/>
    <row r="385" s="417" customFormat="1" ht="12.75"/>
    <row r="386" s="417" customFormat="1" ht="12.75"/>
    <row r="387" s="417" customFormat="1" ht="12.75"/>
    <row r="388" s="417" customFormat="1" ht="12.75"/>
    <row r="389" s="417" customFormat="1" ht="12.75"/>
    <row r="390" s="417" customFormat="1" ht="12.75"/>
    <row r="391" s="417" customFormat="1" ht="12.75"/>
    <row r="392" s="417" customFormat="1" ht="12.75"/>
    <row r="393" s="417" customFormat="1" ht="12.75"/>
    <row r="394" s="417" customFormat="1" ht="12.75"/>
    <row r="395" s="417" customFormat="1" ht="12.75"/>
    <row r="396" s="417" customFormat="1" ht="12.75"/>
    <row r="397" s="417" customFormat="1" ht="12.75"/>
    <row r="398" s="417" customFormat="1" ht="12.75"/>
    <row r="399" s="417" customFormat="1" ht="12.75"/>
    <row r="400" s="417" customFormat="1" ht="12.75"/>
    <row r="401" s="417" customFormat="1" ht="12.75"/>
    <row r="402" s="417" customFormat="1" ht="12.75"/>
    <row r="403" s="417" customFormat="1" ht="12.75"/>
    <row r="404" s="417" customFormat="1" ht="12.75"/>
    <row r="405" s="417" customFormat="1" ht="12.75"/>
    <row r="406" s="417" customFormat="1" ht="12.75"/>
    <row r="407" s="417" customFormat="1" ht="12.75"/>
    <row r="408" s="417" customFormat="1" ht="12.75"/>
    <row r="409" s="417" customFormat="1" ht="12.75"/>
    <row r="410" s="417" customFormat="1" ht="12.75"/>
    <row r="411" s="417" customFormat="1" ht="12.75"/>
    <row r="412" s="417" customFormat="1" ht="12.75"/>
    <row r="413" s="417" customFormat="1" ht="12.75"/>
    <row r="414" s="417" customFormat="1" ht="12.75"/>
    <row r="415" s="417" customFormat="1" ht="12.75"/>
    <row r="416" s="417" customFormat="1" ht="12.75"/>
    <row r="417" s="417" customFormat="1" ht="12.75"/>
    <row r="418" s="417" customFormat="1" ht="12.75"/>
    <row r="419" s="417" customFormat="1" ht="12.75"/>
    <row r="420" s="417" customFormat="1" ht="12.75"/>
    <row r="421" s="417" customFormat="1" ht="12.75"/>
    <row r="422" s="417" customFormat="1" ht="12.75"/>
    <row r="423" s="417" customFormat="1" ht="12.75"/>
    <row r="424" s="417" customFormat="1" ht="12.75"/>
    <row r="425" s="417" customFormat="1" ht="12.75"/>
    <row r="426" s="417" customFormat="1" ht="12.75"/>
    <row r="427" s="417" customFormat="1" ht="12.75"/>
    <row r="428" s="417" customFormat="1" ht="12.75"/>
    <row r="429" s="417" customFormat="1" ht="12.75"/>
    <row r="430" s="417" customFormat="1" ht="12.75"/>
    <row r="431" s="417" customFormat="1" ht="12.75"/>
    <row r="432" s="417" customFormat="1" ht="12.75"/>
    <row r="433" s="417" customFormat="1" ht="12.75"/>
    <row r="434" s="417" customFormat="1" ht="12.75"/>
    <row r="435" s="417" customFormat="1" ht="12.75"/>
    <row r="436" s="417" customFormat="1" ht="12.75"/>
    <row r="437" s="417" customFormat="1" ht="12.75"/>
    <row r="438" s="417" customFormat="1" ht="12.75"/>
    <row r="439" s="417" customFormat="1" ht="12.75"/>
    <row r="440" s="417" customFormat="1" ht="12.75"/>
    <row r="441" s="417" customFormat="1" ht="12.75"/>
    <row r="442" s="417" customFormat="1" ht="12.75"/>
    <row r="443" s="417" customFormat="1" ht="12.75"/>
    <row r="444" s="417" customFormat="1" ht="12.75"/>
    <row r="445" s="417" customFormat="1" ht="12.75"/>
    <row r="446" s="417" customFormat="1" ht="12.75"/>
    <row r="447" s="417" customFormat="1" ht="12.75"/>
    <row r="448" s="417" customFormat="1" ht="12.75"/>
    <row r="449" s="417" customFormat="1" ht="12.75"/>
    <row r="450" s="417" customFormat="1" ht="12.75"/>
    <row r="451" s="417" customFormat="1" ht="12.75"/>
    <row r="452" s="417" customFormat="1" ht="12.75"/>
    <row r="453" s="417" customFormat="1" ht="12.75"/>
  </sheetData>
  <mergeCells count="16">
    <mergeCell ref="R3:R4"/>
    <mergeCell ref="O1:Z1"/>
    <mergeCell ref="Q3:Q4"/>
    <mergeCell ref="S3:V3"/>
    <mergeCell ref="W3:Y3"/>
    <mergeCell ref="Z3:Z4"/>
    <mergeCell ref="O2:Z2"/>
    <mergeCell ref="B44:M44"/>
    <mergeCell ref="B45:J45"/>
    <mergeCell ref="B1:M1"/>
    <mergeCell ref="B2:M2"/>
    <mergeCell ref="D3:D4"/>
    <mergeCell ref="E3:E4"/>
    <mergeCell ref="F3:I3"/>
    <mergeCell ref="J3:L3"/>
    <mergeCell ref="M3:M4"/>
  </mergeCells>
  <pageMargins left="0.7" right="0.7" top="0.75" bottom="0.75" header="0.3" footer="0.3"/>
  <pageSetup scale="84"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AB57"/>
  <sheetViews>
    <sheetView zoomScaleNormal="100" workbookViewId="0"/>
  </sheetViews>
  <sheetFormatPr defaultRowHeight="15"/>
  <cols>
    <col min="1" max="1" width="29" style="6" bestFit="1" customWidth="1"/>
    <col min="2" max="2" width="12.7109375" style="26" customWidth="1"/>
    <col min="3" max="8" width="9.85546875" style="7" customWidth="1"/>
    <col min="9" max="9" width="10.140625" style="26" customWidth="1"/>
    <col min="10" max="10" width="10.7109375" style="6" bestFit="1" customWidth="1"/>
    <col min="11" max="11" width="9.28515625" style="6" bestFit="1" customWidth="1"/>
    <col min="12" max="12" width="10.7109375" style="6" bestFit="1" customWidth="1"/>
    <col min="13" max="14" width="9.7109375" style="6" bestFit="1" customWidth="1"/>
    <col min="15" max="15" width="10.5703125" style="6" bestFit="1" customWidth="1"/>
    <col min="16" max="16" width="11.28515625" style="33" customWidth="1"/>
    <col min="17" max="17" width="12.28515625" style="6" bestFit="1" customWidth="1"/>
    <col min="18" max="19" width="9.140625" style="6"/>
    <col min="20" max="20" width="10" style="6" bestFit="1" customWidth="1"/>
    <col min="21" max="21" width="9.140625" style="6"/>
    <col min="22" max="22" width="13.28515625" style="6" customWidth="1"/>
    <col min="23" max="23" width="11.7109375" style="6" bestFit="1" customWidth="1"/>
    <col min="24" max="16384" width="9.140625" style="6"/>
  </cols>
  <sheetData>
    <row r="1" spans="2:28" s="25" customFormat="1">
      <c r="B1" s="24"/>
      <c r="C1" s="25" t="s">
        <v>113</v>
      </c>
      <c r="I1" s="24"/>
      <c r="J1" s="25" t="s">
        <v>23</v>
      </c>
      <c r="P1" s="32"/>
      <c r="Q1" s="25" t="s">
        <v>32</v>
      </c>
    </row>
    <row r="2" spans="2:28">
      <c r="C2" s="6"/>
      <c r="D2" s="6"/>
      <c r="E2" s="6"/>
      <c r="F2" s="6"/>
      <c r="G2" s="6"/>
      <c r="H2" s="6"/>
    </row>
    <row r="3" spans="2:28">
      <c r="B3" s="27"/>
      <c r="C3" s="25" t="s">
        <v>114</v>
      </c>
      <c r="D3" s="6"/>
      <c r="E3" s="6"/>
      <c r="F3" s="6"/>
      <c r="G3" s="6"/>
      <c r="H3" s="6"/>
      <c r="I3" s="27"/>
      <c r="J3" s="25" t="s">
        <v>31</v>
      </c>
      <c r="Q3" s="28" t="s">
        <v>30</v>
      </c>
    </row>
    <row r="4" spans="2:28">
      <c r="C4" s="929" t="s">
        <v>24</v>
      </c>
      <c r="D4" s="929"/>
      <c r="E4" s="929"/>
      <c r="F4" s="929" t="s">
        <v>25</v>
      </c>
      <c r="G4" s="929"/>
      <c r="H4" s="929"/>
      <c r="J4" s="929" t="s">
        <v>24</v>
      </c>
      <c r="K4" s="929"/>
      <c r="L4" s="929"/>
      <c r="M4" s="929" t="s">
        <v>25</v>
      </c>
      <c r="N4" s="929"/>
      <c r="O4" s="929"/>
      <c r="Q4" s="929" t="s">
        <v>24</v>
      </c>
      <c r="R4" s="929"/>
      <c r="S4" s="929"/>
      <c r="T4" s="929" t="s">
        <v>25</v>
      </c>
      <c r="U4" s="929"/>
      <c r="V4" s="929"/>
    </row>
    <row r="5" spans="2:28">
      <c r="B5" s="26" t="s">
        <v>26</v>
      </c>
      <c r="C5" s="5" t="s">
        <v>2</v>
      </c>
      <c r="D5" s="29" t="s">
        <v>3</v>
      </c>
      <c r="E5" s="4" t="s">
        <v>7</v>
      </c>
      <c r="F5" s="5" t="s">
        <v>2</v>
      </c>
      <c r="G5" s="29" t="s">
        <v>3</v>
      </c>
      <c r="H5" s="4" t="s">
        <v>7</v>
      </c>
      <c r="J5" s="5" t="s">
        <v>2</v>
      </c>
      <c r="K5" s="29" t="s">
        <v>3</v>
      </c>
      <c r="L5" s="4" t="s">
        <v>7</v>
      </c>
      <c r="M5" s="5" t="s">
        <v>2</v>
      </c>
      <c r="N5" s="29" t="s">
        <v>3</v>
      </c>
      <c r="O5" s="4" t="s">
        <v>7</v>
      </c>
      <c r="Q5" s="5" t="s">
        <v>2</v>
      </c>
      <c r="R5" s="9"/>
      <c r="S5" s="4" t="s">
        <v>7</v>
      </c>
      <c r="T5" s="5" t="s">
        <v>2</v>
      </c>
      <c r="U5" s="9"/>
      <c r="V5" s="4" t="s">
        <v>7</v>
      </c>
    </row>
    <row r="6" spans="2:28">
      <c r="B6" s="26" t="s">
        <v>0</v>
      </c>
      <c r="C6" s="3">
        <v>840</v>
      </c>
      <c r="D6" s="1"/>
      <c r="E6" s="2">
        <f>SUM(C6:D6)</f>
        <v>840</v>
      </c>
      <c r="F6" s="3">
        <v>1170</v>
      </c>
      <c r="G6" s="1"/>
      <c r="H6" s="2">
        <f>SUM(F6:G6)</f>
        <v>1170</v>
      </c>
      <c r="I6" s="26" t="str">
        <f>B6</f>
        <v>UP</v>
      </c>
      <c r="J6" s="3">
        <v>953</v>
      </c>
      <c r="K6" s="1"/>
      <c r="L6" s="2">
        <f>SUM(J6:K6)</f>
        <v>953</v>
      </c>
      <c r="M6" s="3">
        <v>1523</v>
      </c>
      <c r="N6" s="1"/>
      <c r="O6" s="2">
        <f>SUM(M6:N6)</f>
        <v>1523</v>
      </c>
      <c r="P6" s="33" t="str">
        <f t="shared" ref="P6:P24" si="0">B6</f>
        <v>UP</v>
      </c>
      <c r="Q6" s="3">
        <v>1001</v>
      </c>
      <c r="R6" s="8">
        <f>Q6/J6-1</f>
        <v>5.0367261280167996E-2</v>
      </c>
      <c r="S6" s="2"/>
      <c r="T6" s="3">
        <v>1545</v>
      </c>
      <c r="U6" s="8">
        <f t="shared" ref="U6:U25" si="1">T6/M6-1</f>
        <v>1.4445173998686833E-2</v>
      </c>
      <c r="V6" s="2"/>
      <c r="Y6" s="31"/>
      <c r="Z6" s="30"/>
      <c r="AA6" s="30"/>
      <c r="AB6" s="30"/>
    </row>
    <row r="7" spans="2:28">
      <c r="B7" s="26" t="s">
        <v>1</v>
      </c>
      <c r="C7" s="3">
        <v>850</v>
      </c>
      <c r="D7" s="1"/>
      <c r="E7" s="2">
        <f t="shared" ref="E7:E24" si="2">SUM(C7:D7)</f>
        <v>850</v>
      </c>
      <c r="F7" s="3"/>
      <c r="G7" s="1"/>
      <c r="H7" s="2">
        <f t="shared" ref="H7:H24" si="3">SUM(F7:G7)</f>
        <v>0</v>
      </c>
      <c r="I7" s="26" t="str">
        <f t="shared" ref="I7:I28" si="4">B7</f>
        <v>PB</v>
      </c>
      <c r="J7" s="3">
        <v>930</v>
      </c>
      <c r="K7" s="1"/>
      <c r="L7" s="2">
        <f t="shared" ref="L7:L27" si="5">SUM(J7:K7)</f>
        <v>930</v>
      </c>
      <c r="M7" s="3">
        <v>110</v>
      </c>
      <c r="N7" s="1"/>
      <c r="O7" s="2">
        <f t="shared" ref="O7:O24" si="6">SUM(M7:N7)</f>
        <v>110</v>
      </c>
      <c r="P7" s="33" t="str">
        <f t="shared" si="0"/>
        <v>PB</v>
      </c>
      <c r="Q7" s="3">
        <v>930</v>
      </c>
      <c r="R7" s="8">
        <f t="shared" ref="R7:R26" si="7">Q7/J7-1</f>
        <v>0</v>
      </c>
      <c r="S7" s="2"/>
      <c r="T7" s="3">
        <v>110</v>
      </c>
      <c r="U7" s="8">
        <f t="shared" si="1"/>
        <v>0</v>
      </c>
      <c r="V7" s="2"/>
      <c r="Y7" s="31"/>
      <c r="Z7" s="30"/>
      <c r="AA7" s="30"/>
      <c r="AB7" s="30"/>
    </row>
    <row r="8" spans="2:28">
      <c r="B8" s="26" t="s">
        <v>4</v>
      </c>
      <c r="C8" s="3">
        <v>225</v>
      </c>
      <c r="D8" s="1"/>
      <c r="E8" s="2">
        <f t="shared" si="2"/>
        <v>225</v>
      </c>
      <c r="F8" s="3"/>
      <c r="G8" s="1"/>
      <c r="H8" s="2">
        <f t="shared" si="3"/>
        <v>0</v>
      </c>
      <c r="I8" s="26" t="str">
        <f t="shared" si="4"/>
        <v>UK</v>
      </c>
      <c r="J8" s="3">
        <v>225</v>
      </c>
      <c r="K8" s="1"/>
      <c r="L8" s="2">
        <f t="shared" si="5"/>
        <v>225</v>
      </c>
      <c r="M8" s="3"/>
      <c r="N8" s="1"/>
      <c r="O8" s="2">
        <f t="shared" si="6"/>
        <v>0</v>
      </c>
      <c r="P8" s="33" t="str">
        <f t="shared" si="0"/>
        <v>UK</v>
      </c>
      <c r="Q8" s="3">
        <v>225</v>
      </c>
      <c r="R8" s="8">
        <f t="shared" si="7"/>
        <v>0</v>
      </c>
      <c r="S8" s="2"/>
      <c r="T8" s="3"/>
      <c r="U8" s="8" t="e">
        <f t="shared" si="1"/>
        <v>#DIV/0!</v>
      </c>
      <c r="V8" s="2"/>
      <c r="Y8" s="31"/>
      <c r="Z8" s="30"/>
      <c r="AA8" s="30"/>
      <c r="AB8" s="30"/>
    </row>
    <row r="9" spans="2:28">
      <c r="B9" s="26" t="s">
        <v>5</v>
      </c>
      <c r="C9" s="3">
        <v>57</v>
      </c>
      <c r="D9" s="1"/>
      <c r="E9" s="2">
        <f t="shared" si="2"/>
        <v>57</v>
      </c>
      <c r="F9" s="3"/>
      <c r="G9" s="1"/>
      <c r="H9" s="2">
        <f t="shared" si="3"/>
        <v>0</v>
      </c>
      <c r="I9" s="26" t="str">
        <f t="shared" si="4"/>
        <v>HR</v>
      </c>
      <c r="J9" s="3">
        <v>156</v>
      </c>
      <c r="K9" s="1"/>
      <c r="L9" s="2">
        <f t="shared" si="5"/>
        <v>156</v>
      </c>
      <c r="M9" s="3">
        <v>50</v>
      </c>
      <c r="N9" s="1"/>
      <c r="O9" s="2">
        <f t="shared" si="6"/>
        <v>50</v>
      </c>
      <c r="P9" s="33" t="str">
        <f t="shared" si="0"/>
        <v>HR</v>
      </c>
      <c r="Q9" s="3">
        <v>139</v>
      </c>
      <c r="R9" s="8">
        <f>Q9/J9-1</f>
        <v>-0.10897435897435892</v>
      </c>
      <c r="S9" s="2"/>
      <c r="T9" s="3">
        <v>351</v>
      </c>
      <c r="U9" s="8">
        <f t="shared" si="1"/>
        <v>6.02</v>
      </c>
      <c r="V9" s="2"/>
      <c r="Y9" s="31"/>
      <c r="Z9" s="30"/>
      <c r="AA9" s="30"/>
      <c r="AB9" s="30"/>
    </row>
    <row r="10" spans="2:28">
      <c r="B10" s="26" t="s">
        <v>6</v>
      </c>
      <c r="C10" s="3">
        <v>3922</v>
      </c>
      <c r="D10" s="1">
        <v>6172</v>
      </c>
      <c r="E10" s="2">
        <f t="shared" si="2"/>
        <v>10094</v>
      </c>
      <c r="F10" s="3">
        <v>4070</v>
      </c>
      <c r="G10" s="1"/>
      <c r="H10" s="2">
        <f t="shared" si="3"/>
        <v>4070</v>
      </c>
      <c r="I10" s="26" t="str">
        <f t="shared" si="4"/>
        <v>RJ</v>
      </c>
      <c r="J10" s="3">
        <v>4947</v>
      </c>
      <c r="K10" s="1">
        <v>4311</v>
      </c>
      <c r="L10" s="2">
        <f t="shared" si="5"/>
        <v>9258</v>
      </c>
      <c r="M10" s="3">
        <v>19118</v>
      </c>
      <c r="N10" s="1">
        <v>356</v>
      </c>
      <c r="O10" s="2">
        <f t="shared" si="6"/>
        <v>19474</v>
      </c>
      <c r="P10" s="33" t="str">
        <f t="shared" si="0"/>
        <v>RJ</v>
      </c>
      <c r="Q10" s="3">
        <v>5096</v>
      </c>
      <c r="R10" s="8">
        <f t="shared" si="7"/>
        <v>3.0119264200525464E-2</v>
      </c>
      <c r="S10" s="2"/>
      <c r="T10" s="3">
        <v>27263</v>
      </c>
      <c r="U10" s="8">
        <f>T10/M10-1</f>
        <v>0.42603828852390424</v>
      </c>
      <c r="V10" s="2"/>
      <c r="Y10" s="31"/>
      <c r="Z10" s="30"/>
      <c r="AA10" s="30"/>
      <c r="AB10" s="30"/>
    </row>
    <row r="11" spans="2:28">
      <c r="B11" s="26" t="s">
        <v>8</v>
      </c>
      <c r="C11" s="3">
        <v>2046</v>
      </c>
      <c r="D11" s="1">
        <v>6878</v>
      </c>
      <c r="E11" s="2">
        <f t="shared" si="2"/>
        <v>8924</v>
      </c>
      <c r="F11" s="3">
        <v>2065</v>
      </c>
      <c r="G11" s="1">
        <v>198</v>
      </c>
      <c r="H11" s="2">
        <f t="shared" si="3"/>
        <v>2263</v>
      </c>
      <c r="I11" s="26" t="str">
        <f t="shared" si="4"/>
        <v>GJ</v>
      </c>
      <c r="J11" s="3">
        <v>2153</v>
      </c>
      <c r="K11" s="1">
        <v>7223</v>
      </c>
      <c r="L11" s="2">
        <f t="shared" si="5"/>
        <v>9376</v>
      </c>
      <c r="M11" s="3">
        <v>2955</v>
      </c>
      <c r="N11" s="1">
        <v>6189</v>
      </c>
      <c r="O11" s="2">
        <f t="shared" si="6"/>
        <v>9144</v>
      </c>
      <c r="P11" s="33" t="str">
        <f t="shared" si="0"/>
        <v>GJ</v>
      </c>
      <c r="Q11" s="3">
        <v>2489</v>
      </c>
      <c r="R11" s="8">
        <f t="shared" si="7"/>
        <v>0.15606130980027877</v>
      </c>
      <c r="S11" s="2"/>
      <c r="T11" s="3">
        <v>3356</v>
      </c>
      <c r="U11" s="8">
        <f t="shared" si="1"/>
        <v>0.13570219966159058</v>
      </c>
      <c r="V11" s="2"/>
      <c r="Y11" s="31"/>
      <c r="Z11" s="30"/>
      <c r="AA11" s="30"/>
      <c r="AB11" s="30"/>
    </row>
    <row r="12" spans="2:28">
      <c r="B12" s="26" t="s">
        <v>9</v>
      </c>
      <c r="C12" s="3">
        <v>1927</v>
      </c>
      <c r="D12" s="1">
        <v>2429</v>
      </c>
      <c r="E12" s="2">
        <f t="shared" si="2"/>
        <v>4356</v>
      </c>
      <c r="F12" s="3">
        <v>202</v>
      </c>
      <c r="G12" s="1"/>
      <c r="H12" s="2">
        <f t="shared" si="3"/>
        <v>202</v>
      </c>
      <c r="I12" s="26" t="str">
        <f t="shared" si="4"/>
        <v>MP</v>
      </c>
      <c r="J12" s="3">
        <v>2333</v>
      </c>
      <c r="K12" s="1">
        <v>2493</v>
      </c>
      <c r="L12" s="2">
        <f t="shared" si="5"/>
        <v>4826</v>
      </c>
      <c r="M12" s="3">
        <v>396</v>
      </c>
      <c r="N12" s="1">
        <v>624</v>
      </c>
      <c r="O12" s="2">
        <f t="shared" si="6"/>
        <v>1020</v>
      </c>
      <c r="P12" s="33" t="str">
        <f t="shared" si="0"/>
        <v>MP</v>
      </c>
      <c r="Q12" s="3">
        <v>2471</v>
      </c>
      <c r="R12" s="8">
        <f t="shared" si="7"/>
        <v>5.9151307329618596E-2</v>
      </c>
      <c r="S12" s="2"/>
      <c r="T12" s="3">
        <v>335</v>
      </c>
      <c r="U12" s="8">
        <f t="shared" si="1"/>
        <v>-0.15404040404040409</v>
      </c>
      <c r="V12" s="2"/>
      <c r="Y12" s="31"/>
      <c r="Z12" s="30"/>
      <c r="AA12" s="30"/>
      <c r="AB12" s="30"/>
    </row>
    <row r="13" spans="2:28">
      <c r="B13" s="26" t="s">
        <v>10</v>
      </c>
      <c r="C13" s="3">
        <v>1474</v>
      </c>
      <c r="D13" s="1">
        <v>4783</v>
      </c>
      <c r="E13" s="2">
        <f t="shared" si="2"/>
        <v>6257</v>
      </c>
      <c r="F13" s="3">
        <v>2015</v>
      </c>
      <c r="G13" s="1">
        <v>500</v>
      </c>
      <c r="H13" s="2">
        <f t="shared" si="3"/>
        <v>2515</v>
      </c>
      <c r="I13" s="26" t="str">
        <f t="shared" si="4"/>
        <v>MH</v>
      </c>
      <c r="J13" s="3">
        <v>1582</v>
      </c>
      <c r="K13" s="1">
        <v>5028</v>
      </c>
      <c r="L13" s="2">
        <f t="shared" si="5"/>
        <v>6610</v>
      </c>
      <c r="M13" s="3">
        <v>2702</v>
      </c>
      <c r="N13" s="1">
        <v>401</v>
      </c>
      <c r="O13" s="2">
        <f t="shared" si="6"/>
        <v>3103</v>
      </c>
      <c r="P13" s="33" t="str">
        <f t="shared" si="0"/>
        <v>MH</v>
      </c>
      <c r="Q13" s="3">
        <v>1846</v>
      </c>
      <c r="R13" s="8">
        <f t="shared" si="7"/>
        <v>0.16687737041719353</v>
      </c>
      <c r="S13" s="2"/>
      <c r="T13" s="3">
        <v>2752</v>
      </c>
      <c r="U13" s="8">
        <f t="shared" si="1"/>
        <v>1.8504811250925179E-2</v>
      </c>
      <c r="V13" s="2"/>
      <c r="Y13" s="31"/>
      <c r="Z13" s="30"/>
      <c r="AA13" s="30"/>
      <c r="AB13" s="30"/>
    </row>
    <row r="14" spans="2:28">
      <c r="B14" s="26" t="s">
        <v>11</v>
      </c>
      <c r="C14" s="3">
        <v>6500</v>
      </c>
      <c r="D14" s="1">
        <v>4742</v>
      </c>
      <c r="E14" s="2">
        <f t="shared" si="2"/>
        <v>11242</v>
      </c>
      <c r="F14" s="3">
        <v>1233</v>
      </c>
      <c r="G14" s="1">
        <v>0</v>
      </c>
      <c r="H14" s="2">
        <f t="shared" si="3"/>
        <v>1233</v>
      </c>
      <c r="I14" s="26" t="str">
        <f t="shared" si="4"/>
        <v>KA</v>
      </c>
      <c r="J14" s="3">
        <v>7325</v>
      </c>
      <c r="K14" s="1">
        <v>5109</v>
      </c>
      <c r="L14" s="2">
        <f t="shared" si="5"/>
        <v>12434</v>
      </c>
      <c r="M14" s="3">
        <v>391</v>
      </c>
      <c r="N14" s="1">
        <v>1175</v>
      </c>
      <c r="O14" s="2">
        <f t="shared" si="6"/>
        <v>1566</v>
      </c>
      <c r="P14" s="33" t="str">
        <f t="shared" si="0"/>
        <v>KA</v>
      </c>
      <c r="Q14" s="3">
        <v>7370</v>
      </c>
      <c r="R14" s="8">
        <f t="shared" si="7"/>
        <v>6.1433447098975247E-3</v>
      </c>
      <c r="S14" s="2"/>
      <c r="T14" s="3">
        <v>466</v>
      </c>
      <c r="U14" s="8">
        <f t="shared" si="1"/>
        <v>0.19181585677749369</v>
      </c>
      <c r="V14" s="2"/>
      <c r="Y14" s="31"/>
      <c r="Z14" s="30"/>
      <c r="AA14" s="30"/>
      <c r="AB14" s="30"/>
    </row>
    <row r="15" spans="2:28">
      <c r="B15" s="26" t="s">
        <v>12</v>
      </c>
      <c r="C15" s="3">
        <v>78</v>
      </c>
      <c r="D15" s="1">
        <v>58</v>
      </c>
      <c r="E15" s="2">
        <f t="shared" si="2"/>
        <v>136</v>
      </c>
      <c r="F15" s="3">
        <v>22</v>
      </c>
      <c r="G15" s="1"/>
      <c r="H15" s="2">
        <f t="shared" si="3"/>
        <v>22</v>
      </c>
      <c r="I15" s="26" t="str">
        <f t="shared" si="4"/>
        <v>KL</v>
      </c>
      <c r="J15" s="3">
        <v>82</v>
      </c>
      <c r="K15" s="1">
        <v>58</v>
      </c>
      <c r="L15" s="2">
        <f t="shared" si="5"/>
        <v>140</v>
      </c>
      <c r="M15" s="3">
        <v>142</v>
      </c>
      <c r="N15" s="1"/>
      <c r="O15" s="2">
        <f t="shared" si="6"/>
        <v>142</v>
      </c>
      <c r="P15" s="33" t="str">
        <f t="shared" si="0"/>
        <v>KL</v>
      </c>
      <c r="Q15" s="3">
        <v>132</v>
      </c>
      <c r="R15" s="8">
        <f>Q15/J15-1</f>
        <v>0.60975609756097571</v>
      </c>
      <c r="S15" s="2"/>
      <c r="T15" s="3">
        <v>217</v>
      </c>
      <c r="U15" s="8">
        <f>T15/M15-1</f>
        <v>0.528169014084507</v>
      </c>
      <c r="V15" s="2"/>
      <c r="Y15" s="31"/>
      <c r="Z15" s="30"/>
      <c r="AA15" s="30"/>
      <c r="AB15" s="30"/>
    </row>
    <row r="16" spans="2:28">
      <c r="B16" s="26" t="s">
        <v>13</v>
      </c>
      <c r="C16" s="3">
        <v>3360</v>
      </c>
      <c r="D16" s="1">
        <v>9574</v>
      </c>
      <c r="E16" s="2">
        <f t="shared" si="2"/>
        <v>12934</v>
      </c>
      <c r="F16" s="3">
        <v>611</v>
      </c>
      <c r="G16" s="1"/>
      <c r="H16" s="2">
        <f t="shared" si="3"/>
        <v>611</v>
      </c>
      <c r="I16" s="26" t="str">
        <f t="shared" si="4"/>
        <v>TN</v>
      </c>
      <c r="J16" s="3">
        <v>3814</v>
      </c>
      <c r="K16" s="1">
        <v>8856</v>
      </c>
      <c r="L16" s="2">
        <f t="shared" si="5"/>
        <v>12670</v>
      </c>
      <c r="M16" s="3">
        <v>1004</v>
      </c>
      <c r="N16" s="1">
        <v>800</v>
      </c>
      <c r="O16" s="2">
        <f t="shared" si="6"/>
        <v>1804</v>
      </c>
      <c r="P16" s="33" t="str">
        <f t="shared" si="0"/>
        <v>TN</v>
      </c>
      <c r="Q16" s="3">
        <v>3901</v>
      </c>
      <c r="R16" s="8">
        <f t="shared" si="7"/>
        <v>2.2810697430519111E-2</v>
      </c>
      <c r="S16" s="2"/>
      <c r="T16" s="3">
        <v>1063</v>
      </c>
      <c r="U16" s="8">
        <f t="shared" si="1"/>
        <v>5.8764940239043773E-2</v>
      </c>
      <c r="V16" s="2"/>
      <c r="Y16" s="31"/>
      <c r="Z16" s="30"/>
      <c r="AA16" s="30"/>
      <c r="AB16" s="30"/>
    </row>
    <row r="17" spans="1:28">
      <c r="B17" s="26" t="s">
        <v>14</v>
      </c>
      <c r="C17" s="3">
        <v>3488</v>
      </c>
      <c r="D17" s="1">
        <v>4092</v>
      </c>
      <c r="E17" s="2">
        <f t="shared" si="2"/>
        <v>7580</v>
      </c>
      <c r="F17" s="3">
        <v>1325</v>
      </c>
      <c r="G17" s="1"/>
      <c r="H17" s="2">
        <f t="shared" si="3"/>
        <v>1325</v>
      </c>
      <c r="I17" s="26" t="str">
        <f t="shared" si="4"/>
        <v>AP</v>
      </c>
      <c r="J17" s="3">
        <v>3660</v>
      </c>
      <c r="K17" s="1">
        <v>4038</v>
      </c>
      <c r="L17" s="2">
        <f t="shared" si="5"/>
        <v>7698</v>
      </c>
      <c r="M17" s="3">
        <v>1315</v>
      </c>
      <c r="N17" s="1"/>
      <c r="O17" s="2">
        <f t="shared" si="6"/>
        <v>1315</v>
      </c>
      <c r="P17" s="33" t="str">
        <f t="shared" si="0"/>
        <v>AP</v>
      </c>
      <c r="Q17" s="3">
        <v>3908</v>
      </c>
      <c r="R17" s="8">
        <f t="shared" si="7"/>
        <v>6.7759562841529952E-2</v>
      </c>
      <c r="S17" s="2"/>
      <c r="T17" s="3">
        <v>1111</v>
      </c>
      <c r="U17" s="8">
        <f t="shared" si="1"/>
        <v>-0.15513307984790869</v>
      </c>
      <c r="V17" s="2"/>
      <c r="Y17" s="31"/>
      <c r="Z17" s="30"/>
      <c r="AA17" s="30"/>
      <c r="AB17" s="30"/>
    </row>
    <row r="18" spans="1:28">
      <c r="B18" s="26" t="s">
        <v>15</v>
      </c>
      <c r="C18" s="3">
        <v>3521</v>
      </c>
      <c r="D18" s="1">
        <v>128</v>
      </c>
      <c r="E18" s="2">
        <f t="shared" si="2"/>
        <v>3649</v>
      </c>
      <c r="F18" s="3">
        <v>152</v>
      </c>
      <c r="G18" s="1"/>
      <c r="H18" s="2">
        <f t="shared" si="3"/>
        <v>152</v>
      </c>
      <c r="I18" s="26" t="str">
        <f t="shared" si="4"/>
        <v>TS</v>
      </c>
      <c r="J18" s="3">
        <v>3651</v>
      </c>
      <c r="K18" s="1"/>
      <c r="L18" s="2">
        <f t="shared" si="5"/>
        <v>3651</v>
      </c>
      <c r="M18" s="3">
        <v>217</v>
      </c>
      <c r="N18" s="1"/>
      <c r="O18" s="2">
        <f t="shared" si="6"/>
        <v>217</v>
      </c>
      <c r="P18" s="33" t="str">
        <f t="shared" si="0"/>
        <v>TS</v>
      </c>
      <c r="Q18" s="3">
        <v>3616</v>
      </c>
      <c r="R18" s="8">
        <f t="shared" si="7"/>
        <v>-9.586414680909372E-3</v>
      </c>
      <c r="S18" s="2"/>
      <c r="T18" s="3">
        <v>138</v>
      </c>
      <c r="U18" s="8">
        <f t="shared" si="1"/>
        <v>-0.36405529953917048</v>
      </c>
      <c r="V18" s="2"/>
      <c r="Y18" s="31"/>
      <c r="Z18" s="30"/>
      <c r="AA18" s="30"/>
      <c r="AB18" s="30"/>
    </row>
    <row r="19" spans="1:28">
      <c r="B19" s="26" t="s">
        <v>16</v>
      </c>
      <c r="C19" s="3">
        <v>385</v>
      </c>
      <c r="D19" s="1"/>
      <c r="E19" s="2">
        <f t="shared" si="2"/>
        <v>385</v>
      </c>
      <c r="F19" s="3">
        <v>101</v>
      </c>
      <c r="G19" s="1"/>
      <c r="H19" s="2">
        <f t="shared" si="3"/>
        <v>101</v>
      </c>
      <c r="I19" s="26" t="str">
        <f t="shared" si="4"/>
        <v>OD</v>
      </c>
      <c r="J19" s="3">
        <v>437</v>
      </c>
      <c r="K19" s="1"/>
      <c r="L19" s="2">
        <f t="shared" si="5"/>
        <v>437</v>
      </c>
      <c r="M19" s="3">
        <v>76</v>
      </c>
      <c r="N19" s="1"/>
      <c r="O19" s="2">
        <f t="shared" si="6"/>
        <v>76</v>
      </c>
      <c r="P19" s="33" t="str">
        <f t="shared" si="0"/>
        <v>OD</v>
      </c>
      <c r="Q19" s="3">
        <v>493</v>
      </c>
      <c r="R19" s="8">
        <f t="shared" si="7"/>
        <v>0.12814645308924488</v>
      </c>
      <c r="S19" s="2"/>
      <c r="T19" s="3">
        <v>20</v>
      </c>
      <c r="U19" s="8">
        <f>T19/M19-1</f>
        <v>-0.73684210526315796</v>
      </c>
      <c r="V19" s="2"/>
      <c r="Y19" s="31"/>
      <c r="Z19" s="30"/>
      <c r="AA19" s="30"/>
      <c r="AB19" s="30"/>
    </row>
    <row r="20" spans="1:28">
      <c r="B20" s="26" t="s">
        <v>18</v>
      </c>
      <c r="C20" s="3">
        <v>207</v>
      </c>
      <c r="D20" s="1"/>
      <c r="E20" s="2">
        <f t="shared" si="2"/>
        <v>207</v>
      </c>
      <c r="F20" s="3"/>
      <c r="G20" s="1"/>
      <c r="H20" s="2">
        <f t="shared" si="3"/>
        <v>0</v>
      </c>
      <c r="I20" s="26" t="str">
        <f t="shared" si="4"/>
        <v>CG</v>
      </c>
      <c r="J20" s="3">
        <v>210</v>
      </c>
      <c r="K20" s="1"/>
      <c r="L20" s="2">
        <f t="shared" si="5"/>
        <v>210</v>
      </c>
      <c r="M20" s="3"/>
      <c r="N20" s="1"/>
      <c r="O20" s="2">
        <f t="shared" si="6"/>
        <v>0</v>
      </c>
      <c r="P20" s="33" t="str">
        <f t="shared" si="0"/>
        <v>CG</v>
      </c>
      <c r="Q20" s="3">
        <f>100+18+9+92</f>
        <v>219</v>
      </c>
      <c r="R20" s="8">
        <f t="shared" si="7"/>
        <v>4.2857142857142927E-2</v>
      </c>
      <c r="S20" s="2"/>
      <c r="T20" s="3">
        <v>0</v>
      </c>
      <c r="U20" s="8" t="e">
        <f t="shared" si="1"/>
        <v>#DIV/0!</v>
      </c>
      <c r="V20" s="2"/>
      <c r="Y20" s="31"/>
      <c r="Z20" s="30"/>
      <c r="AA20" s="30"/>
      <c r="AB20" s="30"/>
    </row>
    <row r="21" spans="1:28">
      <c r="B21" s="26" t="s">
        <v>17</v>
      </c>
      <c r="C21" s="3">
        <v>105</v>
      </c>
      <c r="D21" s="1">
        <v>2</v>
      </c>
      <c r="E21" s="2">
        <f t="shared" si="2"/>
        <v>107</v>
      </c>
      <c r="F21" s="3"/>
      <c r="G21" s="1"/>
      <c r="H21" s="2">
        <f t="shared" si="3"/>
        <v>0</v>
      </c>
      <c r="I21" s="26" t="str">
        <f t="shared" si="4"/>
        <v>WB</v>
      </c>
      <c r="J21" s="3">
        <v>100</v>
      </c>
      <c r="K21" s="1">
        <v>2</v>
      </c>
      <c r="L21" s="2">
        <f t="shared" si="5"/>
        <v>102</v>
      </c>
      <c r="M21" s="3">
        <v>10</v>
      </c>
      <c r="N21" s="1"/>
      <c r="O21" s="2">
        <f t="shared" si="6"/>
        <v>10</v>
      </c>
      <c r="P21" s="33" t="str">
        <f t="shared" si="0"/>
        <v>WB</v>
      </c>
      <c r="Q21" s="3">
        <v>125</v>
      </c>
      <c r="R21" s="8">
        <f t="shared" si="7"/>
        <v>0.25</v>
      </c>
      <c r="S21" s="2"/>
      <c r="T21" s="3">
        <v>20</v>
      </c>
      <c r="U21" s="8">
        <f t="shared" si="1"/>
        <v>1</v>
      </c>
      <c r="V21" s="2"/>
      <c r="Y21" s="31"/>
      <c r="Z21" s="30"/>
      <c r="AA21" s="30"/>
      <c r="AB21" s="30"/>
    </row>
    <row r="22" spans="1:28">
      <c r="B22" s="26" t="s">
        <v>19</v>
      </c>
      <c r="C22" s="3">
        <v>126</v>
      </c>
      <c r="D22" s="1"/>
      <c r="E22" s="2">
        <f t="shared" si="2"/>
        <v>126</v>
      </c>
      <c r="F22" s="3"/>
      <c r="G22" s="1"/>
      <c r="H22" s="2">
        <f t="shared" si="3"/>
        <v>0</v>
      </c>
      <c r="I22" s="26" t="str">
        <f t="shared" si="4"/>
        <v>BR</v>
      </c>
      <c r="J22" s="3">
        <v>106</v>
      </c>
      <c r="K22" s="1"/>
      <c r="L22" s="2">
        <f t="shared" si="5"/>
        <v>106</v>
      </c>
      <c r="M22" s="3">
        <v>2</v>
      </c>
      <c r="N22" s="1"/>
      <c r="O22" s="2">
        <f t="shared" si="6"/>
        <v>2</v>
      </c>
      <c r="P22" s="33" t="str">
        <f t="shared" si="0"/>
        <v>BR</v>
      </c>
      <c r="Q22" s="3">
        <f>80+25+1</f>
        <v>106</v>
      </c>
      <c r="R22" s="8">
        <f t="shared" si="7"/>
        <v>0</v>
      </c>
      <c r="S22" s="2"/>
      <c r="T22" s="3">
        <v>2</v>
      </c>
      <c r="U22" s="8">
        <f t="shared" si="1"/>
        <v>0</v>
      </c>
      <c r="V22" s="2"/>
      <c r="Y22" s="31"/>
      <c r="Z22" s="30"/>
      <c r="AA22" s="30"/>
      <c r="AB22" s="30"/>
    </row>
    <row r="23" spans="1:28">
      <c r="B23" s="26" t="s">
        <v>20</v>
      </c>
      <c r="C23" s="3">
        <v>24</v>
      </c>
      <c r="D23" s="1"/>
      <c r="E23" s="2">
        <f t="shared" si="2"/>
        <v>24</v>
      </c>
      <c r="F23" s="3"/>
      <c r="G23" s="1"/>
      <c r="H23" s="2">
        <f t="shared" si="3"/>
        <v>0</v>
      </c>
      <c r="I23" s="26" t="str">
        <f t="shared" si="4"/>
        <v>JH</v>
      </c>
      <c r="J23" s="3">
        <v>24</v>
      </c>
      <c r="K23" s="1"/>
      <c r="L23" s="2">
        <f t="shared" si="5"/>
        <v>24</v>
      </c>
      <c r="M23" s="3"/>
      <c r="N23" s="1"/>
      <c r="O23" s="2">
        <f t="shared" si="6"/>
        <v>0</v>
      </c>
      <c r="P23" s="33" t="str">
        <f t="shared" si="0"/>
        <v>JH</v>
      </c>
      <c r="Q23" s="3">
        <v>24</v>
      </c>
      <c r="R23" s="8">
        <f t="shared" si="7"/>
        <v>0</v>
      </c>
      <c r="S23" s="2"/>
      <c r="T23" s="3">
        <v>50</v>
      </c>
      <c r="U23" s="8" t="e">
        <f>T23/M23-1</f>
        <v>#DIV/0!</v>
      </c>
      <c r="V23" s="2"/>
      <c r="Y23" s="31"/>
      <c r="Z23" s="30"/>
      <c r="AA23" s="30"/>
      <c r="AB23" s="30"/>
    </row>
    <row r="24" spans="1:28">
      <c r="A24" s="6" t="s">
        <v>28</v>
      </c>
      <c r="B24" s="26" t="s">
        <v>21</v>
      </c>
      <c r="C24" s="3">
        <v>5</v>
      </c>
      <c r="D24" s="1"/>
      <c r="E24" s="2">
        <f t="shared" si="2"/>
        <v>5</v>
      </c>
      <c r="F24" s="3">
        <v>25</v>
      </c>
      <c r="G24" s="1"/>
      <c r="H24" s="2">
        <f t="shared" si="3"/>
        <v>25</v>
      </c>
      <c r="I24" s="26" t="str">
        <f t="shared" si="4"/>
        <v xml:space="preserve">UT </v>
      </c>
      <c r="J24" s="3">
        <v>25</v>
      </c>
      <c r="K24" s="1"/>
      <c r="L24" s="2">
        <f t="shared" si="5"/>
        <v>25</v>
      </c>
      <c r="M24" s="3">
        <v>25</v>
      </c>
      <c r="N24" s="1"/>
      <c r="O24" s="2">
        <f t="shared" si="6"/>
        <v>25</v>
      </c>
      <c r="P24" s="33" t="str">
        <f t="shared" si="0"/>
        <v xml:space="preserve">UT </v>
      </c>
      <c r="Q24" s="3"/>
      <c r="R24" s="8">
        <f t="shared" si="7"/>
        <v>-1</v>
      </c>
      <c r="S24" s="2"/>
      <c r="T24" s="3"/>
      <c r="U24" s="8">
        <f t="shared" si="1"/>
        <v>-1</v>
      </c>
      <c r="V24" s="2"/>
      <c r="Y24" s="31"/>
      <c r="Z24" s="30"/>
      <c r="AA24" s="30"/>
      <c r="AB24" s="30"/>
    </row>
    <row r="25" spans="1:28">
      <c r="C25" s="3"/>
      <c r="D25" s="1"/>
      <c r="E25" s="2"/>
      <c r="F25" s="3"/>
      <c r="G25" s="1"/>
      <c r="H25" s="2"/>
      <c r="I25" s="26">
        <f t="shared" si="4"/>
        <v>0</v>
      </c>
      <c r="J25" s="3"/>
      <c r="K25" s="1"/>
      <c r="L25" s="2"/>
      <c r="M25" s="3"/>
      <c r="N25" s="1"/>
      <c r="O25" s="2"/>
      <c r="P25" s="33" t="s">
        <v>29</v>
      </c>
      <c r="Q25" s="3">
        <v>37</v>
      </c>
      <c r="R25" s="8" t="e">
        <f t="shared" si="7"/>
        <v>#DIV/0!</v>
      </c>
      <c r="S25" s="2"/>
      <c r="T25" s="3">
        <v>145</v>
      </c>
      <c r="U25" s="8" t="e">
        <f t="shared" si="1"/>
        <v>#DIV/0!</v>
      </c>
      <c r="V25" s="2"/>
      <c r="Y25" s="31"/>
      <c r="Z25" s="30"/>
      <c r="AA25" s="30"/>
      <c r="AB25" s="30"/>
    </row>
    <row r="26" spans="1:28">
      <c r="B26" s="26" t="s">
        <v>7</v>
      </c>
      <c r="C26" s="3">
        <f>SUM(C6:C24)</f>
        <v>29140</v>
      </c>
      <c r="D26" s="1">
        <f t="shared" ref="D26" si="8">SUM(D6:D24)</f>
        <v>38858</v>
      </c>
      <c r="E26" s="2">
        <f>SUM(E6:E24)</f>
        <v>67998</v>
      </c>
      <c r="F26" s="3">
        <f>SUM(F6:F24)</f>
        <v>12991</v>
      </c>
      <c r="G26" s="1">
        <f>SUM(G6:G24)</f>
        <v>698</v>
      </c>
      <c r="H26" s="2">
        <f>SUM(H6:H24)</f>
        <v>13689</v>
      </c>
      <c r="I26" s="26" t="str">
        <f t="shared" si="4"/>
        <v>Total</v>
      </c>
      <c r="J26" s="3">
        <f>SUM(J6:J24)</f>
        <v>32713</v>
      </c>
      <c r="K26" s="1">
        <f t="shared" ref="K26" si="9">SUM(K6:K24)</f>
        <v>37118</v>
      </c>
      <c r="L26" s="2">
        <f>SUM(L6:L24)</f>
        <v>69831</v>
      </c>
      <c r="M26" s="3">
        <f>SUM(M6:M24)</f>
        <v>30036</v>
      </c>
      <c r="N26" s="1">
        <f>SUM(N6:N24)</f>
        <v>9545</v>
      </c>
      <c r="O26" s="2">
        <f>SUM(O6:O24)</f>
        <v>39581</v>
      </c>
      <c r="P26" s="33" t="str">
        <f>B26</f>
        <v>Total</v>
      </c>
      <c r="Q26" s="3">
        <f>SUM(Q6:Q25)</f>
        <v>34128</v>
      </c>
      <c r="R26" s="8">
        <f t="shared" si="7"/>
        <v>4.3254975086357117E-2</v>
      </c>
      <c r="S26" s="2"/>
      <c r="T26" s="3">
        <f>SUM(T6:T25)</f>
        <v>38944</v>
      </c>
      <c r="U26" s="8">
        <f>T26/M26-1</f>
        <v>0.29657744040484757</v>
      </c>
      <c r="V26" s="2"/>
      <c r="Y26" s="31"/>
      <c r="Z26" s="30"/>
    </row>
    <row r="27" spans="1:28" ht="43.5" customHeight="1">
      <c r="B27" s="26" t="s">
        <v>27</v>
      </c>
      <c r="C27" s="3">
        <v>29722</v>
      </c>
      <c r="D27" s="1">
        <v>36928</v>
      </c>
      <c r="E27" s="2">
        <f t="shared" ref="E27" si="10">SUM(C27:D27)</f>
        <v>66650</v>
      </c>
      <c r="F27" s="3">
        <v>18432</v>
      </c>
      <c r="G27" s="1">
        <v>10233</v>
      </c>
      <c r="H27" s="2">
        <f>SUM(F27:G27)</f>
        <v>28665</v>
      </c>
      <c r="I27" s="26" t="str">
        <f t="shared" si="4"/>
        <v>National Total (Page 1, top Right)</v>
      </c>
      <c r="J27" s="3">
        <v>32561</v>
      </c>
      <c r="K27" s="1">
        <v>37247</v>
      </c>
      <c r="L27" s="2">
        <f t="shared" si="5"/>
        <v>69808</v>
      </c>
      <c r="M27" s="3">
        <v>42263</v>
      </c>
      <c r="N27" s="1">
        <v>10094</v>
      </c>
      <c r="O27" s="2">
        <f>SUM(M27:N27)</f>
        <v>52357</v>
      </c>
      <c r="P27" s="33" t="str">
        <f t="shared" ref="P27:P28" si="11">B27</f>
        <v>National Total (Page 1, top Right)</v>
      </c>
      <c r="Q27" s="3">
        <v>34197</v>
      </c>
      <c r="R27" s="8">
        <f>Q27/J27-1</f>
        <v>5.024415712048147E-2</v>
      </c>
      <c r="S27" s="2"/>
      <c r="T27" s="3">
        <v>46246</v>
      </c>
      <c r="U27" s="8">
        <f>T27/M27-1</f>
        <v>9.4243191444052687E-2</v>
      </c>
      <c r="V27" s="2"/>
      <c r="Y27" s="31"/>
      <c r="Z27" s="30"/>
    </row>
    <row r="28" spans="1:28" ht="34.5" customHeight="1">
      <c r="B28" s="26" t="s">
        <v>22</v>
      </c>
      <c r="C28" s="3">
        <f>C27-C26</f>
        <v>582</v>
      </c>
      <c r="D28" s="1">
        <f t="shared" ref="D28:E28" si="12">D27-D26</f>
        <v>-1930</v>
      </c>
      <c r="E28" s="2">
        <f t="shared" si="12"/>
        <v>-1348</v>
      </c>
      <c r="F28" s="3">
        <f>F27-F26</f>
        <v>5441</v>
      </c>
      <c r="G28" s="1">
        <f>G27-G26</f>
        <v>9535</v>
      </c>
      <c r="H28" s="2">
        <f>H27-H26</f>
        <v>14976</v>
      </c>
      <c r="I28" s="26" t="str">
        <f t="shared" si="4"/>
        <v>Diff</v>
      </c>
      <c r="J28" s="3">
        <f>J27-J26</f>
        <v>-152</v>
      </c>
      <c r="K28" s="1">
        <f t="shared" ref="K28:L28" si="13">K27-K26</f>
        <v>129</v>
      </c>
      <c r="L28" s="2">
        <f t="shared" si="13"/>
        <v>-23</v>
      </c>
      <c r="M28" s="3">
        <f>M27-M26</f>
        <v>12227</v>
      </c>
      <c r="N28" s="1">
        <f>N27-N26</f>
        <v>549</v>
      </c>
      <c r="O28" s="2">
        <f>O27-O26</f>
        <v>12776</v>
      </c>
      <c r="P28" s="33" t="str">
        <f t="shared" si="11"/>
        <v>Diff</v>
      </c>
      <c r="Q28" s="3">
        <f>Q27-Q26</f>
        <v>69</v>
      </c>
      <c r="R28" s="9"/>
      <c r="S28" s="4">
        <f t="shared" ref="S28" si="14">S27-S26</f>
        <v>0</v>
      </c>
      <c r="T28" s="3">
        <f>T27-T26</f>
        <v>7302</v>
      </c>
      <c r="U28" s="9"/>
      <c r="V28" s="4">
        <f>V27-V26</f>
        <v>0</v>
      </c>
      <c r="Y28" s="31"/>
      <c r="Z28" s="30"/>
    </row>
    <row r="31" spans="1:28" ht="75" customHeight="1">
      <c r="C31" s="930" t="s">
        <v>115</v>
      </c>
      <c r="D31" s="930"/>
      <c r="E31" s="930" t="s">
        <v>116</v>
      </c>
      <c r="F31" s="930"/>
      <c r="J31" s="930"/>
      <c r="K31" s="930"/>
      <c r="L31" s="26"/>
      <c r="M31" s="36"/>
      <c r="N31" s="36"/>
      <c r="O31" s="36"/>
      <c r="P31" s="36"/>
      <c r="Q31" s="36"/>
      <c r="R31" s="36"/>
      <c r="S31" s="36"/>
    </row>
    <row r="32" spans="1:28">
      <c r="C32" s="5" t="s">
        <v>2</v>
      </c>
      <c r="D32" s="29" t="s">
        <v>3</v>
      </c>
      <c r="E32" s="5" t="s">
        <v>2</v>
      </c>
      <c r="F32" s="29" t="s">
        <v>3</v>
      </c>
      <c r="J32" s="37"/>
      <c r="K32" s="37"/>
      <c r="L32" s="37"/>
      <c r="M32" s="37"/>
      <c r="N32" s="37"/>
      <c r="O32" s="37"/>
      <c r="P32" s="37"/>
      <c r="Q32" s="37"/>
      <c r="R32" s="36"/>
      <c r="S32" s="36"/>
    </row>
    <row r="33" spans="2:19">
      <c r="B33" s="26" t="str">
        <f t="shared" ref="B33:B54" si="15">B6</f>
        <v>UP</v>
      </c>
      <c r="C33" s="34">
        <f>J6-C6</f>
        <v>113</v>
      </c>
      <c r="D33" s="34">
        <f>K6-D6</f>
        <v>0</v>
      </c>
      <c r="E33" s="35">
        <f>IFERROR(C33/F6,"NA")</f>
        <v>9.6581196581196585E-2</v>
      </c>
      <c r="F33" s="35" t="str">
        <f>IFERROR(D33/G6,"NA")</f>
        <v>NA</v>
      </c>
      <c r="J33" s="36"/>
      <c r="K33" s="36"/>
      <c r="L33" s="36"/>
      <c r="M33" s="36"/>
      <c r="N33" s="36"/>
      <c r="O33" s="36"/>
      <c r="P33" s="38"/>
      <c r="Q33" s="36"/>
      <c r="R33" s="36"/>
      <c r="S33" s="36"/>
    </row>
    <row r="34" spans="2:19">
      <c r="B34" s="26" t="str">
        <f t="shared" si="15"/>
        <v>PB</v>
      </c>
      <c r="C34" s="34">
        <f t="shared" ref="C34:D34" si="16">J7-C7</f>
        <v>80</v>
      </c>
      <c r="D34" s="34">
        <f t="shared" si="16"/>
        <v>0</v>
      </c>
      <c r="E34" s="35" t="str">
        <f t="shared" ref="E34:F34" si="17">IFERROR(C34/F7,"NA")</f>
        <v>NA</v>
      </c>
      <c r="F34" s="35" t="str">
        <f t="shared" si="17"/>
        <v>NA</v>
      </c>
      <c r="J34" s="36"/>
      <c r="K34" s="36"/>
      <c r="L34" s="36"/>
      <c r="M34" s="36"/>
      <c r="N34" s="36"/>
      <c r="O34" s="36"/>
      <c r="P34" s="38"/>
      <c r="Q34" s="36"/>
      <c r="R34" s="36"/>
      <c r="S34" s="36"/>
    </row>
    <row r="35" spans="2:19">
      <c r="B35" s="26" t="str">
        <f t="shared" si="15"/>
        <v>UK</v>
      </c>
      <c r="C35" s="34">
        <f t="shared" ref="C35:D35" si="18">J8-C8</f>
        <v>0</v>
      </c>
      <c r="D35" s="34">
        <f t="shared" si="18"/>
        <v>0</v>
      </c>
      <c r="E35" s="35" t="str">
        <f t="shared" ref="E35:F35" si="19">IFERROR(C35/F8,"NA")</f>
        <v>NA</v>
      </c>
      <c r="F35" s="35" t="str">
        <f t="shared" si="19"/>
        <v>NA</v>
      </c>
      <c r="J35" s="36"/>
      <c r="K35" s="36"/>
      <c r="L35" s="36"/>
      <c r="M35" s="36"/>
      <c r="N35" s="36"/>
      <c r="O35" s="36"/>
      <c r="P35" s="38"/>
      <c r="Q35" s="36"/>
      <c r="R35" s="36"/>
      <c r="S35" s="36"/>
    </row>
    <row r="36" spans="2:19">
      <c r="B36" s="26" t="str">
        <f t="shared" si="15"/>
        <v>HR</v>
      </c>
      <c r="C36" s="34">
        <f t="shared" ref="C36:D36" si="20">J9-C9</f>
        <v>99</v>
      </c>
      <c r="D36" s="34">
        <f t="shared" si="20"/>
        <v>0</v>
      </c>
      <c r="E36" s="35" t="str">
        <f t="shared" ref="E36:F36" si="21">IFERROR(C36/F9,"NA")</f>
        <v>NA</v>
      </c>
      <c r="F36" s="35" t="str">
        <f t="shared" si="21"/>
        <v>NA</v>
      </c>
      <c r="J36" s="36"/>
      <c r="K36" s="36"/>
      <c r="L36" s="36"/>
      <c r="M36" s="36"/>
      <c r="N36" s="36"/>
      <c r="O36" s="36"/>
      <c r="P36" s="38"/>
      <c r="Q36" s="36"/>
      <c r="R36" s="36"/>
      <c r="S36" s="36"/>
    </row>
    <row r="37" spans="2:19">
      <c r="B37" s="26" t="str">
        <f t="shared" si="15"/>
        <v>RJ</v>
      </c>
      <c r="C37" s="34">
        <f t="shared" ref="C37:D37" si="22">J10-C10</f>
        <v>1025</v>
      </c>
      <c r="D37" s="34">
        <f t="shared" si="22"/>
        <v>-1861</v>
      </c>
      <c r="E37" s="35">
        <f t="shared" ref="E37:F37" si="23">IFERROR(C37/F10,"NA")</f>
        <v>0.25184275184275184</v>
      </c>
      <c r="F37" s="35" t="str">
        <f t="shared" si="23"/>
        <v>NA</v>
      </c>
      <c r="J37" s="36"/>
      <c r="K37" s="36"/>
      <c r="L37" s="36"/>
      <c r="M37" s="36"/>
      <c r="N37" s="36"/>
      <c r="O37" s="36"/>
      <c r="P37" s="38"/>
      <c r="Q37" s="36"/>
      <c r="R37" s="36"/>
      <c r="S37" s="36"/>
    </row>
    <row r="38" spans="2:19">
      <c r="B38" s="26" t="str">
        <f t="shared" si="15"/>
        <v>GJ</v>
      </c>
      <c r="C38" s="34">
        <f t="shared" ref="C38:D38" si="24">J11-C11</f>
        <v>107</v>
      </c>
      <c r="D38" s="34">
        <f t="shared" si="24"/>
        <v>345</v>
      </c>
      <c r="E38" s="35">
        <f t="shared" ref="E38:F38" si="25">IFERROR(C38/F11,"NA")</f>
        <v>5.1815980629539952E-2</v>
      </c>
      <c r="F38" s="35">
        <f t="shared" si="25"/>
        <v>1.7424242424242424</v>
      </c>
      <c r="J38" s="36"/>
      <c r="K38" s="36"/>
      <c r="L38" s="36"/>
      <c r="M38" s="36"/>
      <c r="N38" s="36"/>
      <c r="O38" s="36"/>
      <c r="P38" s="38"/>
      <c r="Q38" s="36"/>
      <c r="R38" s="36"/>
      <c r="S38" s="36"/>
    </row>
    <row r="39" spans="2:19">
      <c r="B39" s="26" t="str">
        <f t="shared" si="15"/>
        <v>MP</v>
      </c>
      <c r="C39" s="34">
        <f t="shared" ref="C39:D39" si="26">J12-C12</f>
        <v>406</v>
      </c>
      <c r="D39" s="34">
        <f t="shared" si="26"/>
        <v>64</v>
      </c>
      <c r="E39" s="35">
        <f t="shared" ref="E39:F39" si="27">IFERROR(C39/F12,"NA")</f>
        <v>2.0099009900990099</v>
      </c>
      <c r="F39" s="35" t="str">
        <f t="shared" si="27"/>
        <v>NA</v>
      </c>
      <c r="J39" s="36"/>
      <c r="K39" s="36"/>
      <c r="L39" s="36"/>
      <c r="M39" s="36"/>
      <c r="N39" s="36"/>
      <c r="O39" s="36"/>
      <c r="P39" s="38"/>
      <c r="Q39" s="36"/>
      <c r="R39" s="36"/>
      <c r="S39" s="36"/>
    </row>
    <row r="40" spans="2:19">
      <c r="B40" s="26" t="str">
        <f t="shared" si="15"/>
        <v>MH</v>
      </c>
      <c r="C40" s="34">
        <f t="shared" ref="C40:D40" si="28">J13-C13</f>
        <v>108</v>
      </c>
      <c r="D40" s="34">
        <f t="shared" si="28"/>
        <v>245</v>
      </c>
      <c r="E40" s="35">
        <f t="shared" ref="E40:F40" si="29">IFERROR(C40/F13,"NA")</f>
        <v>5.3598014888337472E-2</v>
      </c>
      <c r="F40" s="35">
        <f t="shared" si="29"/>
        <v>0.49</v>
      </c>
      <c r="J40" s="36"/>
      <c r="K40" s="36"/>
      <c r="L40" s="36"/>
      <c r="M40" s="36"/>
      <c r="N40" s="36"/>
      <c r="O40" s="36"/>
      <c r="P40" s="38"/>
      <c r="Q40" s="36"/>
      <c r="R40" s="36"/>
      <c r="S40" s="36"/>
    </row>
    <row r="41" spans="2:19">
      <c r="B41" s="26" t="str">
        <f t="shared" si="15"/>
        <v>KA</v>
      </c>
      <c r="C41" s="34">
        <f t="shared" ref="C41:D41" si="30">J14-C14</f>
        <v>825</v>
      </c>
      <c r="D41" s="34">
        <f t="shared" si="30"/>
        <v>367</v>
      </c>
      <c r="E41" s="35">
        <f t="shared" ref="E41:F41" si="31">IFERROR(C41/F14,"NA")</f>
        <v>0.66909975669099753</v>
      </c>
      <c r="F41" s="35" t="str">
        <f t="shared" si="31"/>
        <v>NA</v>
      </c>
      <c r="J41" s="36"/>
      <c r="K41" s="36"/>
      <c r="L41" s="36"/>
      <c r="M41" s="36"/>
      <c r="N41" s="36"/>
      <c r="O41" s="36"/>
      <c r="P41" s="38"/>
      <c r="Q41" s="36"/>
      <c r="R41" s="36"/>
      <c r="S41" s="36"/>
    </row>
    <row r="42" spans="2:19">
      <c r="B42" s="26" t="str">
        <f t="shared" si="15"/>
        <v>KL</v>
      </c>
      <c r="C42" s="34">
        <f t="shared" ref="C42:D42" si="32">J15-C15</f>
        <v>4</v>
      </c>
      <c r="D42" s="34">
        <f t="shared" si="32"/>
        <v>0</v>
      </c>
      <c r="E42" s="35">
        <f t="shared" ref="E42:F42" si="33">IFERROR(C42/F15,"NA")</f>
        <v>0.18181818181818182</v>
      </c>
      <c r="F42" s="35" t="str">
        <f t="shared" si="33"/>
        <v>NA</v>
      </c>
      <c r="J42" s="36"/>
      <c r="K42" s="36"/>
      <c r="L42" s="36"/>
      <c r="M42" s="36"/>
      <c r="N42" s="36"/>
      <c r="O42" s="36"/>
      <c r="P42" s="38"/>
      <c r="Q42" s="36"/>
      <c r="R42" s="36"/>
      <c r="S42" s="36"/>
    </row>
    <row r="43" spans="2:19">
      <c r="B43" s="26" t="str">
        <f t="shared" si="15"/>
        <v>TN</v>
      </c>
      <c r="C43" s="34">
        <f t="shared" ref="C43:D43" si="34">J16-C16</f>
        <v>454</v>
      </c>
      <c r="D43" s="34">
        <f t="shared" si="34"/>
        <v>-718</v>
      </c>
      <c r="E43" s="35">
        <f t="shared" ref="E43:F43" si="35">IFERROR(C43/F16,"NA")</f>
        <v>0.74304418985270049</v>
      </c>
      <c r="F43" s="35" t="str">
        <f t="shared" si="35"/>
        <v>NA</v>
      </c>
      <c r="J43" s="36"/>
      <c r="K43" s="36"/>
      <c r="L43" s="36"/>
      <c r="M43" s="36"/>
      <c r="N43" s="36"/>
      <c r="O43" s="36"/>
      <c r="P43" s="38"/>
      <c r="Q43" s="36"/>
      <c r="R43" s="36"/>
      <c r="S43" s="36"/>
    </row>
    <row r="44" spans="2:19">
      <c r="B44" s="26" t="str">
        <f t="shared" si="15"/>
        <v>AP</v>
      </c>
      <c r="C44" s="34">
        <f>J17-C17</f>
        <v>172</v>
      </c>
      <c r="D44" s="34">
        <f>K17-D17</f>
        <v>-54</v>
      </c>
      <c r="E44" s="35">
        <f t="shared" ref="E44:F44" si="36">IFERROR(C44/F17,"NA")</f>
        <v>0.12981132075471699</v>
      </c>
      <c r="F44" s="35" t="str">
        <f t="shared" si="36"/>
        <v>NA</v>
      </c>
    </row>
    <row r="45" spans="2:19">
      <c r="B45" s="26" t="str">
        <f t="shared" si="15"/>
        <v>TS</v>
      </c>
      <c r="C45" s="34">
        <f t="shared" ref="C45:D45" si="37">J18-C18</f>
        <v>130</v>
      </c>
      <c r="D45" s="34">
        <f t="shared" si="37"/>
        <v>-128</v>
      </c>
      <c r="E45" s="35">
        <f t="shared" ref="E45:F45" si="38">IFERROR(C45/F18,"NA")</f>
        <v>0.85526315789473684</v>
      </c>
      <c r="F45" s="35" t="str">
        <f t="shared" si="38"/>
        <v>NA</v>
      </c>
    </row>
    <row r="46" spans="2:19">
      <c r="B46" s="26" t="str">
        <f t="shared" si="15"/>
        <v>OD</v>
      </c>
      <c r="C46" s="34">
        <f t="shared" ref="C46:D46" si="39">J19-C19</f>
        <v>52</v>
      </c>
      <c r="D46" s="34">
        <f t="shared" si="39"/>
        <v>0</v>
      </c>
      <c r="E46" s="35">
        <f t="shared" ref="E46:F46" si="40">IFERROR(C46/F19,"NA")</f>
        <v>0.51485148514851486</v>
      </c>
      <c r="F46" s="35" t="str">
        <f t="shared" si="40"/>
        <v>NA</v>
      </c>
    </row>
    <row r="47" spans="2:19">
      <c r="B47" s="26" t="str">
        <f t="shared" si="15"/>
        <v>CG</v>
      </c>
      <c r="C47" s="34">
        <f t="shared" ref="C47:D47" si="41">J20-C20</f>
        <v>3</v>
      </c>
      <c r="D47" s="34">
        <f t="shared" si="41"/>
        <v>0</v>
      </c>
      <c r="E47" s="35" t="str">
        <f t="shared" ref="E47:F47" si="42">IFERROR(C47/F20,"NA")</f>
        <v>NA</v>
      </c>
      <c r="F47" s="35" t="str">
        <f t="shared" si="42"/>
        <v>NA</v>
      </c>
    </row>
    <row r="48" spans="2:19">
      <c r="B48" s="26" t="str">
        <f t="shared" si="15"/>
        <v>WB</v>
      </c>
      <c r="C48" s="34">
        <f t="shared" ref="C48:D48" si="43">J21-C21</f>
        <v>-5</v>
      </c>
      <c r="D48" s="34">
        <f t="shared" si="43"/>
        <v>0</v>
      </c>
      <c r="E48" s="35" t="str">
        <f t="shared" ref="E48:F48" si="44">IFERROR(C48/F21,"NA")</f>
        <v>NA</v>
      </c>
      <c r="F48" s="35" t="str">
        <f t="shared" si="44"/>
        <v>NA</v>
      </c>
    </row>
    <row r="49" spans="2:6">
      <c r="B49" s="26" t="str">
        <f t="shared" si="15"/>
        <v>BR</v>
      </c>
      <c r="C49" s="34">
        <f t="shared" ref="C49:D49" si="45">J22-C22</f>
        <v>-20</v>
      </c>
      <c r="D49" s="34">
        <f t="shared" si="45"/>
        <v>0</v>
      </c>
      <c r="E49" s="35" t="str">
        <f t="shared" ref="E49:F49" si="46">IFERROR(C49/F22,"NA")</f>
        <v>NA</v>
      </c>
      <c r="F49" s="35" t="str">
        <f t="shared" si="46"/>
        <v>NA</v>
      </c>
    </row>
    <row r="50" spans="2:6">
      <c r="B50" s="26" t="str">
        <f t="shared" si="15"/>
        <v>JH</v>
      </c>
      <c r="C50" s="34">
        <f t="shared" ref="C50:D50" si="47">J23-C23</f>
        <v>0</v>
      </c>
      <c r="D50" s="34">
        <f t="shared" si="47"/>
        <v>0</v>
      </c>
      <c r="E50" s="35" t="str">
        <f t="shared" ref="E50:F50" si="48">IFERROR(C50/F23,"NA")</f>
        <v>NA</v>
      </c>
      <c r="F50" s="35" t="str">
        <f t="shared" si="48"/>
        <v>NA</v>
      </c>
    </row>
    <row r="51" spans="2:6">
      <c r="B51" s="26" t="str">
        <f t="shared" si="15"/>
        <v xml:space="preserve">UT </v>
      </c>
      <c r="C51" s="34">
        <f t="shared" ref="C51:D51" si="49">J24-C24</f>
        <v>20</v>
      </c>
      <c r="D51" s="34">
        <f t="shared" si="49"/>
        <v>0</v>
      </c>
      <c r="E51" s="35">
        <f t="shared" ref="E51:F51" si="50">IFERROR(C51/F24,"NA")</f>
        <v>0.8</v>
      </c>
      <c r="F51" s="35" t="str">
        <f t="shared" si="50"/>
        <v>NA</v>
      </c>
    </row>
    <row r="52" spans="2:6">
      <c r="B52" s="26">
        <f t="shared" si="15"/>
        <v>0</v>
      </c>
      <c r="C52" s="34">
        <f t="shared" ref="C52:D52" si="51">J25-C25</f>
        <v>0</v>
      </c>
      <c r="D52" s="34">
        <f t="shared" si="51"/>
        <v>0</v>
      </c>
      <c r="E52" s="35" t="str">
        <f t="shared" ref="E52:F52" si="52">IFERROR(C52/F25,"NA")</f>
        <v>NA</v>
      </c>
      <c r="F52" s="35" t="str">
        <f t="shared" si="52"/>
        <v>NA</v>
      </c>
    </row>
    <row r="53" spans="2:6">
      <c r="B53" s="26" t="str">
        <f t="shared" si="15"/>
        <v>Total</v>
      </c>
      <c r="C53" s="34">
        <f t="shared" ref="C53:D53" si="53">J26-C26</f>
        <v>3573</v>
      </c>
      <c r="D53" s="34">
        <f t="shared" si="53"/>
        <v>-1740</v>
      </c>
    </row>
    <row r="54" spans="2:6" ht="45">
      <c r="B54" s="26" t="str">
        <f t="shared" si="15"/>
        <v>National Total (Page 1, top Right)</v>
      </c>
      <c r="C54" s="34">
        <f t="shared" ref="C54:D54" si="54">J27-C27</f>
        <v>2839</v>
      </c>
      <c r="D54" s="34">
        <f t="shared" si="54"/>
        <v>319</v>
      </c>
    </row>
    <row r="55" spans="2:6">
      <c r="C55" s="34"/>
      <c r="D55" s="34"/>
    </row>
    <row r="56" spans="2:6">
      <c r="C56" s="34"/>
      <c r="D56" s="34"/>
    </row>
    <row r="57" spans="2:6">
      <c r="C57" s="34"/>
      <c r="D57" s="34"/>
    </row>
  </sheetData>
  <mergeCells count="9">
    <mergeCell ref="Q4:S4"/>
    <mergeCell ref="T4:V4"/>
    <mergeCell ref="C4:E4"/>
    <mergeCell ref="F4:H4"/>
    <mergeCell ref="C31:D31"/>
    <mergeCell ref="E31:F31"/>
    <mergeCell ref="J31:K31"/>
    <mergeCell ref="J4:L4"/>
    <mergeCell ref="M4:O4"/>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E18" sqref="E18"/>
    </sheetView>
  </sheetViews>
  <sheetFormatPr defaultRowHeight="15"/>
  <cols>
    <col min="1" max="5" width="20.7109375" style="40" customWidth="1"/>
    <col min="6" max="6" width="44.85546875" style="40" bestFit="1" customWidth="1"/>
  </cols>
  <sheetData>
    <row r="1" spans="1:7" ht="15.75" thickBot="1">
      <c r="A1" s="57" t="s">
        <v>119</v>
      </c>
      <c r="G1" t="s">
        <v>239</v>
      </c>
    </row>
    <row r="2" spans="1:7">
      <c r="A2" s="42" t="s">
        <v>120</v>
      </c>
      <c r="B2" s="931" t="s">
        <v>122</v>
      </c>
      <c r="C2" s="931" t="s">
        <v>123</v>
      </c>
      <c r="D2" s="931" t="s">
        <v>124</v>
      </c>
      <c r="E2" s="44" t="s">
        <v>125</v>
      </c>
      <c r="F2" s="931" t="s">
        <v>126</v>
      </c>
    </row>
    <row r="3" spans="1:7" ht="15.75" thickBot="1">
      <c r="A3" s="43" t="s">
        <v>121</v>
      </c>
      <c r="B3" s="932"/>
      <c r="C3" s="932"/>
      <c r="D3" s="932"/>
      <c r="E3" s="45" t="s">
        <v>48</v>
      </c>
      <c r="F3" s="932"/>
    </row>
    <row r="4" spans="1:7" ht="30.75" thickBot="1">
      <c r="A4" s="46" t="s">
        <v>127</v>
      </c>
      <c r="B4" s="933" t="s">
        <v>49</v>
      </c>
      <c r="C4" s="47" t="s">
        <v>128</v>
      </c>
      <c r="D4" s="48" t="s">
        <v>129</v>
      </c>
      <c r="E4" s="48">
        <v>1500</v>
      </c>
      <c r="F4" s="933" t="s">
        <v>130</v>
      </c>
    </row>
    <row r="5" spans="1:7" ht="15.75" thickBot="1">
      <c r="A5" s="49" t="s">
        <v>131</v>
      </c>
      <c r="B5" s="934"/>
      <c r="C5" s="50" t="s">
        <v>132</v>
      </c>
      <c r="D5" s="51" t="s">
        <v>129</v>
      </c>
      <c r="E5" s="51">
        <v>1000</v>
      </c>
      <c r="F5" s="934"/>
    </row>
    <row r="6" spans="1:7" ht="15.75" thickBot="1">
      <c r="A6" s="46" t="s">
        <v>133</v>
      </c>
      <c r="B6" s="934"/>
      <c r="C6" s="47" t="s">
        <v>134</v>
      </c>
      <c r="D6" s="52">
        <v>42257</v>
      </c>
      <c r="E6" s="48">
        <v>1000</v>
      </c>
      <c r="F6" s="934"/>
    </row>
    <row r="7" spans="1:7" ht="30.75" thickBot="1">
      <c r="A7" s="49" t="s">
        <v>135</v>
      </c>
      <c r="B7" s="934"/>
      <c r="C7" s="50" t="s">
        <v>136</v>
      </c>
      <c r="D7" s="51" t="s">
        <v>137</v>
      </c>
      <c r="E7" s="51">
        <v>500</v>
      </c>
      <c r="F7" s="934"/>
    </row>
    <row r="8" spans="1:7" ht="30.75" thickBot="1">
      <c r="A8" s="46" t="s">
        <v>138</v>
      </c>
      <c r="B8" s="935"/>
      <c r="C8" s="47" t="s">
        <v>139</v>
      </c>
      <c r="D8" s="52">
        <v>43374</v>
      </c>
      <c r="E8" s="48">
        <v>160</v>
      </c>
      <c r="F8" s="935"/>
    </row>
    <row r="9" spans="1:7" ht="30.75" thickBot="1">
      <c r="A9" s="49" t="s">
        <v>140</v>
      </c>
      <c r="B9" s="50" t="s">
        <v>50</v>
      </c>
      <c r="C9" s="50" t="s">
        <v>141</v>
      </c>
      <c r="D9" s="51" t="s">
        <v>142</v>
      </c>
      <c r="E9" s="51">
        <v>20</v>
      </c>
      <c r="F9" s="50" t="s">
        <v>143</v>
      </c>
    </row>
    <row r="10" spans="1:7" ht="30.75" thickBot="1">
      <c r="A10" s="46" t="s">
        <v>144</v>
      </c>
      <c r="B10" s="933" t="s">
        <v>55</v>
      </c>
      <c r="C10" s="47" t="s">
        <v>145</v>
      </c>
      <c r="D10" s="52">
        <v>41651</v>
      </c>
      <c r="E10" s="48">
        <v>700</v>
      </c>
      <c r="F10" s="933" t="s">
        <v>146</v>
      </c>
    </row>
    <row r="11" spans="1:7" ht="15.75" thickBot="1">
      <c r="A11" s="49" t="s">
        <v>147</v>
      </c>
      <c r="B11" s="934"/>
      <c r="C11" s="50" t="s">
        <v>148</v>
      </c>
      <c r="D11" s="53">
        <v>43076</v>
      </c>
      <c r="E11" s="51">
        <v>350</v>
      </c>
      <c r="F11" s="934"/>
    </row>
    <row r="12" spans="1:7" ht="30.75" thickBot="1">
      <c r="A12" s="46" t="s">
        <v>149</v>
      </c>
      <c r="B12" s="934"/>
      <c r="C12" s="47" t="s">
        <v>150</v>
      </c>
      <c r="D12" s="52">
        <v>43195</v>
      </c>
      <c r="E12" s="48">
        <v>1000</v>
      </c>
      <c r="F12" s="935"/>
    </row>
    <row r="13" spans="1:7" ht="30.75" thickBot="1">
      <c r="A13" s="49" t="s">
        <v>151</v>
      </c>
      <c r="B13" s="935"/>
      <c r="C13" s="50" t="s">
        <v>152</v>
      </c>
      <c r="D13" s="51" t="s">
        <v>153</v>
      </c>
      <c r="E13" s="51">
        <v>4000</v>
      </c>
      <c r="F13" s="50" t="s">
        <v>154</v>
      </c>
    </row>
    <row r="14" spans="1:7" ht="15.75" thickBot="1">
      <c r="A14" s="46" t="s">
        <v>155</v>
      </c>
      <c r="B14" s="47" t="s">
        <v>57</v>
      </c>
      <c r="C14" s="47" t="s">
        <v>156</v>
      </c>
      <c r="D14" s="48" t="s">
        <v>157</v>
      </c>
      <c r="E14" s="48">
        <v>1000</v>
      </c>
      <c r="F14" s="47" t="s">
        <v>158</v>
      </c>
    </row>
    <row r="15" spans="1:7" ht="15.75" thickBot="1">
      <c r="A15" s="49" t="s">
        <v>159</v>
      </c>
      <c r="B15" s="50" t="s">
        <v>59</v>
      </c>
      <c r="C15" s="50" t="s">
        <v>160</v>
      </c>
      <c r="D15" s="53">
        <v>43559</v>
      </c>
      <c r="E15" s="51">
        <v>150</v>
      </c>
      <c r="F15" s="50" t="s">
        <v>154</v>
      </c>
    </row>
    <row r="16" spans="1:7" ht="30.75" thickBot="1">
      <c r="A16" s="46" t="s">
        <v>161</v>
      </c>
      <c r="B16" s="47" t="s">
        <v>60</v>
      </c>
      <c r="C16" s="47" t="s">
        <v>162</v>
      </c>
      <c r="D16" s="48" t="s">
        <v>163</v>
      </c>
      <c r="E16" s="48">
        <v>2000</v>
      </c>
      <c r="F16" s="47" t="s">
        <v>164</v>
      </c>
    </row>
    <row r="17" spans="1:7" ht="30.75" thickBot="1">
      <c r="A17" s="49" t="s">
        <v>165</v>
      </c>
      <c r="B17" s="50" t="s">
        <v>61</v>
      </c>
      <c r="C17" s="50" t="s">
        <v>166</v>
      </c>
      <c r="D17" s="51" t="s">
        <v>163</v>
      </c>
      <c r="E17" s="51">
        <v>105</v>
      </c>
      <c r="F17" s="50" t="s">
        <v>167</v>
      </c>
    </row>
    <row r="18" spans="1:7" ht="119.25" customHeight="1" thickBot="1">
      <c r="A18" s="46" t="s">
        <v>168</v>
      </c>
      <c r="B18" s="933" t="s">
        <v>169</v>
      </c>
      <c r="C18" s="47" t="s">
        <v>170</v>
      </c>
      <c r="D18" s="52">
        <v>41651</v>
      </c>
      <c r="E18" s="48">
        <v>750</v>
      </c>
      <c r="F18" s="933" t="s">
        <v>171</v>
      </c>
    </row>
    <row r="19" spans="1:7" ht="29.25" customHeight="1">
      <c r="A19" s="936" t="s">
        <v>172</v>
      </c>
      <c r="B19" s="934"/>
      <c r="C19" s="933" t="s">
        <v>173</v>
      </c>
      <c r="D19" s="938" t="s">
        <v>137</v>
      </c>
      <c r="E19" s="938">
        <v>250</v>
      </c>
      <c r="F19" s="934"/>
    </row>
    <row r="20" spans="1:7" ht="15.75" thickBot="1">
      <c r="A20" s="937"/>
      <c r="B20" s="934"/>
      <c r="C20" s="935"/>
      <c r="D20" s="939"/>
      <c r="E20" s="939"/>
      <c r="F20" s="935"/>
    </row>
    <row r="21" spans="1:7" ht="30.75" thickBot="1">
      <c r="A21" s="46" t="s">
        <v>174</v>
      </c>
      <c r="B21" s="934"/>
      <c r="C21" s="47" t="s">
        <v>175</v>
      </c>
      <c r="D21" s="48" t="s">
        <v>176</v>
      </c>
      <c r="E21" s="48">
        <v>500</v>
      </c>
      <c r="F21" s="47" t="s">
        <v>171</v>
      </c>
      <c r="G21" s="56"/>
    </row>
    <row r="22" spans="1:7" ht="30.75" thickBot="1">
      <c r="A22" s="49" t="s">
        <v>177</v>
      </c>
      <c r="B22" s="934"/>
      <c r="C22" s="50" t="s">
        <v>178</v>
      </c>
      <c r="D22" s="51" t="s">
        <v>176</v>
      </c>
      <c r="E22" s="51">
        <v>550</v>
      </c>
      <c r="F22" s="50" t="s">
        <v>171</v>
      </c>
      <c r="G22" s="56"/>
    </row>
    <row r="23" spans="1:7" ht="30.75" thickBot="1">
      <c r="A23" s="46" t="s">
        <v>179</v>
      </c>
      <c r="B23" s="934"/>
      <c r="C23" s="47" t="s">
        <v>180</v>
      </c>
      <c r="D23" s="48" t="s">
        <v>176</v>
      </c>
      <c r="E23" s="48">
        <v>450</v>
      </c>
      <c r="F23" s="47" t="s">
        <v>171</v>
      </c>
      <c r="G23" s="56"/>
    </row>
    <row r="24" spans="1:7" ht="134.25" customHeight="1">
      <c r="A24" s="936" t="s">
        <v>181</v>
      </c>
      <c r="B24" s="934"/>
      <c r="C24" s="933" t="s">
        <v>182</v>
      </c>
      <c r="D24" s="938" t="s">
        <v>157</v>
      </c>
      <c r="E24" s="938">
        <v>600</v>
      </c>
      <c r="F24" s="933" t="s">
        <v>171</v>
      </c>
    </row>
    <row r="25" spans="1:7" ht="15.75" thickBot="1">
      <c r="A25" s="937"/>
      <c r="B25" s="934"/>
      <c r="C25" s="935"/>
      <c r="D25" s="939"/>
      <c r="E25" s="939"/>
      <c r="F25" s="935"/>
    </row>
    <row r="26" spans="1:7" ht="134.25" customHeight="1">
      <c r="A26" s="940" t="s">
        <v>183</v>
      </c>
      <c r="B26" s="934"/>
      <c r="C26" s="942" t="s">
        <v>184</v>
      </c>
      <c r="D26" s="944" t="s">
        <v>157</v>
      </c>
      <c r="E26" s="944">
        <v>950</v>
      </c>
      <c r="F26" s="942" t="s">
        <v>171</v>
      </c>
    </row>
    <row r="27" spans="1:7" ht="15.75" thickBot="1">
      <c r="A27" s="941"/>
      <c r="B27" s="934"/>
      <c r="C27" s="943"/>
      <c r="D27" s="945"/>
      <c r="E27" s="945"/>
      <c r="F27" s="943"/>
    </row>
    <row r="28" spans="1:7" ht="15.75" thickBot="1">
      <c r="A28" s="49" t="s">
        <v>185</v>
      </c>
      <c r="B28" s="935"/>
      <c r="C28" s="50" t="s">
        <v>186</v>
      </c>
      <c r="D28" s="51" t="s">
        <v>157</v>
      </c>
      <c r="E28" s="51">
        <v>550</v>
      </c>
      <c r="F28" s="50" t="s">
        <v>187</v>
      </c>
    </row>
    <row r="29" spans="1:7" ht="30.75" thickBot="1">
      <c r="A29" s="46" t="s">
        <v>188</v>
      </c>
      <c r="B29" s="933" t="s">
        <v>63</v>
      </c>
      <c r="C29" s="47" t="s">
        <v>189</v>
      </c>
      <c r="D29" s="48" t="s">
        <v>190</v>
      </c>
      <c r="E29" s="48">
        <v>500</v>
      </c>
      <c r="F29" s="47" t="s">
        <v>191</v>
      </c>
    </row>
    <row r="30" spans="1:7" ht="30.75" thickBot="1">
      <c r="A30" s="49" t="s">
        <v>192</v>
      </c>
      <c r="B30" s="934"/>
      <c r="C30" s="50" t="s">
        <v>193</v>
      </c>
      <c r="D30" s="51" t="s">
        <v>194</v>
      </c>
      <c r="E30" s="51">
        <v>150</v>
      </c>
      <c r="F30" s="50" t="s">
        <v>195</v>
      </c>
    </row>
    <row r="31" spans="1:7" ht="30.75" thickBot="1">
      <c r="A31" s="46" t="s">
        <v>196</v>
      </c>
      <c r="B31" s="935"/>
      <c r="C31" s="47" t="s">
        <v>197</v>
      </c>
      <c r="D31" s="48" t="s">
        <v>194</v>
      </c>
      <c r="E31" s="48">
        <v>250</v>
      </c>
      <c r="F31" s="47" t="s">
        <v>198</v>
      </c>
    </row>
    <row r="32" spans="1:7" ht="30.75" thickBot="1">
      <c r="A32" s="49" t="s">
        <v>199</v>
      </c>
      <c r="B32" s="50" t="s">
        <v>64</v>
      </c>
      <c r="C32" s="50" t="s">
        <v>200</v>
      </c>
      <c r="D32" s="51" t="s">
        <v>201</v>
      </c>
      <c r="E32" s="51">
        <v>20</v>
      </c>
      <c r="F32" s="50" t="s">
        <v>202</v>
      </c>
    </row>
    <row r="33" spans="1:6" ht="30.75" thickBot="1">
      <c r="A33" s="46" t="s">
        <v>203</v>
      </c>
      <c r="B33" s="47" t="s">
        <v>65</v>
      </c>
      <c r="C33" s="47" t="s">
        <v>204</v>
      </c>
      <c r="D33" s="52">
        <v>41682</v>
      </c>
      <c r="E33" s="48">
        <v>20</v>
      </c>
      <c r="F33" s="47" t="s">
        <v>205</v>
      </c>
    </row>
    <row r="34" spans="1:6" ht="15.75" thickBot="1">
      <c r="A34" s="49" t="s">
        <v>206</v>
      </c>
      <c r="B34" s="50" t="s">
        <v>66</v>
      </c>
      <c r="C34" s="50" t="s">
        <v>207</v>
      </c>
      <c r="D34" s="51" t="s">
        <v>208</v>
      </c>
      <c r="E34" s="51">
        <v>20</v>
      </c>
      <c r="F34" s="50" t="s">
        <v>209</v>
      </c>
    </row>
    <row r="35" spans="1:6" ht="15.75" thickBot="1">
      <c r="A35" s="46" t="s">
        <v>210</v>
      </c>
      <c r="B35" s="933" t="s">
        <v>68</v>
      </c>
      <c r="C35" s="47" t="s">
        <v>211</v>
      </c>
      <c r="D35" s="48" t="s">
        <v>212</v>
      </c>
      <c r="E35" s="48">
        <v>40</v>
      </c>
      <c r="F35" s="47" t="s">
        <v>213</v>
      </c>
    </row>
    <row r="36" spans="1:6">
      <c r="A36" s="936" t="s">
        <v>214</v>
      </c>
      <c r="B36" s="934"/>
      <c r="C36" s="933" t="s">
        <v>211</v>
      </c>
      <c r="D36" s="54" t="s">
        <v>212</v>
      </c>
      <c r="E36" s="938">
        <v>100</v>
      </c>
      <c r="F36" s="933" t="s">
        <v>213</v>
      </c>
    </row>
    <row r="37" spans="1:6" ht="90.75" thickBot="1">
      <c r="A37" s="937"/>
      <c r="B37" s="935"/>
      <c r="C37" s="935"/>
      <c r="D37" s="51" t="s">
        <v>215</v>
      </c>
      <c r="E37" s="939"/>
      <c r="F37" s="935"/>
    </row>
    <row r="38" spans="1:6" ht="30.75" thickBot="1">
      <c r="A38" s="46" t="s">
        <v>216</v>
      </c>
      <c r="B38" s="933" t="s">
        <v>70</v>
      </c>
      <c r="C38" s="47" t="s">
        <v>217</v>
      </c>
      <c r="D38" s="52">
        <v>41682</v>
      </c>
      <c r="E38" s="48">
        <v>680</v>
      </c>
      <c r="F38" s="47" t="s">
        <v>218</v>
      </c>
    </row>
    <row r="39" spans="1:6" ht="30.75" thickBot="1">
      <c r="A39" s="49" t="s">
        <v>219</v>
      </c>
      <c r="B39" s="934"/>
      <c r="C39" s="50" t="s">
        <v>220</v>
      </c>
      <c r="D39" s="53">
        <v>41985</v>
      </c>
      <c r="E39" s="51">
        <v>1000</v>
      </c>
      <c r="F39" s="50" t="s">
        <v>221</v>
      </c>
    </row>
    <row r="40" spans="1:6" ht="30.75" thickBot="1">
      <c r="A40" s="46" t="s">
        <v>222</v>
      </c>
      <c r="B40" s="934"/>
      <c r="C40" s="47" t="s">
        <v>223</v>
      </c>
      <c r="D40" s="48" t="s">
        <v>190</v>
      </c>
      <c r="E40" s="48">
        <v>500</v>
      </c>
      <c r="F40" s="47" t="s">
        <v>224</v>
      </c>
    </row>
    <row r="41" spans="1:6" ht="30.75" thickBot="1">
      <c r="A41" s="49" t="s">
        <v>225</v>
      </c>
      <c r="B41" s="934"/>
      <c r="C41" s="50" t="s">
        <v>226</v>
      </c>
      <c r="D41" s="51" t="s">
        <v>194</v>
      </c>
      <c r="E41" s="51">
        <v>750</v>
      </c>
      <c r="F41" s="50" t="s">
        <v>227</v>
      </c>
    </row>
    <row r="42" spans="1:6" ht="30.75" thickBot="1">
      <c r="A42" s="46" t="s">
        <v>228</v>
      </c>
      <c r="B42" s="934"/>
      <c r="C42" s="47" t="s">
        <v>229</v>
      </c>
      <c r="D42" s="52">
        <v>42371</v>
      </c>
      <c r="E42" s="48">
        <v>421</v>
      </c>
      <c r="F42" s="47" t="s">
        <v>224</v>
      </c>
    </row>
    <row r="43" spans="1:6" ht="30.75" thickBot="1">
      <c r="A43" s="49" t="s">
        <v>230</v>
      </c>
      <c r="B43" s="935"/>
      <c r="C43" s="50" t="s">
        <v>231</v>
      </c>
      <c r="D43" s="51" t="s">
        <v>232</v>
      </c>
      <c r="E43" s="51">
        <v>925</v>
      </c>
      <c r="F43" s="50" t="s">
        <v>218</v>
      </c>
    </row>
    <row r="44" spans="1:6" ht="30.75" thickBot="1">
      <c r="A44" s="46" t="s">
        <v>233</v>
      </c>
      <c r="B44" s="933" t="s">
        <v>75</v>
      </c>
      <c r="C44" s="47" t="s">
        <v>234</v>
      </c>
      <c r="D44" s="52">
        <v>41682</v>
      </c>
      <c r="E44" s="48">
        <v>440</v>
      </c>
      <c r="F44" s="47" t="s">
        <v>235</v>
      </c>
    </row>
    <row r="45" spans="1:6" ht="15.75" thickBot="1">
      <c r="A45" s="49" t="s">
        <v>236</v>
      </c>
      <c r="B45" s="935"/>
      <c r="C45" s="50" t="s">
        <v>237</v>
      </c>
      <c r="D45" s="51" t="s">
        <v>157</v>
      </c>
      <c r="E45" s="51">
        <v>1200</v>
      </c>
      <c r="F45" s="50" t="s">
        <v>238</v>
      </c>
    </row>
    <row r="46" spans="1:6" ht="15.75" thickBot="1">
      <c r="A46" s="946" t="s">
        <v>7</v>
      </c>
      <c r="B46" s="947"/>
      <c r="C46" s="947"/>
      <c r="D46" s="948"/>
      <c r="E46" s="45">
        <v>25101</v>
      </c>
      <c r="F46" s="55"/>
    </row>
  </sheetData>
  <mergeCells count="33">
    <mergeCell ref="B38:B43"/>
    <mergeCell ref="B44:B45"/>
    <mergeCell ref="A46:D46"/>
    <mergeCell ref="B29:B31"/>
    <mergeCell ref="B35:B37"/>
    <mergeCell ref="A36:A37"/>
    <mergeCell ref="C36:C37"/>
    <mergeCell ref="E36:E37"/>
    <mergeCell ref="F36:F37"/>
    <mergeCell ref="D24:D25"/>
    <mergeCell ref="E24:E25"/>
    <mergeCell ref="F24:F25"/>
    <mergeCell ref="B10:B13"/>
    <mergeCell ref="F10:F12"/>
    <mergeCell ref="B18:B28"/>
    <mergeCell ref="F18:F20"/>
    <mergeCell ref="A19:A20"/>
    <mergeCell ref="C19:C20"/>
    <mergeCell ref="D19:D20"/>
    <mergeCell ref="E19:E20"/>
    <mergeCell ref="A24:A25"/>
    <mergeCell ref="C24:C25"/>
    <mergeCell ref="A26:A27"/>
    <mergeCell ref="C26:C27"/>
    <mergeCell ref="D26:D27"/>
    <mergeCell ref="E26:E27"/>
    <mergeCell ref="F26:F27"/>
    <mergeCell ref="B2:B3"/>
    <mergeCell ref="C2:C3"/>
    <mergeCell ref="D2:D3"/>
    <mergeCell ref="F2:F3"/>
    <mergeCell ref="B4:B8"/>
    <mergeCell ref="F4: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F18"/>
  <sheetViews>
    <sheetView workbookViewId="0">
      <selection activeCell="C52" sqref="C52"/>
    </sheetView>
  </sheetViews>
  <sheetFormatPr defaultRowHeight="12.75"/>
  <cols>
    <col min="1" max="1" width="4.7109375" style="92" customWidth="1"/>
    <col min="2" max="2" width="30.85546875" style="92" customWidth="1"/>
    <col min="3" max="3" width="29.5703125" style="92" customWidth="1"/>
    <col min="4" max="4" width="29.28515625" style="92" customWidth="1"/>
    <col min="5" max="5" width="34.7109375" style="92" customWidth="1"/>
    <col min="6" max="16384" width="9.140625" style="92"/>
  </cols>
  <sheetData>
    <row r="1" spans="1:6" ht="50.1" customHeight="1">
      <c r="A1" s="949" t="s">
        <v>241</v>
      </c>
      <c r="B1" s="949"/>
      <c r="C1" s="949"/>
      <c r="D1" s="949"/>
      <c r="E1" s="949"/>
      <c r="F1" s="92" t="s">
        <v>617</v>
      </c>
    </row>
    <row r="2" spans="1:6" ht="16.350000000000001" customHeight="1">
      <c r="A2" s="950" t="s">
        <v>242</v>
      </c>
      <c r="B2" s="951"/>
      <c r="C2" s="951"/>
      <c r="D2" s="951"/>
      <c r="E2" s="952"/>
    </row>
    <row r="3" spans="1:6" ht="22.5" customHeight="1">
      <c r="A3" s="93" t="s">
        <v>243</v>
      </c>
      <c r="B3" s="94" t="s">
        <v>244</v>
      </c>
      <c r="C3" s="94" t="s">
        <v>245</v>
      </c>
      <c r="D3" s="94" t="s">
        <v>246</v>
      </c>
      <c r="E3" s="94" t="s">
        <v>247</v>
      </c>
    </row>
    <row r="4" spans="1:6" ht="27" customHeight="1">
      <c r="A4" s="95">
        <v>1</v>
      </c>
      <c r="B4" s="96" t="s">
        <v>248</v>
      </c>
      <c r="C4" s="97">
        <v>2000</v>
      </c>
      <c r="D4" s="97">
        <v>2000</v>
      </c>
      <c r="E4" s="97">
        <v>2000</v>
      </c>
    </row>
    <row r="5" spans="1:6" ht="27" customHeight="1">
      <c r="A5" s="95">
        <v>2</v>
      </c>
      <c r="B5" s="96" t="s">
        <v>249</v>
      </c>
      <c r="C5" s="97">
        <v>3000</v>
      </c>
      <c r="D5" s="97">
        <v>600</v>
      </c>
      <c r="E5" s="97">
        <v>600</v>
      </c>
    </row>
    <row r="6" spans="1:6" ht="27" customHeight="1">
      <c r="A6" s="95">
        <v>3</v>
      </c>
      <c r="B6" s="96" t="s">
        <v>250</v>
      </c>
      <c r="C6" s="97">
        <v>1200</v>
      </c>
      <c r="D6" s="97">
        <v>1200</v>
      </c>
      <c r="E6" s="97">
        <v>1200</v>
      </c>
    </row>
    <row r="7" spans="1:6" ht="27" customHeight="1">
      <c r="A7" s="95">
        <v>4</v>
      </c>
      <c r="B7" s="96" t="s">
        <v>251</v>
      </c>
      <c r="C7" s="97">
        <v>1200</v>
      </c>
      <c r="D7" s="97">
        <v>1150</v>
      </c>
      <c r="E7" s="97">
        <v>1150</v>
      </c>
    </row>
    <row r="8" spans="1:6" ht="27" customHeight="1">
      <c r="A8" s="95">
        <v>5</v>
      </c>
      <c r="B8" s="96" t="s">
        <v>252</v>
      </c>
      <c r="C8" s="97">
        <v>1200</v>
      </c>
      <c r="D8" s="97">
        <v>480</v>
      </c>
      <c r="E8" s="97">
        <v>480</v>
      </c>
    </row>
    <row r="9" spans="1:6" ht="27" customHeight="1">
      <c r="A9" s="95">
        <v>6</v>
      </c>
      <c r="B9" s="96" t="s">
        <v>253</v>
      </c>
      <c r="C9" s="97">
        <v>1200</v>
      </c>
      <c r="D9" s="97">
        <v>900</v>
      </c>
      <c r="E9" s="97">
        <v>900</v>
      </c>
    </row>
    <row r="10" spans="1:6" ht="27" customHeight="1">
      <c r="A10" s="95">
        <v>7</v>
      </c>
      <c r="B10" s="96" t="s">
        <v>254</v>
      </c>
      <c r="C10" s="97">
        <v>1200</v>
      </c>
      <c r="D10" s="97">
        <v>1200</v>
      </c>
      <c r="E10" s="97">
        <v>1200</v>
      </c>
    </row>
    <row r="11" spans="1:6" ht="27" customHeight="1">
      <c r="A11" s="95">
        <v>8</v>
      </c>
      <c r="B11" s="96" t="s">
        <v>255</v>
      </c>
      <c r="C11" s="97">
        <v>2000</v>
      </c>
      <c r="D11" s="97">
        <v>2000</v>
      </c>
      <c r="E11" s="97">
        <v>2000</v>
      </c>
    </row>
    <row r="12" spans="1:6" ht="22.5" customHeight="1">
      <c r="A12" s="95">
        <v>9</v>
      </c>
      <c r="B12" s="93" t="s">
        <v>256</v>
      </c>
      <c r="C12" s="97">
        <v>750</v>
      </c>
      <c r="D12" s="97">
        <v>750</v>
      </c>
      <c r="E12" s="97">
        <v>750</v>
      </c>
    </row>
    <row r="13" spans="1:6" ht="22.5" customHeight="1">
      <c r="A13" s="95">
        <v>10</v>
      </c>
      <c r="B13" s="93" t="s">
        <v>257</v>
      </c>
      <c r="C13" s="97">
        <v>750</v>
      </c>
      <c r="D13" s="97">
        <v>680</v>
      </c>
      <c r="E13" s="97">
        <v>610</v>
      </c>
    </row>
    <row r="14" spans="1:6" ht="27" customHeight="1">
      <c r="A14" s="95">
        <v>11</v>
      </c>
      <c r="B14" s="96" t="s">
        <v>258</v>
      </c>
      <c r="C14" s="97">
        <v>150</v>
      </c>
      <c r="D14" s="97">
        <v>150</v>
      </c>
      <c r="E14" s="97">
        <v>150</v>
      </c>
    </row>
    <row r="15" spans="1:6" ht="27" customHeight="1">
      <c r="A15" s="95">
        <v>12</v>
      </c>
      <c r="B15" s="96" t="s">
        <v>259</v>
      </c>
      <c r="C15" s="97">
        <v>750</v>
      </c>
      <c r="D15" s="97">
        <v>750</v>
      </c>
      <c r="E15" s="97">
        <v>750</v>
      </c>
    </row>
    <row r="16" spans="1:6" ht="22.5" customHeight="1">
      <c r="A16" s="95">
        <v>13</v>
      </c>
      <c r="B16" s="93" t="s">
        <v>260</v>
      </c>
      <c r="C16" s="97">
        <v>2000</v>
      </c>
      <c r="D16" s="97">
        <v>922</v>
      </c>
      <c r="E16" s="97">
        <v>922</v>
      </c>
    </row>
    <row r="17" spans="1:5" ht="22.5" customHeight="1">
      <c r="A17" s="95">
        <v>14</v>
      </c>
      <c r="B17" s="93" t="s">
        <v>261</v>
      </c>
      <c r="C17" s="97">
        <v>1500</v>
      </c>
      <c r="D17" s="97">
        <v>1104</v>
      </c>
      <c r="E17" s="97">
        <v>1104</v>
      </c>
    </row>
    <row r="18" spans="1:5" ht="22.7" customHeight="1">
      <c r="A18" s="98"/>
      <c r="B18" s="93" t="s">
        <v>262</v>
      </c>
      <c r="C18" s="97">
        <v>18900</v>
      </c>
      <c r="D18" s="97">
        <v>13886</v>
      </c>
      <c r="E18" s="97">
        <v>13816</v>
      </c>
    </row>
  </sheetData>
  <mergeCells count="2">
    <mergeCell ref="A1:E1"/>
    <mergeCell ref="A2:E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H64"/>
  <sheetViews>
    <sheetView topLeftCell="A37" zoomScale="85" zoomScaleNormal="85" workbookViewId="0">
      <selection activeCell="C52" sqref="C52"/>
    </sheetView>
  </sheetViews>
  <sheetFormatPr defaultRowHeight="12.75"/>
  <cols>
    <col min="1" max="1" width="8" style="92" customWidth="1"/>
    <col min="2" max="2" width="60.140625" style="92" customWidth="1"/>
    <col min="3" max="3" width="17.5703125" style="92" customWidth="1"/>
    <col min="4" max="4" width="14.28515625" style="92" customWidth="1"/>
    <col min="5" max="5" width="20.5703125" style="92" customWidth="1"/>
    <col min="6" max="6" width="16" style="92" customWidth="1"/>
    <col min="7" max="7" width="29" style="92" customWidth="1"/>
    <col min="8" max="16384" width="9.140625" style="92"/>
  </cols>
  <sheetData>
    <row r="1" spans="1:8" ht="12.2" customHeight="1">
      <c r="A1" s="953" t="s">
        <v>263</v>
      </c>
      <c r="B1" s="953"/>
      <c r="C1" s="953"/>
      <c r="D1" s="953"/>
      <c r="E1" s="953"/>
      <c r="F1" s="953"/>
      <c r="G1" s="953"/>
      <c r="H1" s="92" t="s">
        <v>617</v>
      </c>
    </row>
    <row r="2" spans="1:8" ht="12.75" customHeight="1">
      <c r="A2" s="954" t="s">
        <v>264</v>
      </c>
      <c r="B2" s="954"/>
      <c r="C2" s="954"/>
      <c r="D2" s="954"/>
      <c r="E2" s="954"/>
      <c r="F2" s="954"/>
      <c r="G2" s="955"/>
    </row>
    <row r="3" spans="1:8" ht="48" customHeight="1">
      <c r="A3" s="99" t="s">
        <v>265</v>
      </c>
      <c r="B3" s="100" t="s">
        <v>266</v>
      </c>
      <c r="C3" s="101" t="s">
        <v>267</v>
      </c>
      <c r="D3" s="102" t="s">
        <v>268</v>
      </c>
      <c r="E3" s="103" t="s">
        <v>269</v>
      </c>
      <c r="F3" s="101" t="s">
        <v>270</v>
      </c>
      <c r="G3" s="104" t="s">
        <v>271</v>
      </c>
    </row>
    <row r="4" spans="1:8" ht="45" customHeight="1">
      <c r="A4" s="105">
        <v>1</v>
      </c>
      <c r="B4" s="106" t="s">
        <v>272</v>
      </c>
      <c r="C4" s="107">
        <v>250</v>
      </c>
      <c r="D4" s="108" t="s">
        <v>273</v>
      </c>
      <c r="E4" s="109" t="s">
        <v>274</v>
      </c>
      <c r="F4" s="110" t="s">
        <v>275</v>
      </c>
      <c r="G4" s="111" t="s">
        <v>276</v>
      </c>
    </row>
    <row r="5" spans="1:8" ht="45" customHeight="1">
      <c r="A5" s="112">
        <v>2</v>
      </c>
      <c r="B5" s="113" t="s">
        <v>277</v>
      </c>
      <c r="C5" s="114">
        <v>50</v>
      </c>
      <c r="D5" s="115" t="s">
        <v>273</v>
      </c>
      <c r="E5" s="116" t="s">
        <v>274</v>
      </c>
      <c r="F5" s="117" t="s">
        <v>275</v>
      </c>
      <c r="G5" s="118" t="s">
        <v>278</v>
      </c>
    </row>
    <row r="6" spans="1:8" ht="45" customHeight="1">
      <c r="A6" s="105">
        <v>3</v>
      </c>
      <c r="B6" s="106" t="s">
        <v>279</v>
      </c>
      <c r="C6" s="107">
        <v>300</v>
      </c>
      <c r="D6" s="108" t="s">
        <v>273</v>
      </c>
      <c r="E6" s="109" t="s">
        <v>274</v>
      </c>
      <c r="F6" s="110" t="s">
        <v>275</v>
      </c>
      <c r="G6" s="111" t="s">
        <v>280</v>
      </c>
    </row>
    <row r="7" spans="1:8" ht="45" customHeight="1">
      <c r="A7" s="112">
        <v>4</v>
      </c>
      <c r="B7" s="119" t="s">
        <v>281</v>
      </c>
      <c r="C7" s="114">
        <v>300</v>
      </c>
      <c r="D7" s="115" t="s">
        <v>273</v>
      </c>
      <c r="E7" s="116" t="s">
        <v>274</v>
      </c>
      <c r="F7" s="117" t="s">
        <v>275</v>
      </c>
      <c r="G7" s="118" t="s">
        <v>280</v>
      </c>
    </row>
    <row r="8" spans="1:8" ht="45" customHeight="1">
      <c r="A8" s="105">
        <v>5</v>
      </c>
      <c r="B8" s="106" t="s">
        <v>282</v>
      </c>
      <c r="C8" s="107">
        <v>300</v>
      </c>
      <c r="D8" s="108" t="s">
        <v>273</v>
      </c>
      <c r="E8" s="109" t="s">
        <v>274</v>
      </c>
      <c r="F8" s="110" t="s">
        <v>275</v>
      </c>
      <c r="G8" s="111" t="s">
        <v>283</v>
      </c>
    </row>
    <row r="9" spans="1:8" ht="45" customHeight="1">
      <c r="A9" s="112">
        <v>6</v>
      </c>
      <c r="B9" s="119" t="s">
        <v>282</v>
      </c>
      <c r="C9" s="114">
        <v>300</v>
      </c>
      <c r="D9" s="115" t="s">
        <v>273</v>
      </c>
      <c r="E9" s="116" t="s">
        <v>274</v>
      </c>
      <c r="F9" s="117" t="s">
        <v>275</v>
      </c>
      <c r="G9" s="118" t="s">
        <v>283</v>
      </c>
    </row>
    <row r="10" spans="1:8" ht="45" customHeight="1">
      <c r="A10" s="105">
        <v>7</v>
      </c>
      <c r="B10" s="106" t="s">
        <v>284</v>
      </c>
      <c r="C10" s="107">
        <v>250</v>
      </c>
      <c r="D10" s="108" t="s">
        <v>273</v>
      </c>
      <c r="E10" s="109" t="s">
        <v>274</v>
      </c>
      <c r="F10" s="110" t="s">
        <v>275</v>
      </c>
      <c r="G10" s="111" t="s">
        <v>285</v>
      </c>
    </row>
    <row r="11" spans="1:8" ht="45" customHeight="1">
      <c r="A11" s="112">
        <v>8</v>
      </c>
      <c r="B11" s="113" t="s">
        <v>286</v>
      </c>
      <c r="C11" s="114">
        <v>250</v>
      </c>
      <c r="D11" s="115" t="s">
        <v>273</v>
      </c>
      <c r="E11" s="116" t="s">
        <v>274</v>
      </c>
      <c r="F11" s="117" t="s">
        <v>287</v>
      </c>
      <c r="G11" s="118" t="s">
        <v>288</v>
      </c>
    </row>
    <row r="12" spans="1:8" ht="45" customHeight="1">
      <c r="A12" s="105">
        <v>9</v>
      </c>
      <c r="B12" s="120" t="s">
        <v>289</v>
      </c>
      <c r="C12" s="107">
        <v>300</v>
      </c>
      <c r="D12" s="108" t="s">
        <v>273</v>
      </c>
      <c r="E12" s="109" t="s">
        <v>290</v>
      </c>
      <c r="F12" s="110" t="s">
        <v>275</v>
      </c>
      <c r="G12" s="111" t="s">
        <v>280</v>
      </c>
    </row>
    <row r="13" spans="1:8" ht="45" customHeight="1">
      <c r="A13" s="112">
        <v>10</v>
      </c>
      <c r="B13" s="113" t="s">
        <v>291</v>
      </c>
      <c r="C13" s="114">
        <v>300</v>
      </c>
      <c r="D13" s="115" t="s">
        <v>273</v>
      </c>
      <c r="E13" s="116" t="s">
        <v>290</v>
      </c>
      <c r="F13" s="121" t="s">
        <v>275</v>
      </c>
      <c r="G13" s="118" t="s">
        <v>280</v>
      </c>
    </row>
    <row r="14" spans="1:8" ht="45" customHeight="1">
      <c r="A14" s="105">
        <v>11</v>
      </c>
      <c r="B14" s="106" t="s">
        <v>292</v>
      </c>
      <c r="C14" s="107">
        <v>300</v>
      </c>
      <c r="D14" s="108" t="s">
        <v>273</v>
      </c>
      <c r="E14" s="109" t="s">
        <v>293</v>
      </c>
      <c r="F14" s="122" t="s">
        <v>275</v>
      </c>
      <c r="G14" s="111" t="s">
        <v>294</v>
      </c>
    </row>
    <row r="15" spans="1:8" ht="45" customHeight="1">
      <c r="A15" s="112">
        <v>12</v>
      </c>
      <c r="B15" s="119" t="s">
        <v>295</v>
      </c>
      <c r="C15" s="114">
        <v>300</v>
      </c>
      <c r="D15" s="115" t="s">
        <v>273</v>
      </c>
      <c r="E15" s="116" t="s">
        <v>293</v>
      </c>
      <c r="F15" s="121" t="s">
        <v>275</v>
      </c>
      <c r="G15" s="118" t="s">
        <v>296</v>
      </c>
    </row>
    <row r="16" spans="1:8" ht="45" customHeight="1">
      <c r="A16" s="105">
        <v>13</v>
      </c>
      <c r="B16" s="106" t="s">
        <v>297</v>
      </c>
      <c r="C16" s="107">
        <v>300</v>
      </c>
      <c r="D16" s="108" t="s">
        <v>273</v>
      </c>
      <c r="E16" s="109" t="s">
        <v>293</v>
      </c>
      <c r="F16" s="122" t="s">
        <v>275</v>
      </c>
      <c r="G16" s="111" t="s">
        <v>298</v>
      </c>
    </row>
    <row r="17" spans="1:7" ht="45" customHeight="1">
      <c r="A17" s="112">
        <v>14</v>
      </c>
      <c r="B17" s="113" t="s">
        <v>299</v>
      </c>
      <c r="C17" s="114">
        <v>300</v>
      </c>
      <c r="D17" s="115" t="s">
        <v>273</v>
      </c>
      <c r="E17" s="116" t="s">
        <v>293</v>
      </c>
      <c r="F17" s="121" t="s">
        <v>275</v>
      </c>
      <c r="G17" s="118" t="s">
        <v>300</v>
      </c>
    </row>
    <row r="18" spans="1:7" ht="45" customHeight="1">
      <c r="A18" s="105">
        <v>15</v>
      </c>
      <c r="B18" s="106" t="s">
        <v>301</v>
      </c>
      <c r="C18" s="107">
        <v>300</v>
      </c>
      <c r="D18" s="108" t="s">
        <v>273</v>
      </c>
      <c r="E18" s="109" t="s">
        <v>302</v>
      </c>
      <c r="F18" s="122" t="s">
        <v>275</v>
      </c>
      <c r="G18" s="111" t="s">
        <v>303</v>
      </c>
    </row>
    <row r="19" spans="1:7" ht="45" customHeight="1">
      <c r="A19" s="112">
        <v>16</v>
      </c>
      <c r="B19" s="116" t="s">
        <v>304</v>
      </c>
      <c r="C19" s="114">
        <v>300</v>
      </c>
      <c r="D19" s="115" t="s">
        <v>273</v>
      </c>
      <c r="E19" s="116" t="s">
        <v>302</v>
      </c>
      <c r="F19" s="121" t="s">
        <v>275</v>
      </c>
      <c r="G19" s="118" t="s">
        <v>305</v>
      </c>
    </row>
    <row r="20" spans="1:7" ht="45" customHeight="1">
      <c r="A20" s="105">
        <v>17</v>
      </c>
      <c r="B20" s="106" t="s">
        <v>306</v>
      </c>
      <c r="C20" s="107">
        <v>300</v>
      </c>
      <c r="D20" s="108" t="s">
        <v>273</v>
      </c>
      <c r="E20" s="109" t="s">
        <v>302</v>
      </c>
      <c r="F20" s="122" t="s">
        <v>275</v>
      </c>
      <c r="G20" s="111" t="s">
        <v>307</v>
      </c>
    </row>
    <row r="21" spans="1:7" ht="45" customHeight="1">
      <c r="A21" s="112">
        <v>18</v>
      </c>
      <c r="B21" s="113" t="s">
        <v>308</v>
      </c>
      <c r="C21" s="114">
        <v>250</v>
      </c>
      <c r="D21" s="115" t="s">
        <v>273</v>
      </c>
      <c r="E21" s="123" t="s">
        <v>309</v>
      </c>
      <c r="F21" s="121" t="s">
        <v>275</v>
      </c>
      <c r="G21" s="124" t="s">
        <v>310</v>
      </c>
    </row>
    <row r="22" spans="1:7" ht="45" customHeight="1">
      <c r="A22" s="105">
        <v>19</v>
      </c>
      <c r="B22" s="120" t="s">
        <v>311</v>
      </c>
      <c r="C22" s="107">
        <v>150</v>
      </c>
      <c r="D22" s="108" t="s">
        <v>273</v>
      </c>
      <c r="E22" s="125" t="s">
        <v>312</v>
      </c>
      <c r="F22" s="122" t="s">
        <v>287</v>
      </c>
      <c r="G22" s="111" t="s">
        <v>313</v>
      </c>
    </row>
    <row r="23" spans="1:7" ht="45" customHeight="1">
      <c r="A23" s="112">
        <v>20</v>
      </c>
      <c r="B23" s="113" t="s">
        <v>314</v>
      </c>
      <c r="C23" s="114">
        <v>150</v>
      </c>
      <c r="D23" s="115" t="s">
        <v>273</v>
      </c>
      <c r="E23" s="123" t="s">
        <v>312</v>
      </c>
      <c r="F23" s="121" t="s">
        <v>275</v>
      </c>
      <c r="G23" s="118" t="s">
        <v>315</v>
      </c>
    </row>
    <row r="24" spans="1:7" ht="45" customHeight="1">
      <c r="A24" s="105">
        <v>21</v>
      </c>
      <c r="B24" s="120" t="s">
        <v>314</v>
      </c>
      <c r="C24" s="107">
        <v>180</v>
      </c>
      <c r="D24" s="108" t="s">
        <v>273</v>
      </c>
      <c r="E24" s="125" t="s">
        <v>312</v>
      </c>
      <c r="F24" s="122" t="s">
        <v>275</v>
      </c>
      <c r="G24" s="111" t="s">
        <v>316</v>
      </c>
    </row>
    <row r="25" spans="1:7" ht="45" customHeight="1">
      <c r="A25" s="112">
        <v>22</v>
      </c>
      <c r="B25" s="119" t="s">
        <v>317</v>
      </c>
      <c r="C25" s="114">
        <v>300</v>
      </c>
      <c r="D25" s="115" t="s">
        <v>273</v>
      </c>
      <c r="E25" s="116" t="s">
        <v>318</v>
      </c>
      <c r="F25" s="121" t="s">
        <v>275</v>
      </c>
      <c r="G25" s="118" t="s">
        <v>319</v>
      </c>
    </row>
    <row r="26" spans="1:7" ht="45" customHeight="1">
      <c r="A26" s="105">
        <v>23</v>
      </c>
      <c r="B26" s="106" t="s">
        <v>320</v>
      </c>
      <c r="C26" s="107">
        <v>300</v>
      </c>
      <c r="D26" s="108" t="s">
        <v>273</v>
      </c>
      <c r="E26" s="109" t="s">
        <v>318</v>
      </c>
      <c r="F26" s="122" t="s">
        <v>321</v>
      </c>
      <c r="G26" s="126" t="s">
        <v>322</v>
      </c>
    </row>
    <row r="27" spans="1:7" ht="45" customHeight="1">
      <c r="A27" s="112">
        <v>24</v>
      </c>
      <c r="B27" s="113" t="s">
        <v>323</v>
      </c>
      <c r="C27" s="114">
        <v>300</v>
      </c>
      <c r="D27" s="115" t="s">
        <v>273</v>
      </c>
      <c r="E27" s="116" t="s">
        <v>318</v>
      </c>
      <c r="F27" s="121" t="s">
        <v>275</v>
      </c>
      <c r="G27" s="118" t="s">
        <v>324</v>
      </c>
    </row>
    <row r="28" spans="1:7" ht="45" customHeight="1">
      <c r="A28" s="105">
        <v>25</v>
      </c>
      <c r="B28" s="120" t="s">
        <v>325</v>
      </c>
      <c r="C28" s="107">
        <v>300</v>
      </c>
      <c r="D28" s="108" t="s">
        <v>273</v>
      </c>
      <c r="E28" s="109" t="s">
        <v>326</v>
      </c>
      <c r="F28" s="122" t="s">
        <v>275</v>
      </c>
      <c r="G28" s="111" t="s">
        <v>327</v>
      </c>
    </row>
    <row r="29" spans="1:7" ht="45" customHeight="1">
      <c r="A29" s="112">
        <v>26</v>
      </c>
      <c r="B29" s="113" t="s">
        <v>325</v>
      </c>
      <c r="C29" s="114">
        <v>300</v>
      </c>
      <c r="D29" s="115" t="s">
        <v>273</v>
      </c>
      <c r="E29" s="116" t="s">
        <v>326</v>
      </c>
      <c r="F29" s="121" t="s">
        <v>275</v>
      </c>
      <c r="G29" s="118" t="s">
        <v>328</v>
      </c>
    </row>
    <row r="30" spans="1:7" ht="45" customHeight="1">
      <c r="A30" s="105">
        <v>27</v>
      </c>
      <c r="B30" s="120" t="s">
        <v>329</v>
      </c>
      <c r="C30" s="107">
        <v>100</v>
      </c>
      <c r="D30" s="108" t="s">
        <v>273</v>
      </c>
      <c r="E30" s="109" t="s">
        <v>326</v>
      </c>
      <c r="F30" s="122" t="s">
        <v>275</v>
      </c>
      <c r="G30" s="111" t="s">
        <v>330</v>
      </c>
    </row>
    <row r="31" spans="1:7" ht="45" customHeight="1">
      <c r="A31" s="112">
        <v>28</v>
      </c>
      <c r="B31" s="113" t="s">
        <v>331</v>
      </c>
      <c r="C31" s="114">
        <v>300</v>
      </c>
      <c r="D31" s="115" t="s">
        <v>273</v>
      </c>
      <c r="E31" s="116" t="s">
        <v>326</v>
      </c>
      <c r="F31" s="121" t="s">
        <v>275</v>
      </c>
      <c r="G31" s="118" t="s">
        <v>332</v>
      </c>
    </row>
    <row r="32" spans="1:7" ht="45" customHeight="1">
      <c r="A32" s="105">
        <v>29</v>
      </c>
      <c r="B32" s="120" t="s">
        <v>333</v>
      </c>
      <c r="C32" s="107">
        <v>200</v>
      </c>
      <c r="D32" s="108" t="s">
        <v>273</v>
      </c>
      <c r="E32" s="109" t="s">
        <v>326</v>
      </c>
      <c r="F32" s="122" t="s">
        <v>275</v>
      </c>
      <c r="G32" s="111" t="s">
        <v>296</v>
      </c>
    </row>
    <row r="33" spans="1:7" ht="45" customHeight="1">
      <c r="A33" s="112">
        <v>30</v>
      </c>
      <c r="B33" s="113" t="s">
        <v>329</v>
      </c>
      <c r="C33" s="114">
        <v>100</v>
      </c>
      <c r="D33" s="115" t="s">
        <v>273</v>
      </c>
      <c r="E33" s="123" t="s">
        <v>334</v>
      </c>
      <c r="F33" s="121" t="s">
        <v>275</v>
      </c>
      <c r="G33" s="127" t="s">
        <v>335</v>
      </c>
    </row>
    <row r="34" spans="1:7" ht="45" customHeight="1">
      <c r="A34" s="105">
        <v>31</v>
      </c>
      <c r="B34" s="120" t="s">
        <v>336</v>
      </c>
      <c r="C34" s="107">
        <v>300</v>
      </c>
      <c r="D34" s="108" t="s">
        <v>273</v>
      </c>
      <c r="E34" s="125" t="s">
        <v>334</v>
      </c>
      <c r="F34" s="122" t="s">
        <v>275</v>
      </c>
      <c r="G34" s="111" t="s">
        <v>337</v>
      </c>
    </row>
    <row r="35" spans="1:7" ht="45" customHeight="1">
      <c r="A35" s="112">
        <v>32</v>
      </c>
      <c r="B35" s="113" t="s">
        <v>338</v>
      </c>
      <c r="C35" s="114">
        <v>300</v>
      </c>
      <c r="D35" s="115" t="s">
        <v>273</v>
      </c>
      <c r="E35" s="123" t="s">
        <v>334</v>
      </c>
      <c r="F35" s="121" t="s">
        <v>275</v>
      </c>
      <c r="G35" s="124" t="s">
        <v>339</v>
      </c>
    </row>
    <row r="36" spans="1:7" ht="45" customHeight="1">
      <c r="A36" s="105">
        <v>33</v>
      </c>
      <c r="B36" s="120" t="s">
        <v>340</v>
      </c>
      <c r="C36" s="107">
        <v>300</v>
      </c>
      <c r="D36" s="108" t="s">
        <v>273</v>
      </c>
      <c r="E36" s="109" t="s">
        <v>341</v>
      </c>
      <c r="F36" s="122" t="s">
        <v>275</v>
      </c>
      <c r="G36" s="111" t="s">
        <v>342</v>
      </c>
    </row>
    <row r="37" spans="1:7" ht="45" customHeight="1">
      <c r="A37" s="112">
        <v>34</v>
      </c>
      <c r="B37" s="113" t="s">
        <v>343</v>
      </c>
      <c r="C37" s="114">
        <v>300</v>
      </c>
      <c r="D37" s="115" t="s">
        <v>273</v>
      </c>
      <c r="E37" s="123" t="s">
        <v>334</v>
      </c>
      <c r="F37" s="121" t="s">
        <v>275</v>
      </c>
      <c r="G37" s="127" t="s">
        <v>344</v>
      </c>
    </row>
    <row r="38" spans="1:7" ht="45" customHeight="1">
      <c r="A38" s="105">
        <v>35</v>
      </c>
      <c r="B38" s="120" t="s">
        <v>333</v>
      </c>
      <c r="C38" s="107">
        <v>300</v>
      </c>
      <c r="D38" s="108" t="s">
        <v>273</v>
      </c>
      <c r="E38" s="125" t="s">
        <v>334</v>
      </c>
      <c r="F38" s="122" t="s">
        <v>275</v>
      </c>
      <c r="G38" s="111" t="s">
        <v>345</v>
      </c>
    </row>
    <row r="39" spans="1:7" ht="45" customHeight="1">
      <c r="A39" s="112">
        <v>36</v>
      </c>
      <c r="B39" s="113" t="s">
        <v>333</v>
      </c>
      <c r="C39" s="114">
        <v>100</v>
      </c>
      <c r="D39" s="115" t="s">
        <v>273</v>
      </c>
      <c r="E39" s="123" t="s">
        <v>334</v>
      </c>
      <c r="F39" s="121" t="s">
        <v>275</v>
      </c>
      <c r="G39" s="118" t="s">
        <v>345</v>
      </c>
    </row>
    <row r="40" spans="1:7" ht="45" customHeight="1">
      <c r="A40" s="105">
        <v>37</v>
      </c>
      <c r="B40" s="106" t="s">
        <v>346</v>
      </c>
      <c r="C40" s="107">
        <v>300</v>
      </c>
      <c r="D40" s="108" t="s">
        <v>273</v>
      </c>
      <c r="E40" s="125" t="s">
        <v>334</v>
      </c>
      <c r="F40" s="122" t="s">
        <v>275</v>
      </c>
      <c r="G40" s="111" t="s">
        <v>347</v>
      </c>
    </row>
    <row r="41" spans="1:7" ht="45" customHeight="1">
      <c r="A41" s="112">
        <v>38</v>
      </c>
      <c r="B41" s="119" t="s">
        <v>348</v>
      </c>
      <c r="C41" s="114">
        <v>250</v>
      </c>
      <c r="D41" s="115" t="s">
        <v>273</v>
      </c>
      <c r="E41" s="123" t="s">
        <v>349</v>
      </c>
      <c r="F41" s="121" t="s">
        <v>275</v>
      </c>
      <c r="G41" s="118" t="s">
        <v>350</v>
      </c>
    </row>
    <row r="42" spans="1:7" ht="45" customHeight="1">
      <c r="A42" s="105">
        <v>39</v>
      </c>
      <c r="B42" s="106" t="s">
        <v>351</v>
      </c>
      <c r="C42" s="107">
        <v>250</v>
      </c>
      <c r="D42" s="108" t="s">
        <v>273</v>
      </c>
      <c r="E42" s="125" t="s">
        <v>349</v>
      </c>
      <c r="F42" s="122" t="s">
        <v>275</v>
      </c>
      <c r="G42" s="111" t="s">
        <v>352</v>
      </c>
    </row>
    <row r="43" spans="1:7" ht="45" customHeight="1">
      <c r="A43" s="112">
        <v>40</v>
      </c>
      <c r="B43" s="119" t="s">
        <v>353</v>
      </c>
      <c r="C43" s="114">
        <v>110</v>
      </c>
      <c r="D43" s="115" t="s">
        <v>273</v>
      </c>
      <c r="E43" s="123" t="s">
        <v>349</v>
      </c>
      <c r="F43" s="121" t="s">
        <v>275</v>
      </c>
      <c r="G43" s="118" t="s">
        <v>354</v>
      </c>
    </row>
    <row r="44" spans="1:7" ht="45" customHeight="1">
      <c r="A44" s="105">
        <v>41</v>
      </c>
      <c r="B44" s="106" t="s">
        <v>355</v>
      </c>
      <c r="C44" s="107">
        <v>100</v>
      </c>
      <c r="D44" s="108" t="s">
        <v>273</v>
      </c>
      <c r="E44" s="125" t="s">
        <v>349</v>
      </c>
      <c r="F44" s="122" t="s">
        <v>275</v>
      </c>
      <c r="G44" s="111" t="s">
        <v>356</v>
      </c>
    </row>
    <row r="45" spans="1:7" ht="45" customHeight="1">
      <c r="A45" s="112">
        <v>42</v>
      </c>
      <c r="B45" s="113" t="s">
        <v>357</v>
      </c>
      <c r="C45" s="114">
        <v>20</v>
      </c>
      <c r="D45" s="115" t="s">
        <v>273</v>
      </c>
      <c r="E45" s="123" t="s">
        <v>349</v>
      </c>
      <c r="F45" s="121" t="s">
        <v>275</v>
      </c>
      <c r="G45" s="118" t="s">
        <v>358</v>
      </c>
    </row>
    <row r="46" spans="1:7" ht="45" customHeight="1">
      <c r="A46" s="105">
        <v>43</v>
      </c>
      <c r="B46" s="120" t="s">
        <v>357</v>
      </c>
      <c r="C46" s="107">
        <v>20</v>
      </c>
      <c r="D46" s="108" t="s">
        <v>273</v>
      </c>
      <c r="E46" s="125" t="s">
        <v>349</v>
      </c>
      <c r="F46" s="122" t="s">
        <v>275</v>
      </c>
      <c r="G46" s="111" t="s">
        <v>358</v>
      </c>
    </row>
    <row r="47" spans="1:7" ht="45" customHeight="1">
      <c r="A47" s="112">
        <v>44</v>
      </c>
      <c r="B47" s="113" t="s">
        <v>359</v>
      </c>
      <c r="C47" s="114">
        <v>160</v>
      </c>
      <c r="D47" s="115" t="s">
        <v>273</v>
      </c>
      <c r="E47" s="119" t="s">
        <v>360</v>
      </c>
      <c r="F47" s="121" t="s">
        <v>275</v>
      </c>
      <c r="G47" s="118" t="s">
        <v>361</v>
      </c>
    </row>
    <row r="48" spans="1:7" ht="45" customHeight="1">
      <c r="A48" s="105">
        <v>45</v>
      </c>
      <c r="B48" s="120" t="s">
        <v>362</v>
      </c>
      <c r="C48" s="107">
        <v>200</v>
      </c>
      <c r="D48" s="108" t="s">
        <v>273</v>
      </c>
      <c r="E48" s="106" t="s">
        <v>360</v>
      </c>
      <c r="F48" s="122" t="s">
        <v>275</v>
      </c>
      <c r="G48" s="128" t="s">
        <v>363</v>
      </c>
    </row>
    <row r="49" spans="1:7" ht="45" customHeight="1">
      <c r="A49" s="112">
        <v>46</v>
      </c>
      <c r="B49" s="119" t="s">
        <v>364</v>
      </c>
      <c r="C49" s="114">
        <v>250</v>
      </c>
      <c r="D49" s="115" t="s">
        <v>273</v>
      </c>
      <c r="E49" s="119" t="s">
        <v>360</v>
      </c>
      <c r="F49" s="121" t="s">
        <v>275</v>
      </c>
      <c r="G49" s="127" t="s">
        <v>365</v>
      </c>
    </row>
    <row r="50" spans="1:7" ht="45" customHeight="1">
      <c r="A50" s="105">
        <v>47</v>
      </c>
      <c r="B50" s="120" t="s">
        <v>366</v>
      </c>
      <c r="C50" s="107">
        <v>50</v>
      </c>
      <c r="D50" s="108" t="s">
        <v>273</v>
      </c>
      <c r="E50" s="106" t="s">
        <v>367</v>
      </c>
      <c r="F50" s="122" t="s">
        <v>368</v>
      </c>
      <c r="G50" s="111" t="s">
        <v>369</v>
      </c>
    </row>
    <row r="51" spans="1:7" ht="45" customHeight="1">
      <c r="A51" s="112">
        <v>48</v>
      </c>
      <c r="B51" s="119" t="s">
        <v>370</v>
      </c>
      <c r="C51" s="114">
        <v>50</v>
      </c>
      <c r="D51" s="115" t="s">
        <v>273</v>
      </c>
      <c r="E51" s="119" t="s">
        <v>367</v>
      </c>
      <c r="F51" s="121" t="s">
        <v>368</v>
      </c>
      <c r="G51" s="118" t="s">
        <v>369</v>
      </c>
    </row>
    <row r="52" spans="1:7" ht="45" customHeight="1">
      <c r="A52" s="105">
        <v>49</v>
      </c>
      <c r="B52" s="106" t="s">
        <v>371</v>
      </c>
      <c r="C52" s="107">
        <v>50</v>
      </c>
      <c r="D52" s="108" t="s">
        <v>273</v>
      </c>
      <c r="E52" s="106" t="s">
        <v>367</v>
      </c>
      <c r="F52" s="122" t="s">
        <v>368</v>
      </c>
      <c r="G52" s="111" t="s">
        <v>369</v>
      </c>
    </row>
    <row r="53" spans="1:7" ht="45" customHeight="1">
      <c r="A53" s="112">
        <v>50</v>
      </c>
      <c r="B53" s="113" t="s">
        <v>372</v>
      </c>
      <c r="C53" s="114">
        <v>250</v>
      </c>
      <c r="D53" s="115" t="s">
        <v>273</v>
      </c>
      <c r="E53" s="119" t="s">
        <v>373</v>
      </c>
      <c r="F53" s="121" t="s">
        <v>374</v>
      </c>
      <c r="G53" s="124" t="s">
        <v>375</v>
      </c>
    </row>
    <row r="54" spans="1:7" ht="45" customHeight="1">
      <c r="A54" s="105">
        <v>51</v>
      </c>
      <c r="B54" s="120" t="s">
        <v>376</v>
      </c>
      <c r="C54" s="107">
        <v>250</v>
      </c>
      <c r="D54" s="108" t="s">
        <v>273</v>
      </c>
      <c r="E54" s="106" t="s">
        <v>373</v>
      </c>
      <c r="F54" s="122" t="s">
        <v>374</v>
      </c>
      <c r="G54" s="126" t="s">
        <v>375</v>
      </c>
    </row>
    <row r="55" spans="1:7" ht="45" customHeight="1">
      <c r="A55" s="112">
        <v>52</v>
      </c>
      <c r="B55" s="113" t="s">
        <v>377</v>
      </c>
      <c r="C55" s="114">
        <v>250</v>
      </c>
      <c r="D55" s="115" t="s">
        <v>273</v>
      </c>
      <c r="E55" s="119" t="s">
        <v>373</v>
      </c>
      <c r="F55" s="121" t="s">
        <v>374</v>
      </c>
      <c r="G55" s="124" t="s">
        <v>375</v>
      </c>
    </row>
    <row r="56" spans="1:7" ht="45" customHeight="1">
      <c r="A56" s="105">
        <v>53</v>
      </c>
      <c r="B56" s="120" t="s">
        <v>359</v>
      </c>
      <c r="C56" s="107">
        <v>769</v>
      </c>
      <c r="D56" s="108" t="s">
        <v>273</v>
      </c>
      <c r="E56" s="106" t="s">
        <v>378</v>
      </c>
      <c r="F56" s="109"/>
      <c r="G56" s="126" t="s">
        <v>379</v>
      </c>
    </row>
    <row r="57" spans="1:7" ht="45" customHeight="1">
      <c r="A57" s="112">
        <v>54</v>
      </c>
      <c r="B57" s="113" t="s">
        <v>380</v>
      </c>
      <c r="C57" s="114">
        <v>25</v>
      </c>
      <c r="D57" s="115" t="s">
        <v>273</v>
      </c>
      <c r="E57" s="119" t="s">
        <v>378</v>
      </c>
      <c r="F57" s="121" t="s">
        <v>321</v>
      </c>
      <c r="G57" s="124" t="s">
        <v>381</v>
      </c>
    </row>
    <row r="58" spans="1:7" ht="45" customHeight="1">
      <c r="A58" s="105">
        <v>55</v>
      </c>
      <c r="B58" s="106" t="s">
        <v>382</v>
      </c>
      <c r="C58" s="107">
        <v>90</v>
      </c>
      <c r="D58" s="108" t="s">
        <v>273</v>
      </c>
      <c r="E58" s="106" t="s">
        <v>378</v>
      </c>
      <c r="F58" s="109"/>
      <c r="G58" s="126" t="s">
        <v>383</v>
      </c>
    </row>
    <row r="59" spans="1:7" ht="45" customHeight="1">
      <c r="A59" s="112">
        <v>56</v>
      </c>
      <c r="B59" s="119" t="s">
        <v>384</v>
      </c>
      <c r="C59" s="114">
        <v>30</v>
      </c>
      <c r="D59" s="115" t="s">
        <v>273</v>
      </c>
      <c r="E59" s="119" t="s">
        <v>378</v>
      </c>
      <c r="F59" s="121" t="s">
        <v>385</v>
      </c>
      <c r="G59" s="118" t="s">
        <v>386</v>
      </c>
    </row>
    <row r="60" spans="1:7" ht="45" customHeight="1">
      <c r="A60" s="105">
        <v>57</v>
      </c>
      <c r="B60" s="120" t="s">
        <v>387</v>
      </c>
      <c r="C60" s="107">
        <v>3</v>
      </c>
      <c r="D60" s="108" t="s">
        <v>273</v>
      </c>
      <c r="E60" s="106" t="s">
        <v>378</v>
      </c>
      <c r="F60" s="122" t="s">
        <v>388</v>
      </c>
      <c r="G60" s="111" t="s">
        <v>389</v>
      </c>
    </row>
    <row r="61" spans="1:7" ht="45" customHeight="1">
      <c r="A61" s="112">
        <v>58</v>
      </c>
      <c r="B61" s="113" t="s">
        <v>390</v>
      </c>
      <c r="C61" s="114">
        <v>5</v>
      </c>
      <c r="D61" s="115" t="s">
        <v>273</v>
      </c>
      <c r="E61" s="119" t="s">
        <v>378</v>
      </c>
      <c r="F61" s="121" t="s">
        <v>391</v>
      </c>
      <c r="G61" s="124" t="s">
        <v>392</v>
      </c>
    </row>
    <row r="62" spans="1:7" ht="45" customHeight="1">
      <c r="A62" s="105">
        <v>59</v>
      </c>
      <c r="B62" s="120" t="s">
        <v>359</v>
      </c>
      <c r="C62" s="107">
        <v>923</v>
      </c>
      <c r="D62" s="108" t="s">
        <v>273</v>
      </c>
      <c r="E62" s="106" t="s">
        <v>393</v>
      </c>
      <c r="F62" s="109"/>
      <c r="G62" s="126" t="s">
        <v>379</v>
      </c>
    </row>
    <row r="63" spans="1:7" ht="45" customHeight="1">
      <c r="A63" s="112">
        <v>60</v>
      </c>
      <c r="B63" s="119" t="s">
        <v>394</v>
      </c>
      <c r="C63" s="114">
        <v>81</v>
      </c>
      <c r="D63" s="115" t="s">
        <v>273</v>
      </c>
      <c r="E63" s="119" t="s">
        <v>393</v>
      </c>
      <c r="F63" s="116"/>
      <c r="G63" s="124" t="s">
        <v>383</v>
      </c>
    </row>
    <row r="64" spans="1:7" ht="45" customHeight="1">
      <c r="A64" s="129">
        <v>61</v>
      </c>
      <c r="B64" s="130" t="s">
        <v>395</v>
      </c>
      <c r="C64" s="131">
        <v>100</v>
      </c>
      <c r="D64" s="132" t="s">
        <v>273</v>
      </c>
      <c r="E64" s="133" t="s">
        <v>393</v>
      </c>
      <c r="F64" s="134" t="s">
        <v>321</v>
      </c>
      <c r="G64" s="135" t="s">
        <v>396</v>
      </c>
    </row>
  </sheetData>
  <mergeCells count="2">
    <mergeCell ref="A1:G1"/>
    <mergeCell ref="A2:G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4"/>
  <sheetViews>
    <sheetView workbookViewId="0">
      <selection activeCell="K37" sqref="J37:K37"/>
    </sheetView>
  </sheetViews>
  <sheetFormatPr defaultRowHeight="12.75"/>
  <cols>
    <col min="1" max="1" width="4.7109375" style="92" customWidth="1"/>
    <col min="2" max="2" width="30.85546875" style="92" customWidth="1"/>
    <col min="3" max="3" width="29.5703125" style="92" customWidth="1"/>
    <col min="4" max="4" width="29.28515625" style="92" customWidth="1"/>
    <col min="5" max="5" width="34.7109375" style="92" customWidth="1"/>
    <col min="6" max="16384" width="9.140625" style="92"/>
  </cols>
  <sheetData>
    <row r="1" spans="1:6" ht="20.45" customHeight="1">
      <c r="A1" s="956" t="s">
        <v>488</v>
      </c>
      <c r="B1" s="956"/>
      <c r="C1" s="956"/>
      <c r="D1" s="956"/>
      <c r="E1" s="956"/>
      <c r="F1" s="92" t="s">
        <v>617</v>
      </c>
    </row>
    <row r="2" spans="1:6" ht="29.45" customHeight="1">
      <c r="A2" s="949" t="s">
        <v>489</v>
      </c>
      <c r="B2" s="949"/>
      <c r="C2" s="949"/>
      <c r="D2" s="949"/>
      <c r="E2" s="949"/>
    </row>
    <row r="3" spans="1:6" ht="22.5" customHeight="1">
      <c r="A3" s="957" t="s">
        <v>490</v>
      </c>
      <c r="B3" s="958"/>
      <c r="C3" s="958"/>
      <c r="D3" s="958"/>
      <c r="E3" s="959"/>
    </row>
    <row r="4" spans="1:6" ht="22.5" customHeight="1">
      <c r="A4" s="93" t="s">
        <v>243</v>
      </c>
      <c r="B4" s="94" t="s">
        <v>244</v>
      </c>
      <c r="C4" s="94" t="s">
        <v>491</v>
      </c>
      <c r="D4" s="94" t="s">
        <v>246</v>
      </c>
      <c r="E4" s="94" t="s">
        <v>492</v>
      </c>
    </row>
    <row r="5" spans="1:6" ht="22.5" customHeight="1">
      <c r="A5" s="95">
        <v>1</v>
      </c>
      <c r="B5" s="93" t="s">
        <v>493</v>
      </c>
      <c r="C5" s="97">
        <v>1000</v>
      </c>
      <c r="D5" s="97">
        <v>1049.9000000000001</v>
      </c>
      <c r="E5" s="97">
        <v>50</v>
      </c>
    </row>
    <row r="6" spans="1:6" ht="22.5" customHeight="1">
      <c r="A6" s="95">
        <v>2</v>
      </c>
      <c r="B6" s="93" t="s">
        <v>494</v>
      </c>
      <c r="C6" s="97">
        <v>1000</v>
      </c>
      <c r="D6" s="97">
        <v>1000</v>
      </c>
      <c r="E6" s="97">
        <v>315.5</v>
      </c>
    </row>
    <row r="7" spans="1:6" ht="22.5" customHeight="1">
      <c r="A7" s="95">
        <v>3</v>
      </c>
      <c r="B7" s="93" t="s">
        <v>495</v>
      </c>
      <c r="C7" s="97">
        <v>2000</v>
      </c>
      <c r="D7" s="97">
        <v>2000</v>
      </c>
      <c r="E7" s="97">
        <v>1649.8</v>
      </c>
    </row>
    <row r="8" spans="1:6" ht="22.5" customHeight="1">
      <c r="A8" s="95">
        <v>4</v>
      </c>
      <c r="B8" s="93" t="s">
        <v>496</v>
      </c>
      <c r="C8" s="97">
        <v>2000</v>
      </c>
      <c r="D8" s="97">
        <v>2000</v>
      </c>
      <c r="E8" s="97">
        <v>2000</v>
      </c>
    </row>
    <row r="9" spans="1:6" ht="22.5" customHeight="1">
      <c r="A9" s="95">
        <v>5</v>
      </c>
      <c r="B9" s="93" t="s">
        <v>497</v>
      </c>
      <c r="C9" s="97">
        <v>1200</v>
      </c>
      <c r="D9" s="97">
        <v>1190</v>
      </c>
      <c r="E9" s="97">
        <v>1190</v>
      </c>
    </row>
    <row r="10" spans="1:6" ht="22.5" customHeight="1">
      <c r="A10" s="95">
        <v>6</v>
      </c>
      <c r="B10" s="93" t="s">
        <v>498</v>
      </c>
      <c r="C10" s="97">
        <v>1200</v>
      </c>
      <c r="D10" s="97">
        <v>1200</v>
      </c>
      <c r="E10" s="97">
        <v>1200</v>
      </c>
    </row>
    <row r="11" spans="1:6" ht="22.5" customHeight="1">
      <c r="A11" s="95">
        <v>7</v>
      </c>
      <c r="B11" s="93" t="s">
        <v>499</v>
      </c>
      <c r="C11" s="97">
        <v>1200</v>
      </c>
      <c r="D11" s="97">
        <v>480</v>
      </c>
      <c r="E11" s="97">
        <v>480</v>
      </c>
    </row>
    <row r="12" spans="1:6" ht="22.5" customHeight="1">
      <c r="A12" s="95">
        <v>8</v>
      </c>
      <c r="B12" s="93" t="s">
        <v>500</v>
      </c>
      <c r="C12" s="97">
        <v>1800</v>
      </c>
      <c r="D12" s="97">
        <v>440.64</v>
      </c>
      <c r="E12" s="97">
        <v>440.8</v>
      </c>
    </row>
    <row r="13" spans="1:6" ht="22.5" customHeight="1">
      <c r="A13" s="95">
        <v>9</v>
      </c>
      <c r="B13" s="93" t="s">
        <v>501</v>
      </c>
      <c r="C13" s="97">
        <v>1200</v>
      </c>
      <c r="D13" s="98"/>
      <c r="E13" s="98"/>
    </row>
    <row r="14" spans="1:6" ht="22.5" customHeight="1">
      <c r="A14" s="98"/>
      <c r="B14" s="93" t="s">
        <v>262</v>
      </c>
      <c r="C14" s="97">
        <v>12600</v>
      </c>
      <c r="D14" s="97">
        <v>9360.5400000000009</v>
      </c>
      <c r="E14" s="97">
        <v>7326.1</v>
      </c>
    </row>
  </sheetData>
  <mergeCells count="3">
    <mergeCell ref="A1:E1"/>
    <mergeCell ref="A2:E2"/>
    <mergeCell ref="A3:E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I52"/>
  <sheetViews>
    <sheetView workbookViewId="0">
      <selection activeCell="K37" sqref="J37:K37"/>
    </sheetView>
  </sheetViews>
  <sheetFormatPr defaultRowHeight="12.75"/>
  <cols>
    <col min="1" max="1" width="5.140625" style="92" customWidth="1"/>
    <col min="2" max="2" width="24.140625" style="92" customWidth="1"/>
    <col min="3" max="3" width="17.5703125" style="92" customWidth="1"/>
    <col min="4" max="4" width="18.140625" style="92" customWidth="1"/>
    <col min="5" max="5" width="14.140625" style="92" customWidth="1"/>
    <col min="6" max="6" width="13.7109375" style="92" customWidth="1"/>
    <col min="7" max="7" width="14.140625" style="92" customWidth="1"/>
    <col min="8" max="8" width="19" style="92" customWidth="1"/>
    <col min="9" max="16384" width="9.140625" style="92"/>
  </cols>
  <sheetData>
    <row r="1" spans="1:9" ht="12.75" customHeight="1">
      <c r="A1" s="960" t="s">
        <v>502</v>
      </c>
      <c r="B1" s="961"/>
      <c r="C1" s="961"/>
      <c r="D1" s="961"/>
      <c r="E1" s="961"/>
      <c r="F1" s="961"/>
      <c r="G1" s="961"/>
      <c r="H1" s="961"/>
      <c r="I1" s="92" t="s">
        <v>617</v>
      </c>
    </row>
    <row r="2" spans="1:9" ht="12.75" customHeight="1">
      <c r="A2" s="962" t="s">
        <v>264</v>
      </c>
      <c r="B2" s="963"/>
      <c r="C2" s="963"/>
      <c r="D2" s="963"/>
      <c r="E2" s="963"/>
      <c r="F2" s="963"/>
      <c r="G2" s="963"/>
      <c r="H2" s="964"/>
    </row>
    <row r="3" spans="1:9" ht="56.1" customHeight="1">
      <c r="A3" s="189" t="s">
        <v>503</v>
      </c>
      <c r="B3" s="189" t="s">
        <v>266</v>
      </c>
      <c r="C3" s="190" t="s">
        <v>504</v>
      </c>
      <c r="D3" s="190" t="s">
        <v>505</v>
      </c>
      <c r="E3" s="191" t="s">
        <v>269</v>
      </c>
      <c r="F3" s="192" t="s">
        <v>268</v>
      </c>
      <c r="G3" s="192" t="s">
        <v>270</v>
      </c>
      <c r="H3" s="192" t="s">
        <v>271</v>
      </c>
    </row>
    <row r="4" spans="1:9" ht="30" customHeight="1">
      <c r="A4" s="193">
        <v>1</v>
      </c>
      <c r="B4" s="194" t="s">
        <v>506</v>
      </c>
      <c r="C4" s="195">
        <v>250</v>
      </c>
      <c r="D4" s="196">
        <v>50</v>
      </c>
      <c r="E4" s="197" t="s">
        <v>507</v>
      </c>
      <c r="F4" s="197" t="s">
        <v>508</v>
      </c>
      <c r="G4" s="197" t="s">
        <v>509</v>
      </c>
      <c r="H4" s="197" t="s">
        <v>510</v>
      </c>
    </row>
    <row r="5" spans="1:9" ht="30" customHeight="1">
      <c r="A5" s="193">
        <v>2</v>
      </c>
      <c r="B5" s="194" t="s">
        <v>511</v>
      </c>
      <c r="C5" s="195">
        <v>250</v>
      </c>
      <c r="D5" s="196">
        <v>65.5</v>
      </c>
      <c r="E5" s="197" t="s">
        <v>512</v>
      </c>
      <c r="F5" s="197" t="s">
        <v>508</v>
      </c>
      <c r="G5" s="197" t="s">
        <v>509</v>
      </c>
      <c r="H5" s="197" t="s">
        <v>510</v>
      </c>
    </row>
    <row r="6" spans="1:9" ht="30" customHeight="1">
      <c r="A6" s="193">
        <v>3</v>
      </c>
      <c r="B6" s="194" t="s">
        <v>506</v>
      </c>
      <c r="C6" s="195">
        <v>50</v>
      </c>
      <c r="D6" s="196">
        <v>50</v>
      </c>
      <c r="E6" s="197" t="s">
        <v>512</v>
      </c>
      <c r="F6" s="197" t="s">
        <v>508</v>
      </c>
      <c r="G6" s="197" t="s">
        <v>509</v>
      </c>
      <c r="H6" s="197" t="s">
        <v>510</v>
      </c>
    </row>
    <row r="7" spans="1:9" ht="30" customHeight="1">
      <c r="A7" s="193">
        <v>4</v>
      </c>
      <c r="B7" s="194" t="s">
        <v>506</v>
      </c>
      <c r="C7" s="195">
        <v>50</v>
      </c>
      <c r="D7" s="196">
        <v>50</v>
      </c>
      <c r="E7" s="197" t="s">
        <v>512</v>
      </c>
      <c r="F7" s="197" t="s">
        <v>508</v>
      </c>
      <c r="G7" s="197" t="s">
        <v>509</v>
      </c>
      <c r="H7" s="197" t="s">
        <v>510</v>
      </c>
    </row>
    <row r="8" spans="1:9" ht="30" customHeight="1">
      <c r="A8" s="193">
        <v>5</v>
      </c>
      <c r="B8" s="194" t="s">
        <v>506</v>
      </c>
      <c r="C8" s="195">
        <v>50</v>
      </c>
      <c r="D8" s="196">
        <v>50</v>
      </c>
      <c r="E8" s="197" t="s">
        <v>512</v>
      </c>
      <c r="F8" s="197" t="s">
        <v>508</v>
      </c>
      <c r="G8" s="197" t="s">
        <v>509</v>
      </c>
      <c r="H8" s="197" t="s">
        <v>510</v>
      </c>
    </row>
    <row r="9" spans="1:9" ht="30" customHeight="1">
      <c r="A9" s="193">
        <v>6</v>
      </c>
      <c r="B9" s="194" t="s">
        <v>506</v>
      </c>
      <c r="C9" s="195">
        <v>50</v>
      </c>
      <c r="D9" s="196">
        <v>50</v>
      </c>
      <c r="E9" s="197" t="s">
        <v>512</v>
      </c>
      <c r="F9" s="197" t="s">
        <v>508</v>
      </c>
      <c r="G9" s="197" t="s">
        <v>509</v>
      </c>
      <c r="H9" s="197" t="s">
        <v>510</v>
      </c>
    </row>
    <row r="10" spans="1:9" ht="30" customHeight="1">
      <c r="A10" s="193">
        <v>7</v>
      </c>
      <c r="B10" s="194" t="s">
        <v>506</v>
      </c>
      <c r="C10" s="195">
        <v>50</v>
      </c>
      <c r="D10" s="196">
        <v>50</v>
      </c>
      <c r="E10" s="197" t="s">
        <v>512</v>
      </c>
      <c r="F10" s="197" t="s">
        <v>508</v>
      </c>
      <c r="G10" s="197" t="s">
        <v>509</v>
      </c>
      <c r="H10" s="197" t="s">
        <v>510</v>
      </c>
    </row>
    <row r="11" spans="1:9" ht="30" customHeight="1">
      <c r="A11" s="193">
        <v>8</v>
      </c>
      <c r="B11" s="194" t="s">
        <v>513</v>
      </c>
      <c r="C11" s="195">
        <v>100</v>
      </c>
      <c r="D11" s="196">
        <v>100</v>
      </c>
      <c r="E11" s="197" t="s">
        <v>514</v>
      </c>
      <c r="F11" s="197" t="s">
        <v>508</v>
      </c>
      <c r="G11" s="197" t="s">
        <v>509</v>
      </c>
      <c r="H11" s="197" t="s">
        <v>510</v>
      </c>
    </row>
    <row r="12" spans="1:9" ht="30" customHeight="1">
      <c r="A12" s="193">
        <v>9</v>
      </c>
      <c r="B12" s="194" t="s">
        <v>513</v>
      </c>
      <c r="C12" s="195">
        <v>300</v>
      </c>
      <c r="D12" s="196">
        <v>300</v>
      </c>
      <c r="E12" s="197" t="s">
        <v>514</v>
      </c>
      <c r="F12" s="197" t="s">
        <v>508</v>
      </c>
      <c r="G12" s="197" t="s">
        <v>509</v>
      </c>
      <c r="H12" s="197" t="s">
        <v>510</v>
      </c>
    </row>
    <row r="13" spans="1:9" ht="30" customHeight="1">
      <c r="A13" s="193">
        <v>10</v>
      </c>
      <c r="B13" s="194" t="s">
        <v>506</v>
      </c>
      <c r="C13" s="195">
        <v>50</v>
      </c>
      <c r="D13" s="196">
        <v>50</v>
      </c>
      <c r="E13" s="197" t="s">
        <v>514</v>
      </c>
      <c r="F13" s="197" t="s">
        <v>508</v>
      </c>
      <c r="G13" s="197" t="s">
        <v>509</v>
      </c>
      <c r="H13" s="197" t="s">
        <v>510</v>
      </c>
    </row>
    <row r="14" spans="1:9" ht="30" customHeight="1">
      <c r="A14" s="193">
        <v>11</v>
      </c>
      <c r="B14" s="194" t="s">
        <v>506</v>
      </c>
      <c r="C14" s="195">
        <v>50</v>
      </c>
      <c r="D14" s="196">
        <v>50</v>
      </c>
      <c r="E14" s="197" t="s">
        <v>514</v>
      </c>
      <c r="F14" s="197" t="s">
        <v>508</v>
      </c>
      <c r="G14" s="197" t="s">
        <v>509</v>
      </c>
      <c r="H14" s="197" t="s">
        <v>510</v>
      </c>
    </row>
    <row r="15" spans="1:9" ht="30" customHeight="1">
      <c r="A15" s="193">
        <v>12</v>
      </c>
      <c r="B15" s="194" t="s">
        <v>506</v>
      </c>
      <c r="C15" s="195">
        <v>50</v>
      </c>
      <c r="D15" s="196">
        <v>50</v>
      </c>
      <c r="E15" s="197" t="s">
        <v>514</v>
      </c>
      <c r="F15" s="197" t="s">
        <v>508</v>
      </c>
      <c r="G15" s="197" t="s">
        <v>509</v>
      </c>
      <c r="H15" s="197" t="s">
        <v>510</v>
      </c>
    </row>
    <row r="16" spans="1:9" ht="30" customHeight="1">
      <c r="A16" s="193">
        <v>13</v>
      </c>
      <c r="B16" s="194" t="s">
        <v>506</v>
      </c>
      <c r="C16" s="195">
        <v>50</v>
      </c>
      <c r="D16" s="196">
        <v>50</v>
      </c>
      <c r="E16" s="197" t="s">
        <v>514</v>
      </c>
      <c r="F16" s="197" t="s">
        <v>508</v>
      </c>
      <c r="G16" s="197" t="s">
        <v>509</v>
      </c>
      <c r="H16" s="197" t="s">
        <v>510</v>
      </c>
    </row>
    <row r="17" spans="1:8" ht="30" customHeight="1">
      <c r="A17" s="193">
        <v>14</v>
      </c>
      <c r="B17" s="198" t="s">
        <v>515</v>
      </c>
      <c r="C17" s="195">
        <v>300.3</v>
      </c>
      <c r="D17" s="196">
        <v>300.3</v>
      </c>
      <c r="E17" s="197" t="s">
        <v>514</v>
      </c>
      <c r="F17" s="197" t="s">
        <v>508</v>
      </c>
      <c r="G17" s="197" t="s">
        <v>509</v>
      </c>
      <c r="H17" s="197" t="s">
        <v>510</v>
      </c>
    </row>
    <row r="18" spans="1:8" ht="30" customHeight="1">
      <c r="A18" s="193">
        <v>15</v>
      </c>
      <c r="B18" s="198" t="s">
        <v>515</v>
      </c>
      <c r="C18" s="195">
        <v>199.5</v>
      </c>
      <c r="D18" s="196">
        <v>199.5</v>
      </c>
      <c r="E18" s="197" t="s">
        <v>514</v>
      </c>
      <c r="F18" s="197" t="s">
        <v>508</v>
      </c>
      <c r="G18" s="197" t="s">
        <v>509</v>
      </c>
      <c r="H18" s="197" t="s">
        <v>510</v>
      </c>
    </row>
    <row r="19" spans="1:8" ht="30" customHeight="1">
      <c r="A19" s="193">
        <v>16</v>
      </c>
      <c r="B19" s="194" t="s">
        <v>516</v>
      </c>
      <c r="C19" s="195">
        <v>300</v>
      </c>
      <c r="D19" s="196">
        <v>300</v>
      </c>
      <c r="E19" s="197" t="s">
        <v>514</v>
      </c>
      <c r="F19" s="197" t="s">
        <v>508</v>
      </c>
      <c r="G19" s="197" t="s">
        <v>509</v>
      </c>
      <c r="H19" s="197" t="s">
        <v>510</v>
      </c>
    </row>
    <row r="20" spans="1:8" ht="30" customHeight="1">
      <c r="A20" s="193">
        <v>17</v>
      </c>
      <c r="B20" s="194" t="s">
        <v>517</v>
      </c>
      <c r="C20" s="195">
        <v>250</v>
      </c>
      <c r="D20" s="196">
        <v>250</v>
      </c>
      <c r="E20" s="197" t="s">
        <v>514</v>
      </c>
      <c r="F20" s="197" t="s">
        <v>508</v>
      </c>
      <c r="G20" s="197" t="s">
        <v>509</v>
      </c>
      <c r="H20" s="197" t="s">
        <v>510</v>
      </c>
    </row>
    <row r="21" spans="1:8" ht="30" customHeight="1">
      <c r="A21" s="193">
        <v>18</v>
      </c>
      <c r="B21" s="194" t="s">
        <v>518</v>
      </c>
      <c r="C21" s="195">
        <v>250</v>
      </c>
      <c r="D21" s="196">
        <v>250</v>
      </c>
      <c r="E21" s="197" t="s">
        <v>519</v>
      </c>
      <c r="F21" s="197" t="s">
        <v>508</v>
      </c>
      <c r="G21" s="197" t="s">
        <v>509</v>
      </c>
      <c r="H21" s="197" t="s">
        <v>510</v>
      </c>
    </row>
    <row r="22" spans="1:8" ht="30" customHeight="1">
      <c r="A22" s="193">
        <v>19</v>
      </c>
      <c r="B22" s="194" t="s">
        <v>520</v>
      </c>
      <c r="C22" s="195">
        <v>300</v>
      </c>
      <c r="D22" s="196">
        <v>300</v>
      </c>
      <c r="E22" s="197" t="s">
        <v>519</v>
      </c>
      <c r="F22" s="197" t="s">
        <v>508</v>
      </c>
      <c r="G22" s="197" t="s">
        <v>287</v>
      </c>
      <c r="H22" s="197" t="s">
        <v>521</v>
      </c>
    </row>
    <row r="23" spans="1:8" ht="30" customHeight="1">
      <c r="A23" s="193">
        <v>20</v>
      </c>
      <c r="B23" s="194" t="s">
        <v>522</v>
      </c>
      <c r="C23" s="195">
        <v>285</v>
      </c>
      <c r="D23" s="196">
        <v>285</v>
      </c>
      <c r="E23" s="197" t="s">
        <v>519</v>
      </c>
      <c r="F23" s="197" t="s">
        <v>508</v>
      </c>
      <c r="G23" s="197" t="s">
        <v>509</v>
      </c>
      <c r="H23" s="197" t="s">
        <v>510</v>
      </c>
    </row>
    <row r="24" spans="1:8" ht="30" customHeight="1">
      <c r="A24" s="193">
        <v>21</v>
      </c>
      <c r="B24" s="194" t="s">
        <v>523</v>
      </c>
      <c r="C24" s="195">
        <v>200</v>
      </c>
      <c r="D24" s="196">
        <v>200</v>
      </c>
      <c r="E24" s="197" t="s">
        <v>519</v>
      </c>
      <c r="F24" s="197" t="s">
        <v>508</v>
      </c>
      <c r="G24" s="197" t="s">
        <v>287</v>
      </c>
      <c r="H24" s="197" t="s">
        <v>524</v>
      </c>
    </row>
    <row r="25" spans="1:8" ht="30" customHeight="1">
      <c r="A25" s="193">
        <v>22</v>
      </c>
      <c r="B25" s="194" t="s">
        <v>506</v>
      </c>
      <c r="C25" s="195">
        <v>50</v>
      </c>
      <c r="D25" s="196">
        <v>50</v>
      </c>
      <c r="E25" s="197" t="s">
        <v>519</v>
      </c>
      <c r="F25" s="197" t="s">
        <v>508</v>
      </c>
      <c r="G25" s="197" t="s">
        <v>509</v>
      </c>
      <c r="H25" s="197" t="s">
        <v>510</v>
      </c>
    </row>
    <row r="26" spans="1:8" ht="30" customHeight="1">
      <c r="A26" s="193">
        <v>23</v>
      </c>
      <c r="B26" s="194" t="s">
        <v>506</v>
      </c>
      <c r="C26" s="195">
        <v>50</v>
      </c>
      <c r="D26" s="196">
        <v>50</v>
      </c>
      <c r="E26" s="197" t="s">
        <v>519</v>
      </c>
      <c r="F26" s="197" t="s">
        <v>508</v>
      </c>
      <c r="G26" s="197" t="s">
        <v>509</v>
      </c>
      <c r="H26" s="197" t="s">
        <v>510</v>
      </c>
    </row>
    <row r="27" spans="1:8" ht="30" customHeight="1">
      <c r="A27" s="193">
        <v>24</v>
      </c>
      <c r="B27" s="194" t="s">
        <v>525</v>
      </c>
      <c r="C27" s="195">
        <v>50</v>
      </c>
      <c r="D27" s="196">
        <v>50</v>
      </c>
      <c r="E27" s="197" t="s">
        <v>519</v>
      </c>
      <c r="F27" s="197" t="s">
        <v>508</v>
      </c>
      <c r="G27" s="197" t="s">
        <v>509</v>
      </c>
      <c r="H27" s="197" t="s">
        <v>510</v>
      </c>
    </row>
    <row r="28" spans="1:8" ht="30" customHeight="1">
      <c r="A28" s="193">
        <v>25</v>
      </c>
      <c r="B28" s="194" t="s">
        <v>525</v>
      </c>
      <c r="C28" s="195">
        <v>50</v>
      </c>
      <c r="D28" s="196">
        <v>50</v>
      </c>
      <c r="E28" s="197" t="s">
        <v>519</v>
      </c>
      <c r="F28" s="197" t="s">
        <v>508</v>
      </c>
      <c r="G28" s="197" t="s">
        <v>509</v>
      </c>
      <c r="H28" s="197" t="s">
        <v>510</v>
      </c>
    </row>
    <row r="29" spans="1:8" ht="30" customHeight="1">
      <c r="A29" s="193">
        <v>26</v>
      </c>
      <c r="B29" s="194" t="s">
        <v>525</v>
      </c>
      <c r="C29" s="195">
        <v>50</v>
      </c>
      <c r="D29" s="196">
        <v>50</v>
      </c>
      <c r="E29" s="197" t="s">
        <v>519</v>
      </c>
      <c r="F29" s="197" t="s">
        <v>508</v>
      </c>
      <c r="G29" s="197" t="s">
        <v>509</v>
      </c>
      <c r="H29" s="197" t="s">
        <v>510</v>
      </c>
    </row>
    <row r="30" spans="1:8" ht="30" customHeight="1">
      <c r="A30" s="193">
        <v>27</v>
      </c>
      <c r="B30" s="194" t="s">
        <v>525</v>
      </c>
      <c r="C30" s="195">
        <v>50</v>
      </c>
      <c r="D30" s="196">
        <v>50</v>
      </c>
      <c r="E30" s="197" t="s">
        <v>519</v>
      </c>
      <c r="F30" s="197" t="s">
        <v>508</v>
      </c>
      <c r="G30" s="197" t="s">
        <v>509</v>
      </c>
      <c r="H30" s="197" t="s">
        <v>510</v>
      </c>
    </row>
    <row r="31" spans="1:8" ht="30" customHeight="1">
      <c r="A31" s="193">
        <v>28</v>
      </c>
      <c r="B31" s="194" t="s">
        <v>525</v>
      </c>
      <c r="C31" s="195">
        <v>50</v>
      </c>
      <c r="D31" s="196">
        <v>50</v>
      </c>
      <c r="E31" s="197" t="s">
        <v>519</v>
      </c>
      <c r="F31" s="197" t="s">
        <v>508</v>
      </c>
      <c r="G31" s="197" t="s">
        <v>509</v>
      </c>
      <c r="H31" s="197" t="s">
        <v>510</v>
      </c>
    </row>
    <row r="32" spans="1:8" ht="30" customHeight="1">
      <c r="A32" s="193">
        <v>29</v>
      </c>
      <c r="B32" s="194" t="s">
        <v>525</v>
      </c>
      <c r="C32" s="195">
        <v>50</v>
      </c>
      <c r="D32" s="196">
        <v>50</v>
      </c>
      <c r="E32" s="197" t="s">
        <v>519</v>
      </c>
      <c r="F32" s="197" t="s">
        <v>508</v>
      </c>
      <c r="G32" s="197" t="s">
        <v>509</v>
      </c>
      <c r="H32" s="197" t="s">
        <v>510</v>
      </c>
    </row>
    <row r="33" spans="1:8" ht="30" customHeight="1">
      <c r="A33" s="193">
        <v>30</v>
      </c>
      <c r="B33" s="194" t="s">
        <v>526</v>
      </c>
      <c r="C33" s="195">
        <v>300</v>
      </c>
      <c r="D33" s="196">
        <v>300</v>
      </c>
      <c r="E33" s="197" t="s">
        <v>519</v>
      </c>
      <c r="F33" s="197" t="s">
        <v>508</v>
      </c>
      <c r="G33" s="197" t="s">
        <v>527</v>
      </c>
      <c r="H33" s="197" t="s">
        <v>528</v>
      </c>
    </row>
    <row r="34" spans="1:8" ht="30" customHeight="1">
      <c r="A34" s="193">
        <v>31</v>
      </c>
      <c r="B34" s="194" t="s">
        <v>529</v>
      </c>
      <c r="C34" s="195">
        <v>265</v>
      </c>
      <c r="D34" s="196">
        <v>265</v>
      </c>
      <c r="E34" s="197" t="s">
        <v>519</v>
      </c>
      <c r="F34" s="197" t="s">
        <v>508</v>
      </c>
      <c r="G34" s="197" t="s">
        <v>509</v>
      </c>
      <c r="H34" s="197" t="s">
        <v>510</v>
      </c>
    </row>
    <row r="35" spans="1:8" ht="30" customHeight="1">
      <c r="A35" s="193">
        <v>32</v>
      </c>
      <c r="B35" s="198" t="s">
        <v>515</v>
      </c>
      <c r="C35" s="195">
        <v>115</v>
      </c>
      <c r="D35" s="196">
        <v>115</v>
      </c>
      <c r="E35" s="197" t="s">
        <v>530</v>
      </c>
      <c r="F35" s="197" t="s">
        <v>508</v>
      </c>
      <c r="G35" s="98"/>
      <c r="H35" s="98"/>
    </row>
    <row r="36" spans="1:8" ht="30" customHeight="1">
      <c r="A36" s="193">
        <v>33</v>
      </c>
      <c r="B36" s="194" t="s">
        <v>531</v>
      </c>
      <c r="C36" s="195">
        <v>300</v>
      </c>
      <c r="D36" s="196">
        <v>300</v>
      </c>
      <c r="E36" s="197" t="s">
        <v>530</v>
      </c>
      <c r="F36" s="197" t="s">
        <v>508</v>
      </c>
      <c r="G36" s="197" t="s">
        <v>509</v>
      </c>
      <c r="H36" s="197" t="s">
        <v>510</v>
      </c>
    </row>
    <row r="37" spans="1:8" ht="30" customHeight="1">
      <c r="A37" s="193">
        <v>34</v>
      </c>
      <c r="B37" s="198" t="s">
        <v>532</v>
      </c>
      <c r="C37" s="195">
        <v>300</v>
      </c>
      <c r="D37" s="196">
        <v>300</v>
      </c>
      <c r="E37" s="197" t="s">
        <v>530</v>
      </c>
      <c r="F37" s="197" t="s">
        <v>508</v>
      </c>
      <c r="G37" s="197" t="s">
        <v>509</v>
      </c>
      <c r="H37" s="199" t="s">
        <v>533</v>
      </c>
    </row>
    <row r="38" spans="1:8" ht="30" customHeight="1">
      <c r="A38" s="193">
        <v>35</v>
      </c>
      <c r="B38" s="194" t="s">
        <v>534</v>
      </c>
      <c r="C38" s="195">
        <v>300</v>
      </c>
      <c r="D38" s="196">
        <v>300</v>
      </c>
      <c r="E38" s="197" t="s">
        <v>530</v>
      </c>
      <c r="F38" s="197" t="s">
        <v>508</v>
      </c>
      <c r="G38" s="197" t="s">
        <v>509</v>
      </c>
      <c r="H38" s="197" t="s">
        <v>510</v>
      </c>
    </row>
    <row r="39" spans="1:8" ht="30" customHeight="1">
      <c r="A39" s="193">
        <v>36</v>
      </c>
      <c r="B39" s="194" t="s">
        <v>535</v>
      </c>
      <c r="C39" s="195">
        <v>175</v>
      </c>
      <c r="D39" s="196">
        <v>175</v>
      </c>
      <c r="E39" s="197" t="s">
        <v>530</v>
      </c>
      <c r="F39" s="197" t="s">
        <v>508</v>
      </c>
      <c r="G39" s="197" t="s">
        <v>536</v>
      </c>
      <c r="H39" s="197" t="s">
        <v>537</v>
      </c>
    </row>
    <row r="40" spans="1:8" ht="30" customHeight="1">
      <c r="A40" s="193">
        <v>37</v>
      </c>
      <c r="B40" s="194" t="s">
        <v>538</v>
      </c>
      <c r="C40" s="195">
        <v>250</v>
      </c>
      <c r="D40" s="196">
        <v>250</v>
      </c>
      <c r="E40" s="197" t="s">
        <v>539</v>
      </c>
      <c r="F40" s="197" t="s">
        <v>508</v>
      </c>
      <c r="G40" s="197" t="s">
        <v>509</v>
      </c>
      <c r="H40" s="197" t="s">
        <v>510</v>
      </c>
    </row>
    <row r="41" spans="1:8" ht="30" customHeight="1">
      <c r="A41" s="193">
        <v>38</v>
      </c>
      <c r="B41" s="194" t="s">
        <v>529</v>
      </c>
      <c r="C41" s="195">
        <v>300</v>
      </c>
      <c r="D41" s="196">
        <v>300</v>
      </c>
      <c r="E41" s="197" t="s">
        <v>539</v>
      </c>
      <c r="F41" s="197" t="s">
        <v>508</v>
      </c>
      <c r="G41" s="200" t="s">
        <v>321</v>
      </c>
      <c r="H41" s="197" t="s">
        <v>540</v>
      </c>
    </row>
    <row r="42" spans="1:8" ht="30" customHeight="1">
      <c r="A42" s="193">
        <v>39</v>
      </c>
      <c r="B42" s="198" t="s">
        <v>541</v>
      </c>
      <c r="C42" s="195">
        <v>50.6</v>
      </c>
      <c r="D42" s="196">
        <v>50.6</v>
      </c>
      <c r="E42" s="197" t="s">
        <v>539</v>
      </c>
      <c r="F42" s="197" t="s">
        <v>508</v>
      </c>
      <c r="G42" s="197" t="s">
        <v>509</v>
      </c>
      <c r="H42" s="197" t="s">
        <v>542</v>
      </c>
    </row>
    <row r="43" spans="1:8" ht="30" customHeight="1">
      <c r="A43" s="193">
        <v>40</v>
      </c>
      <c r="B43" s="194" t="s">
        <v>543</v>
      </c>
      <c r="C43" s="195">
        <v>274.39999999999998</v>
      </c>
      <c r="D43" s="196">
        <v>274.39999999999998</v>
      </c>
      <c r="E43" s="197" t="s">
        <v>539</v>
      </c>
      <c r="F43" s="197" t="s">
        <v>508</v>
      </c>
      <c r="G43" s="197" t="s">
        <v>544</v>
      </c>
      <c r="H43" s="197" t="s">
        <v>545</v>
      </c>
    </row>
    <row r="44" spans="1:8" ht="30" customHeight="1">
      <c r="A44" s="193">
        <v>41</v>
      </c>
      <c r="B44" s="194" t="s">
        <v>543</v>
      </c>
      <c r="C44" s="195">
        <v>50</v>
      </c>
      <c r="D44" s="196">
        <v>50</v>
      </c>
      <c r="E44" s="197" t="s">
        <v>539</v>
      </c>
      <c r="F44" s="197" t="s">
        <v>508</v>
      </c>
      <c r="G44" s="197" t="s">
        <v>544</v>
      </c>
      <c r="H44" s="197" t="s">
        <v>545</v>
      </c>
    </row>
    <row r="45" spans="1:8" ht="30" customHeight="1">
      <c r="A45" s="193">
        <v>42</v>
      </c>
      <c r="B45" s="194" t="s">
        <v>546</v>
      </c>
      <c r="C45" s="195">
        <v>150</v>
      </c>
      <c r="D45" s="196">
        <v>150</v>
      </c>
      <c r="E45" s="197" t="s">
        <v>539</v>
      </c>
      <c r="F45" s="197" t="s">
        <v>508</v>
      </c>
      <c r="G45" s="197" t="s">
        <v>509</v>
      </c>
      <c r="H45" s="98"/>
    </row>
    <row r="46" spans="1:8" ht="30" customHeight="1">
      <c r="A46" s="193">
        <v>43</v>
      </c>
      <c r="B46" s="194" t="s">
        <v>535</v>
      </c>
      <c r="C46" s="195">
        <v>125</v>
      </c>
      <c r="D46" s="196">
        <v>125</v>
      </c>
      <c r="E46" s="197" t="s">
        <v>539</v>
      </c>
      <c r="F46" s="197" t="s">
        <v>508</v>
      </c>
      <c r="G46" s="197" t="s">
        <v>536</v>
      </c>
      <c r="H46" s="197" t="s">
        <v>537</v>
      </c>
    </row>
    <row r="47" spans="1:8" ht="30" customHeight="1">
      <c r="A47" s="193">
        <v>44</v>
      </c>
      <c r="B47" s="194" t="s">
        <v>547</v>
      </c>
      <c r="C47" s="195">
        <v>200</v>
      </c>
      <c r="D47" s="196">
        <v>200</v>
      </c>
      <c r="E47" s="197" t="s">
        <v>548</v>
      </c>
      <c r="F47" s="197" t="s">
        <v>508</v>
      </c>
      <c r="G47" s="197" t="s">
        <v>509</v>
      </c>
      <c r="H47" s="197" t="s">
        <v>542</v>
      </c>
    </row>
    <row r="48" spans="1:8" ht="30" customHeight="1">
      <c r="A48" s="193">
        <v>45</v>
      </c>
      <c r="B48" s="194" t="s">
        <v>529</v>
      </c>
      <c r="C48" s="195">
        <v>50</v>
      </c>
      <c r="D48" s="196">
        <v>50</v>
      </c>
      <c r="E48" s="197" t="s">
        <v>548</v>
      </c>
      <c r="F48" s="197" t="s">
        <v>508</v>
      </c>
      <c r="G48" s="197" t="s">
        <v>509</v>
      </c>
      <c r="H48" s="197" t="s">
        <v>510</v>
      </c>
    </row>
    <row r="49" spans="1:8" ht="30" customHeight="1">
      <c r="A49" s="193">
        <v>46</v>
      </c>
      <c r="B49" s="194" t="s">
        <v>549</v>
      </c>
      <c r="C49" s="195">
        <v>100</v>
      </c>
      <c r="D49" s="196">
        <v>100</v>
      </c>
      <c r="E49" s="197" t="s">
        <v>548</v>
      </c>
      <c r="F49" s="197" t="s">
        <v>508</v>
      </c>
      <c r="G49" s="200" t="s">
        <v>321</v>
      </c>
      <c r="H49" s="197" t="s">
        <v>540</v>
      </c>
    </row>
    <row r="50" spans="1:8" ht="36" customHeight="1">
      <c r="A50" s="193">
        <v>47</v>
      </c>
      <c r="B50" s="96" t="s">
        <v>550</v>
      </c>
      <c r="C50" s="201">
        <v>130</v>
      </c>
      <c r="D50" s="202">
        <v>130</v>
      </c>
      <c r="E50" s="203" t="s">
        <v>548</v>
      </c>
      <c r="F50" s="203" t="s">
        <v>508</v>
      </c>
      <c r="G50" s="203" t="s">
        <v>509</v>
      </c>
      <c r="H50" s="203" t="s">
        <v>510</v>
      </c>
    </row>
    <row r="51" spans="1:8" ht="30" customHeight="1">
      <c r="A51" s="193">
        <v>48</v>
      </c>
      <c r="B51" s="198" t="s">
        <v>551</v>
      </c>
      <c r="C51" s="195">
        <v>250.8</v>
      </c>
      <c r="D51" s="196">
        <v>250.8</v>
      </c>
      <c r="E51" s="197" t="s">
        <v>552</v>
      </c>
      <c r="F51" s="197" t="s">
        <v>508</v>
      </c>
      <c r="G51" s="197" t="s">
        <v>509</v>
      </c>
      <c r="H51" s="204" t="s">
        <v>553</v>
      </c>
    </row>
    <row r="52" spans="1:8" ht="30" customHeight="1">
      <c r="A52" s="193">
        <v>49</v>
      </c>
      <c r="B52" s="194" t="s">
        <v>554</v>
      </c>
      <c r="C52" s="195">
        <v>190</v>
      </c>
      <c r="D52" s="196">
        <v>190</v>
      </c>
      <c r="E52" s="197" t="s">
        <v>552</v>
      </c>
      <c r="F52" s="197" t="s">
        <v>508</v>
      </c>
      <c r="G52" s="197" t="s">
        <v>509</v>
      </c>
      <c r="H52" s="204" t="s">
        <v>553</v>
      </c>
    </row>
  </sheetData>
  <mergeCells count="2">
    <mergeCell ref="A1:H1"/>
    <mergeCell ref="A2:H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R80"/>
  <sheetViews>
    <sheetView zoomScaleNormal="100" workbookViewId="0"/>
  </sheetViews>
  <sheetFormatPr defaultColWidth="11.5703125" defaultRowHeight="12.75"/>
  <cols>
    <col min="1" max="13" width="11.5703125" style="136"/>
    <col min="14" max="14" width="12.7109375" style="136" customWidth="1"/>
    <col min="15" max="15" width="13.5703125" style="136" customWidth="1"/>
    <col min="16" max="16" width="12.42578125" style="136" customWidth="1"/>
    <col min="17" max="16384" width="11.5703125" style="136"/>
  </cols>
  <sheetData>
    <row r="1" spans="1:18" ht="15">
      <c r="B1" s="965" t="s">
        <v>397</v>
      </c>
      <c r="C1" s="966"/>
      <c r="D1" s="966"/>
      <c r="E1" s="966"/>
      <c r="F1" s="966"/>
      <c r="G1" s="966"/>
      <c r="H1" s="966"/>
      <c r="I1" s="966"/>
      <c r="J1" s="966"/>
      <c r="K1" s="966"/>
      <c r="L1" s="966"/>
      <c r="M1" s="966"/>
      <c r="N1" s="966"/>
      <c r="O1" s="966"/>
      <c r="P1" s="966"/>
      <c r="Q1" s="966"/>
      <c r="R1" s="246" t="s">
        <v>617</v>
      </c>
    </row>
    <row r="2" spans="1:18">
      <c r="B2" s="967" t="s">
        <v>398</v>
      </c>
      <c r="C2" s="968"/>
      <c r="D2" s="968"/>
      <c r="E2" s="968"/>
      <c r="F2" s="968"/>
      <c r="G2" s="968"/>
      <c r="H2" s="968"/>
      <c r="I2" s="968"/>
      <c r="J2" s="968"/>
      <c r="K2" s="968"/>
      <c r="L2" s="968"/>
      <c r="M2" s="968"/>
      <c r="N2" s="968"/>
      <c r="O2" s="968"/>
      <c r="P2" s="968"/>
      <c r="Q2" s="969"/>
    </row>
    <row r="3" spans="1:18" ht="114.75">
      <c r="B3" s="137" t="s">
        <v>399</v>
      </c>
      <c r="C3" s="137" t="s">
        <v>400</v>
      </c>
      <c r="D3" s="137" t="s">
        <v>401</v>
      </c>
      <c r="E3" s="244" t="str">
        <f>'CEA-underConsSOLAR1'!B3</f>
        <v>SPV/ Parent/ Holding Company (Name of Project Company/ SPD)</v>
      </c>
      <c r="F3" s="244" t="str">
        <f>'CEA-underConsSOLAR1'!C3</f>
        <v>Capacity (MW)</v>
      </c>
      <c r="G3" s="244" t="str">
        <f>'CEA-underConsSOLAR1'!D3</f>
        <v>Type</v>
      </c>
      <c r="H3" s="244" t="str">
        <f>'CEA-underConsSOLAR1'!E3</f>
        <v>Bidding Scheme</v>
      </c>
      <c r="I3" s="244" t="str">
        <f>'CEA-underConsSOLAR1'!F3</f>
        <v>State</v>
      </c>
      <c r="J3" s="138" t="s">
        <v>402</v>
      </c>
      <c r="K3" s="138" t="s">
        <v>403</v>
      </c>
      <c r="L3" s="139" t="s">
        <v>946</v>
      </c>
      <c r="M3" s="138" t="s">
        <v>404</v>
      </c>
      <c r="N3" s="140" t="s">
        <v>405</v>
      </c>
      <c r="O3" s="137" t="s">
        <v>406</v>
      </c>
      <c r="P3" s="140" t="s">
        <v>407</v>
      </c>
      <c r="Q3" s="138" t="s">
        <v>408</v>
      </c>
    </row>
    <row r="4" spans="1:18" ht="89.25">
      <c r="A4" s="136" t="s">
        <v>6</v>
      </c>
      <c r="B4" s="141">
        <v>1</v>
      </c>
      <c r="C4" s="142" t="s">
        <v>409</v>
      </c>
      <c r="D4" s="109" t="s">
        <v>410</v>
      </c>
      <c r="E4" s="245" t="str">
        <f>'CEA-underConsSOLAR1'!B4</f>
        <v>Mahindra Renewables Private Limited</v>
      </c>
      <c r="F4" s="245">
        <f>'CEA-underConsSOLAR1'!C4</f>
        <v>250</v>
      </c>
      <c r="G4" s="245" t="str">
        <f>'CEA-underConsSOLAR1'!D4</f>
        <v>Solar</v>
      </c>
      <c r="H4" s="245" t="str">
        <f>'CEA-underConsSOLAR1'!E4</f>
        <v>2000 MW ISTS
Connected Solar PV Projects (ISTS-I)</v>
      </c>
      <c r="I4" s="245" t="str">
        <f>'CEA-underConsSOLAR1'!F4</f>
        <v>Rajasthan</v>
      </c>
      <c r="J4" s="143">
        <v>44129</v>
      </c>
      <c r="K4" s="144">
        <v>44227</v>
      </c>
      <c r="L4" s="145">
        <v>2022</v>
      </c>
      <c r="M4" s="143">
        <v>43610</v>
      </c>
      <c r="N4" s="146" t="s">
        <v>411</v>
      </c>
      <c r="O4" s="147" t="s">
        <v>412</v>
      </c>
      <c r="P4" s="142" t="s">
        <v>412</v>
      </c>
      <c r="Q4" s="142" t="s">
        <v>413</v>
      </c>
    </row>
    <row r="5" spans="1:18" ht="89.25">
      <c r="A5" s="136" t="s">
        <v>6</v>
      </c>
      <c r="B5" s="148">
        <v>2</v>
      </c>
      <c r="C5" s="149" t="s">
        <v>414</v>
      </c>
      <c r="D5" s="116" t="s">
        <v>410</v>
      </c>
      <c r="E5" s="245" t="str">
        <f>'CEA-underConsSOLAR1'!B5</f>
        <v>Kilaj Solar (Maharashtra) Pvt. Ltd</v>
      </c>
      <c r="F5" s="245">
        <f>'CEA-underConsSOLAR1'!C5</f>
        <v>50</v>
      </c>
      <c r="G5" s="245" t="str">
        <f>'CEA-underConsSOLAR1'!D5</f>
        <v>Solar</v>
      </c>
      <c r="H5" s="245" t="str">
        <f>'CEA-underConsSOLAR1'!E5</f>
        <v>2000 MW ISTS
Connected Solar PV Projects (ISTS-I)</v>
      </c>
      <c r="I5" s="245" t="str">
        <f>'CEA-underConsSOLAR1'!F5</f>
        <v>Rajasthan</v>
      </c>
      <c r="J5" s="150">
        <v>44129</v>
      </c>
      <c r="K5" s="151">
        <v>44037</v>
      </c>
      <c r="L5" s="145">
        <v>2022</v>
      </c>
      <c r="M5" s="150">
        <v>43610</v>
      </c>
      <c r="N5" s="152" t="s">
        <v>411</v>
      </c>
      <c r="O5" s="116"/>
      <c r="P5" s="116"/>
      <c r="Q5" s="116"/>
    </row>
    <row r="6" spans="1:18" ht="89.25">
      <c r="A6" s="136" t="s">
        <v>6</v>
      </c>
      <c r="B6" s="141">
        <v>3</v>
      </c>
      <c r="C6" s="142" t="s">
        <v>415</v>
      </c>
      <c r="D6" s="109" t="s">
        <v>410</v>
      </c>
      <c r="E6" s="245" t="str">
        <f>'CEA-underConsSOLAR1'!B6</f>
        <v>ACME Raisar Solar Energy Private Limited</v>
      </c>
      <c r="F6" s="245">
        <f>'CEA-underConsSOLAR1'!C6</f>
        <v>300</v>
      </c>
      <c r="G6" s="245" t="str">
        <f>'CEA-underConsSOLAR1'!D6</f>
        <v>Solar</v>
      </c>
      <c r="H6" s="245" t="str">
        <f>'CEA-underConsSOLAR1'!E6</f>
        <v>2000 MW ISTS
Connected Solar PV Projects (ISTS-I)</v>
      </c>
      <c r="I6" s="245" t="str">
        <f>'CEA-underConsSOLAR1'!F6</f>
        <v>Rajasthan</v>
      </c>
      <c r="J6" s="143">
        <v>44129</v>
      </c>
      <c r="K6" s="144">
        <v>44554</v>
      </c>
      <c r="L6" s="145">
        <v>2023</v>
      </c>
      <c r="M6" s="143">
        <v>43610</v>
      </c>
      <c r="N6" s="146" t="s">
        <v>411</v>
      </c>
      <c r="O6" s="109"/>
      <c r="P6" s="109"/>
      <c r="Q6" s="109"/>
    </row>
    <row r="7" spans="1:18" ht="89.25">
      <c r="A7" s="136" t="s">
        <v>6</v>
      </c>
      <c r="B7" s="148">
        <v>4</v>
      </c>
      <c r="C7" s="149" t="s">
        <v>416</v>
      </c>
      <c r="D7" s="116" t="s">
        <v>410</v>
      </c>
      <c r="E7" s="245" t="str">
        <f>'CEA-underConsSOLAR1'!B7</f>
        <v>ACME Phalodi Solar Energy Private Limited</v>
      </c>
      <c r="F7" s="245">
        <f>'CEA-underConsSOLAR1'!C7</f>
        <v>300</v>
      </c>
      <c r="G7" s="245" t="str">
        <f>'CEA-underConsSOLAR1'!D7</f>
        <v>Solar</v>
      </c>
      <c r="H7" s="245" t="str">
        <f>'CEA-underConsSOLAR1'!E7</f>
        <v>2000 MW ISTS
Connected Solar PV Projects (ISTS-I)</v>
      </c>
      <c r="I7" s="245" t="str">
        <f>'CEA-underConsSOLAR1'!F7</f>
        <v>Rajasthan</v>
      </c>
      <c r="J7" s="150">
        <v>44129</v>
      </c>
      <c r="K7" s="151">
        <v>44554</v>
      </c>
      <c r="L7" s="145">
        <v>2023</v>
      </c>
      <c r="M7" s="150">
        <v>43610</v>
      </c>
      <c r="N7" s="152" t="s">
        <v>411</v>
      </c>
      <c r="O7" s="116"/>
      <c r="P7" s="116"/>
      <c r="Q7" s="116"/>
    </row>
    <row r="8" spans="1:18" ht="89.25">
      <c r="A8" s="136" t="s">
        <v>6</v>
      </c>
      <c r="B8" s="141">
        <v>5</v>
      </c>
      <c r="C8" s="142" t="s">
        <v>417</v>
      </c>
      <c r="D8" s="109" t="s">
        <v>410</v>
      </c>
      <c r="E8" s="245" t="str">
        <f>'CEA-underConsSOLAR1'!B8</f>
        <v>Azure Power Forty Three Private Limited</v>
      </c>
      <c r="F8" s="245">
        <f>'CEA-underConsSOLAR1'!C8</f>
        <v>300</v>
      </c>
      <c r="G8" s="245" t="str">
        <f>'CEA-underConsSOLAR1'!D8</f>
        <v>Solar</v>
      </c>
      <c r="H8" s="245" t="str">
        <f>'CEA-underConsSOLAR1'!E8</f>
        <v>2000 MW ISTS
Connected Solar PV Projects (ISTS-I)</v>
      </c>
      <c r="I8" s="245" t="str">
        <f>'CEA-underConsSOLAR1'!F8</f>
        <v>Rajasthan</v>
      </c>
      <c r="J8" s="143">
        <v>44129</v>
      </c>
      <c r="K8" s="144">
        <v>44227</v>
      </c>
      <c r="L8" s="145">
        <v>2022</v>
      </c>
      <c r="M8" s="143">
        <v>43610</v>
      </c>
      <c r="N8" s="146" t="s">
        <v>411</v>
      </c>
      <c r="O8" s="109"/>
      <c r="P8" s="109"/>
      <c r="Q8" s="109"/>
    </row>
    <row r="9" spans="1:18" ht="89.25">
      <c r="A9" s="136" t="s">
        <v>6</v>
      </c>
      <c r="B9" s="148">
        <v>6</v>
      </c>
      <c r="C9" s="149" t="s">
        <v>417</v>
      </c>
      <c r="D9" s="116" t="s">
        <v>410</v>
      </c>
      <c r="E9" s="245" t="str">
        <f>'CEA-underConsSOLAR1'!B9</f>
        <v>Azure Power Forty Three Private Limited</v>
      </c>
      <c r="F9" s="245">
        <f>'CEA-underConsSOLAR1'!C9</f>
        <v>300</v>
      </c>
      <c r="G9" s="245" t="str">
        <f>'CEA-underConsSOLAR1'!D9</f>
        <v>Solar</v>
      </c>
      <c r="H9" s="245" t="str">
        <f>'CEA-underConsSOLAR1'!E9</f>
        <v>2000 MW ISTS
Connected Solar PV Projects (ISTS-I)</v>
      </c>
      <c r="I9" s="245" t="str">
        <f>'CEA-underConsSOLAR1'!F9</f>
        <v>Rajasthan</v>
      </c>
      <c r="J9" s="150">
        <v>44129</v>
      </c>
      <c r="K9" s="151">
        <v>44227</v>
      </c>
      <c r="L9" s="145">
        <v>2022</v>
      </c>
      <c r="M9" s="150">
        <v>43610</v>
      </c>
      <c r="N9" s="152" t="s">
        <v>411</v>
      </c>
      <c r="O9" s="116"/>
      <c r="P9" s="116"/>
      <c r="Q9" s="116"/>
    </row>
    <row r="10" spans="1:18" ht="89.25">
      <c r="A10" s="136" t="s">
        <v>6</v>
      </c>
      <c r="B10" s="141">
        <v>7</v>
      </c>
      <c r="C10" s="142" t="s">
        <v>418</v>
      </c>
      <c r="D10" s="109" t="s">
        <v>410</v>
      </c>
      <c r="E10" s="245" t="str">
        <f>'CEA-underConsSOLAR1'!B10</f>
        <v>Clean Solar Power (Jodhpur) Pvt. Ltd</v>
      </c>
      <c r="F10" s="245">
        <f>'CEA-underConsSOLAR1'!C10</f>
        <v>250</v>
      </c>
      <c r="G10" s="245" t="str">
        <f>'CEA-underConsSOLAR1'!D10</f>
        <v>Solar</v>
      </c>
      <c r="H10" s="245" t="str">
        <f>'CEA-underConsSOLAR1'!E10</f>
        <v>2000 MW ISTS
Connected Solar PV Projects (ISTS-I)</v>
      </c>
      <c r="I10" s="245" t="str">
        <f>'CEA-underConsSOLAR1'!F10</f>
        <v>Rajasthan</v>
      </c>
      <c r="J10" s="143">
        <v>44129</v>
      </c>
      <c r="K10" s="144">
        <v>44227</v>
      </c>
      <c r="L10" s="145">
        <v>2022</v>
      </c>
      <c r="M10" s="143">
        <v>43610</v>
      </c>
      <c r="N10" s="146" t="s">
        <v>411</v>
      </c>
      <c r="O10" s="109"/>
      <c r="P10" s="109"/>
      <c r="Q10" s="109"/>
    </row>
    <row r="11" spans="1:18" ht="89.25">
      <c r="A11" s="136" t="s">
        <v>13</v>
      </c>
      <c r="B11" s="148">
        <v>8</v>
      </c>
      <c r="C11" s="149" t="s">
        <v>419</v>
      </c>
      <c r="D11" s="116" t="s">
        <v>410</v>
      </c>
      <c r="E11" s="245" t="str">
        <f>'CEA-underConsSOLAR1'!B11</f>
        <v>Arina Solar Private Limited</v>
      </c>
      <c r="F11" s="245">
        <f>'CEA-underConsSOLAR1'!C11</f>
        <v>250</v>
      </c>
      <c r="G11" s="245" t="str">
        <f>'CEA-underConsSOLAR1'!D11</f>
        <v>Solar</v>
      </c>
      <c r="H11" s="245" t="str">
        <f>'CEA-underConsSOLAR1'!E11</f>
        <v>2000 MW ISTS
Connected Solar PV Projects (ISTS-I)</v>
      </c>
      <c r="I11" s="245" t="str">
        <f>'CEA-underConsSOLAR1'!F11</f>
        <v>Tamil Nadu</v>
      </c>
      <c r="J11" s="150">
        <v>44129</v>
      </c>
      <c r="K11" s="151">
        <v>44227</v>
      </c>
      <c r="L11" s="145">
        <v>2022</v>
      </c>
      <c r="M11" s="150">
        <v>43610</v>
      </c>
      <c r="N11" s="152" t="s">
        <v>411</v>
      </c>
      <c r="O11" s="116"/>
      <c r="P11" s="116"/>
      <c r="Q11" s="116"/>
    </row>
    <row r="12" spans="1:18" ht="89.25">
      <c r="A12" s="136" t="s">
        <v>6</v>
      </c>
      <c r="B12" s="141">
        <v>9</v>
      </c>
      <c r="C12" s="142" t="s">
        <v>420</v>
      </c>
      <c r="D12" s="109" t="s">
        <v>421</v>
      </c>
      <c r="E12" s="245" t="str">
        <f>'CEA-underConsSOLAR1'!B12</f>
        <v>ACME Deoghar Solar Power Pvt. Ltd.</v>
      </c>
      <c r="F12" s="245">
        <f>'CEA-underConsSOLAR1'!C12</f>
        <v>300</v>
      </c>
      <c r="G12" s="245" t="str">
        <f>'CEA-underConsSOLAR1'!D12</f>
        <v>Solar</v>
      </c>
      <c r="H12" s="245" t="str">
        <f>'CEA-underConsSOLAR1'!E12</f>
        <v>3000 MW ISTS
Connected Solar PV Projects (ISTS-II)</v>
      </c>
      <c r="I12" s="245" t="str">
        <f>'CEA-underConsSOLAR1'!F12</f>
        <v>Rajasthan</v>
      </c>
      <c r="J12" s="143">
        <v>44143</v>
      </c>
      <c r="K12" s="144">
        <v>44568</v>
      </c>
      <c r="L12" s="340">
        <v>2024</v>
      </c>
      <c r="M12" s="143">
        <v>44202</v>
      </c>
      <c r="N12" s="109"/>
      <c r="O12" s="109"/>
      <c r="P12" s="109"/>
      <c r="Q12" s="109"/>
    </row>
    <row r="13" spans="1:18" ht="89.25">
      <c r="A13" s="136" t="s">
        <v>6</v>
      </c>
      <c r="B13" s="148">
        <v>10</v>
      </c>
      <c r="C13" s="149" t="s">
        <v>422</v>
      </c>
      <c r="D13" s="116" t="s">
        <v>421</v>
      </c>
      <c r="E13" s="245" t="str">
        <f>'CEA-underConsSOLAR1'!B13</f>
        <v>ACME Dhaulpur Powertech Pvt. Ltd.</v>
      </c>
      <c r="F13" s="245">
        <f>'CEA-underConsSOLAR1'!C13</f>
        <v>300</v>
      </c>
      <c r="G13" s="245" t="str">
        <f>'CEA-underConsSOLAR1'!D13</f>
        <v>Solar</v>
      </c>
      <c r="H13" s="245" t="str">
        <f>'CEA-underConsSOLAR1'!E13</f>
        <v>3000 MW ISTS
Connected Solar PV Projects (ISTS-II)</v>
      </c>
      <c r="I13" s="245" t="str">
        <f>'CEA-underConsSOLAR1'!F13</f>
        <v>Rajasthan</v>
      </c>
      <c r="J13" s="150">
        <v>44143</v>
      </c>
      <c r="K13" s="151">
        <v>44568</v>
      </c>
      <c r="L13" s="340">
        <v>2024</v>
      </c>
      <c r="M13" s="150">
        <v>44202</v>
      </c>
      <c r="N13" s="116"/>
      <c r="O13" s="116"/>
      <c r="P13" s="116"/>
      <c r="Q13" s="116"/>
    </row>
    <row r="14" spans="1:18" ht="76.5">
      <c r="A14" s="136" t="s">
        <v>6</v>
      </c>
      <c r="B14" s="141">
        <v>11</v>
      </c>
      <c r="C14" s="142" t="s">
        <v>423</v>
      </c>
      <c r="D14" s="109" t="s">
        <v>424</v>
      </c>
      <c r="E14" s="245" t="str">
        <f>'CEA-underConsSOLAR1'!B14</f>
        <v>SBSR Power Cleantech Eleven Pvt. Ltd.</v>
      </c>
      <c r="F14" s="245">
        <f>'CEA-underConsSOLAR1'!C14</f>
        <v>300</v>
      </c>
      <c r="G14" s="245" t="str">
        <f>'CEA-underConsSOLAR1'!D14</f>
        <v>Solar</v>
      </c>
      <c r="H14" s="245" t="str">
        <f>'CEA-underConsSOLAR1'!E14</f>
        <v>1200 MW ISTS
Connected  Projects (ISTS-III)</v>
      </c>
      <c r="I14" s="245" t="str">
        <f>'CEA-underConsSOLAR1'!F14</f>
        <v>Rajasthan</v>
      </c>
      <c r="J14" s="143">
        <v>44168</v>
      </c>
      <c r="K14" s="144">
        <v>44297</v>
      </c>
      <c r="L14" s="340">
        <v>2024</v>
      </c>
      <c r="M14" s="143">
        <v>44113</v>
      </c>
      <c r="N14" s="147" t="s">
        <v>413</v>
      </c>
      <c r="O14" s="147" t="s">
        <v>413</v>
      </c>
      <c r="P14" s="142" t="s">
        <v>413</v>
      </c>
      <c r="Q14" s="142" t="s">
        <v>413</v>
      </c>
    </row>
    <row r="15" spans="1:18" ht="76.5">
      <c r="A15" s="136" t="s">
        <v>6</v>
      </c>
      <c r="B15" s="148">
        <v>12</v>
      </c>
      <c r="C15" s="116" t="s">
        <v>425</v>
      </c>
      <c r="D15" s="116" t="s">
        <v>424</v>
      </c>
      <c r="E15" s="245" t="str">
        <f>'CEA-underConsSOLAR1'!B15</f>
        <v>ReNew Sun Waves Pvt. Ltd.</v>
      </c>
      <c r="F15" s="245">
        <f>'CEA-underConsSOLAR1'!C15</f>
        <v>300</v>
      </c>
      <c r="G15" s="245" t="str">
        <f>'CEA-underConsSOLAR1'!D15</f>
        <v>Solar</v>
      </c>
      <c r="H15" s="245" t="str">
        <f>'CEA-underConsSOLAR1'!E15</f>
        <v>1200 MW ISTS
Connected  Projects (ISTS-III)</v>
      </c>
      <c r="I15" s="245" t="str">
        <f>'CEA-underConsSOLAR1'!F15</f>
        <v>Rajasthan</v>
      </c>
      <c r="J15" s="150">
        <v>44168</v>
      </c>
      <c r="K15" s="151">
        <v>44283</v>
      </c>
      <c r="L15" s="340">
        <v>2023</v>
      </c>
      <c r="M15" s="150">
        <v>44100</v>
      </c>
      <c r="N15" s="116"/>
      <c r="O15" s="116"/>
      <c r="P15" s="116"/>
      <c r="Q15" s="116"/>
    </row>
    <row r="16" spans="1:18" ht="76.5">
      <c r="A16" s="136" t="s">
        <v>6</v>
      </c>
      <c r="B16" s="141">
        <v>13</v>
      </c>
      <c r="C16" s="109" t="s">
        <v>426</v>
      </c>
      <c r="D16" s="109" t="s">
        <v>424</v>
      </c>
      <c r="E16" s="245" t="str">
        <f>'CEA-underConsSOLAR1'!B16</f>
        <v>Eden Renewable Cite Pvt. Ltd.</v>
      </c>
      <c r="F16" s="245">
        <f>'CEA-underConsSOLAR1'!C16</f>
        <v>300</v>
      </c>
      <c r="G16" s="245" t="str">
        <f>'CEA-underConsSOLAR1'!D16</f>
        <v>Solar</v>
      </c>
      <c r="H16" s="245" t="str">
        <f>'CEA-underConsSOLAR1'!E16</f>
        <v>1200 MW ISTS
Connected  Projects (ISTS-III)</v>
      </c>
      <c r="I16" s="245" t="str">
        <f>'CEA-underConsSOLAR1'!F16</f>
        <v>Rajasthan</v>
      </c>
      <c r="J16" s="143">
        <v>44168</v>
      </c>
      <c r="K16" s="144">
        <v>44287</v>
      </c>
      <c r="L16" s="340">
        <v>2024</v>
      </c>
      <c r="M16" s="143">
        <v>44104</v>
      </c>
      <c r="N16" s="109"/>
      <c r="O16" s="109"/>
      <c r="P16" s="109"/>
      <c r="Q16" s="109"/>
    </row>
    <row r="17" spans="1:17" ht="76.5">
      <c r="A17" s="136" t="s">
        <v>6</v>
      </c>
      <c r="B17" s="148">
        <v>14</v>
      </c>
      <c r="C17" s="149" t="s">
        <v>427</v>
      </c>
      <c r="D17" s="116" t="s">
        <v>424</v>
      </c>
      <c r="E17" s="245" t="str">
        <f>'CEA-underConsSOLAR1'!B17</f>
        <v>Azure Power Forty One Pvt. Ltd.</v>
      </c>
      <c r="F17" s="245">
        <f>'CEA-underConsSOLAR1'!C17</f>
        <v>300</v>
      </c>
      <c r="G17" s="245" t="str">
        <f>'CEA-underConsSOLAR1'!D17</f>
        <v>Solar</v>
      </c>
      <c r="H17" s="245" t="str">
        <f>'CEA-underConsSOLAR1'!E17</f>
        <v>1200 MW ISTS
Connected  Projects (ISTS-III)</v>
      </c>
      <c r="I17" s="245" t="str">
        <f>'CEA-underConsSOLAR1'!F17</f>
        <v>Rajasthan</v>
      </c>
      <c r="J17" s="150">
        <v>44168</v>
      </c>
      <c r="K17" s="151">
        <v>44354</v>
      </c>
      <c r="L17" s="340">
        <v>2024</v>
      </c>
      <c r="M17" s="150">
        <v>44174</v>
      </c>
      <c r="N17" s="116"/>
      <c r="O17" s="116"/>
      <c r="P17" s="116"/>
      <c r="Q17" s="116"/>
    </row>
    <row r="18" spans="1:17" ht="76.5">
      <c r="A18" s="136" t="s">
        <v>6</v>
      </c>
      <c r="B18" s="141">
        <v>15</v>
      </c>
      <c r="C18" s="142" t="s">
        <v>428</v>
      </c>
      <c r="D18" s="109" t="s">
        <v>429</v>
      </c>
      <c r="E18" s="245" t="str">
        <f>'CEA-underConsSOLAR1'!B18</f>
        <v>Ayana Renewable Power One Pvt. Ltd.</v>
      </c>
      <c r="F18" s="245">
        <f>'CEA-underConsSOLAR1'!C18</f>
        <v>300</v>
      </c>
      <c r="G18" s="245" t="str">
        <f>'CEA-underConsSOLAR1'!D18</f>
        <v>Solar</v>
      </c>
      <c r="H18" s="245" t="str">
        <f>'CEA-underConsSOLAR1'!E18</f>
        <v>1200 MW ISTS
Connected  Projects (ISTS-IV)</v>
      </c>
      <c r="I18" s="245" t="str">
        <f>'CEA-underConsSOLAR1'!F18</f>
        <v>Rajasthan</v>
      </c>
      <c r="J18" s="143">
        <v>44309</v>
      </c>
      <c r="K18" s="144">
        <v>44407</v>
      </c>
      <c r="L18" s="340">
        <v>2024</v>
      </c>
      <c r="M18" s="143">
        <v>44225</v>
      </c>
      <c r="N18" s="147" t="s">
        <v>413</v>
      </c>
      <c r="O18" s="147" t="s">
        <v>413</v>
      </c>
      <c r="P18" s="142" t="s">
        <v>412</v>
      </c>
      <c r="Q18" s="142" t="s">
        <v>430</v>
      </c>
    </row>
    <row r="19" spans="1:17" ht="89.25">
      <c r="A19" s="136" t="s">
        <v>6</v>
      </c>
      <c r="B19" s="148">
        <v>16</v>
      </c>
      <c r="C19" s="116" t="s">
        <v>431</v>
      </c>
      <c r="D19" s="116" t="s">
        <v>429</v>
      </c>
      <c r="E19" s="245" t="str">
        <f>'CEA-underConsSOLAR1'!B19</f>
        <v>Renew Solar Energy (Jharkhand Three) Pvt.
Ltd.</v>
      </c>
      <c r="F19" s="245">
        <f>'CEA-underConsSOLAR1'!C19</f>
        <v>300</v>
      </c>
      <c r="G19" s="245" t="str">
        <f>'CEA-underConsSOLAR1'!D19</f>
        <v>Solar</v>
      </c>
      <c r="H19" s="245" t="str">
        <f>'CEA-underConsSOLAR1'!E19</f>
        <v>1200 MW ISTS
Connected  Projects (ISTS-IV)</v>
      </c>
      <c r="I19" s="245" t="str">
        <f>'CEA-underConsSOLAR1'!F19</f>
        <v>Rajasthan</v>
      </c>
      <c r="J19" s="150">
        <v>44309</v>
      </c>
      <c r="K19" s="151">
        <v>44407</v>
      </c>
      <c r="L19" s="340">
        <v>2024</v>
      </c>
      <c r="M19" s="150">
        <v>44225</v>
      </c>
      <c r="N19" s="153" t="s">
        <v>413</v>
      </c>
      <c r="O19" s="153" t="s">
        <v>413</v>
      </c>
      <c r="P19" s="149" t="s">
        <v>413</v>
      </c>
      <c r="Q19" s="149" t="s">
        <v>430</v>
      </c>
    </row>
    <row r="20" spans="1:17" ht="76.5">
      <c r="A20" s="136" t="s">
        <v>6</v>
      </c>
      <c r="B20" s="141">
        <v>17</v>
      </c>
      <c r="C20" s="109" t="s">
        <v>432</v>
      </c>
      <c r="D20" s="109" t="s">
        <v>429</v>
      </c>
      <c r="E20" s="245" t="str">
        <f>'CEA-underConsSOLAR1'!B20</f>
        <v>Azure Power Maple Pvt. Ltd.</v>
      </c>
      <c r="F20" s="245">
        <f>'CEA-underConsSOLAR1'!C20</f>
        <v>300</v>
      </c>
      <c r="G20" s="245" t="str">
        <f>'CEA-underConsSOLAR1'!D20</f>
        <v>Solar</v>
      </c>
      <c r="H20" s="245" t="str">
        <f>'CEA-underConsSOLAR1'!E20</f>
        <v>1200 MW ISTS
Connected  Projects (ISTS-IV)</v>
      </c>
      <c r="I20" s="245" t="str">
        <f>'CEA-underConsSOLAR1'!F20</f>
        <v>Rajasthan</v>
      </c>
      <c r="J20" s="143">
        <v>44309</v>
      </c>
      <c r="K20" s="144">
        <v>44407</v>
      </c>
      <c r="L20" s="340">
        <v>2024</v>
      </c>
      <c r="M20" s="143">
        <v>44225</v>
      </c>
      <c r="N20" s="109"/>
      <c r="O20" s="109"/>
      <c r="P20" s="109"/>
      <c r="Q20" s="109"/>
    </row>
    <row r="21" spans="1:17" ht="76.5">
      <c r="A21" s="136" t="s">
        <v>6</v>
      </c>
      <c r="B21" s="148">
        <v>18</v>
      </c>
      <c r="C21" s="149" t="s">
        <v>433</v>
      </c>
      <c r="D21" s="116" t="s">
        <v>429</v>
      </c>
      <c r="E21" s="245" t="str">
        <f>'CEA-underConsSOLAR1'!B21</f>
        <v>Mega SuryaUrja Pvt. Ltd.</v>
      </c>
      <c r="F21" s="245">
        <f>'CEA-underConsSOLAR1'!C21</f>
        <v>250</v>
      </c>
      <c r="G21" s="245" t="str">
        <f>'CEA-underConsSOLAR1'!D21</f>
        <v>Solar</v>
      </c>
      <c r="H21" s="245" t="str">
        <f>'CEA-underConsSOLAR1'!E21</f>
        <v>1200 MW ISTS Connected Projects (ISTS-IV)</v>
      </c>
      <c r="I21" s="245" t="str">
        <f>'CEA-underConsSOLAR1'!F21</f>
        <v>Rajasthan</v>
      </c>
      <c r="J21" s="150">
        <v>44309</v>
      </c>
      <c r="K21" s="151">
        <v>44562</v>
      </c>
      <c r="L21" s="340">
        <v>2024</v>
      </c>
      <c r="M21" s="150">
        <v>44378</v>
      </c>
      <c r="N21" s="153" t="s">
        <v>413</v>
      </c>
      <c r="O21" s="153" t="s">
        <v>413</v>
      </c>
      <c r="P21" s="149" t="s">
        <v>413</v>
      </c>
      <c r="Q21" s="149" t="s">
        <v>434</v>
      </c>
    </row>
    <row r="22" spans="1:17" ht="76.5">
      <c r="A22" s="136" t="s">
        <v>13</v>
      </c>
      <c r="B22" s="141">
        <v>19</v>
      </c>
      <c r="C22" s="142" t="s">
        <v>435</v>
      </c>
      <c r="D22" s="109" t="s">
        <v>436</v>
      </c>
      <c r="E22" s="245" t="str">
        <f>'CEA-underConsSOLAR1'!B22</f>
        <v>GRT Jewellers (India) Pvt. Ltd.</v>
      </c>
      <c r="F22" s="245">
        <f>'CEA-underConsSOLAR1'!C22</f>
        <v>150</v>
      </c>
      <c r="G22" s="245" t="str">
        <f>'CEA-underConsSOLAR1'!D22</f>
        <v>Solar</v>
      </c>
      <c r="H22" s="245" t="str">
        <f>'CEA-underConsSOLAR1'!E22</f>
        <v>1200 MW ISTS Connected Projects (ISTS-V)</v>
      </c>
      <c r="I22" s="245" t="str">
        <f>'CEA-underConsSOLAR1'!F22</f>
        <v>Tamil Nadu</v>
      </c>
      <c r="J22" s="143">
        <v>44374</v>
      </c>
      <c r="K22" s="143">
        <v>44517</v>
      </c>
      <c r="L22" s="340">
        <v>2024</v>
      </c>
      <c r="M22" s="143">
        <v>44336</v>
      </c>
      <c r="N22" s="109"/>
      <c r="O22" s="109"/>
      <c r="P22" s="109"/>
      <c r="Q22" s="109"/>
    </row>
    <row r="23" spans="1:17" ht="76.5">
      <c r="A23" s="136" t="s">
        <v>6</v>
      </c>
      <c r="B23" s="148">
        <v>20</v>
      </c>
      <c r="C23" s="149" t="s">
        <v>437</v>
      </c>
      <c r="D23" s="116" t="s">
        <v>436</v>
      </c>
      <c r="E23" s="245" t="str">
        <f>'CEA-underConsSOLAR1'!B23</f>
        <v>SBE Renewables Sixteen Pvt. Ltd.</v>
      </c>
      <c r="F23" s="245">
        <f>'CEA-underConsSOLAR1'!C23</f>
        <v>150</v>
      </c>
      <c r="G23" s="245" t="str">
        <f>'CEA-underConsSOLAR1'!D23</f>
        <v>Solar</v>
      </c>
      <c r="H23" s="245" t="str">
        <f>'CEA-underConsSOLAR1'!E23</f>
        <v>1200 MW ISTS Connected Projects (ISTS-V)</v>
      </c>
      <c r="I23" s="245" t="str">
        <f>'CEA-underConsSOLAR1'!F23</f>
        <v>Rajasthan</v>
      </c>
      <c r="J23" s="150">
        <v>44374</v>
      </c>
      <c r="K23" s="150">
        <v>44517</v>
      </c>
      <c r="L23" s="340">
        <v>2024</v>
      </c>
      <c r="M23" s="150">
        <v>44336</v>
      </c>
      <c r="N23" s="153" t="s">
        <v>413</v>
      </c>
      <c r="O23" s="153" t="s">
        <v>413</v>
      </c>
      <c r="P23" s="149" t="s">
        <v>413</v>
      </c>
      <c r="Q23" s="149" t="s">
        <v>413</v>
      </c>
    </row>
    <row r="24" spans="1:17" ht="76.5">
      <c r="A24" s="136" t="s">
        <v>6</v>
      </c>
      <c r="B24" s="141">
        <v>21</v>
      </c>
      <c r="C24" s="142" t="s">
        <v>437</v>
      </c>
      <c r="D24" s="109" t="s">
        <v>436</v>
      </c>
      <c r="E24" s="245" t="str">
        <f>'CEA-underConsSOLAR1'!B24</f>
        <v>SBE Renewables Sixteen Pvt. Ltd.</v>
      </c>
      <c r="F24" s="245">
        <f>'CEA-underConsSOLAR1'!C24</f>
        <v>180</v>
      </c>
      <c r="G24" s="245" t="str">
        <f>'CEA-underConsSOLAR1'!D24</f>
        <v>Solar</v>
      </c>
      <c r="H24" s="245" t="str">
        <f>'CEA-underConsSOLAR1'!E24</f>
        <v>1200 MW ISTS Connected Projects (ISTS-V)</v>
      </c>
      <c r="I24" s="245" t="str">
        <f>'CEA-underConsSOLAR1'!F24</f>
        <v>Rajasthan</v>
      </c>
      <c r="J24" s="143">
        <v>44374</v>
      </c>
      <c r="K24" s="143">
        <v>44517</v>
      </c>
      <c r="L24" s="340">
        <v>2024</v>
      </c>
      <c r="M24" s="143">
        <v>44336</v>
      </c>
      <c r="N24" s="147" t="s">
        <v>413</v>
      </c>
      <c r="O24" s="147" t="s">
        <v>413</v>
      </c>
      <c r="P24" s="142" t="s">
        <v>413</v>
      </c>
      <c r="Q24" s="142" t="s">
        <v>413</v>
      </c>
    </row>
    <row r="25" spans="1:17" ht="76.5">
      <c r="A25" s="136" t="s">
        <v>6</v>
      </c>
      <c r="B25" s="148">
        <v>22</v>
      </c>
      <c r="C25" s="149" t="s">
        <v>438</v>
      </c>
      <c r="D25" s="116" t="s">
        <v>439</v>
      </c>
      <c r="E25" s="245" t="str">
        <f>'CEA-underConsSOLAR1'!B25</f>
        <v>Avaada Sustainable RJProject Private Limited</v>
      </c>
      <c r="F25" s="245">
        <f>'CEA-underConsSOLAR1'!C25</f>
        <v>300</v>
      </c>
      <c r="G25" s="245" t="str">
        <f>'CEA-underConsSOLAR1'!D25</f>
        <v>Solar</v>
      </c>
      <c r="H25" s="245" t="str">
        <f>'CEA-underConsSOLAR1'!E25</f>
        <v>1200 MW ISTS
Connected Projects (ISTS-VI)</v>
      </c>
      <c r="I25" s="245" t="str">
        <f>'CEA-underConsSOLAR1'!F25</f>
        <v>Rajasthan</v>
      </c>
      <c r="J25" s="116"/>
      <c r="K25" s="150">
        <v>44511</v>
      </c>
      <c r="L25" s="340">
        <v>2024</v>
      </c>
      <c r="M25" s="150">
        <v>44327</v>
      </c>
      <c r="N25" s="116"/>
      <c r="O25" s="116"/>
      <c r="P25" s="116"/>
      <c r="Q25" s="116"/>
    </row>
    <row r="26" spans="1:17" ht="76.5">
      <c r="A26" s="136" t="s">
        <v>9</v>
      </c>
      <c r="B26" s="141">
        <v>23</v>
      </c>
      <c r="C26" s="142" t="s">
        <v>440</v>
      </c>
      <c r="D26" s="109" t="s">
        <v>439</v>
      </c>
      <c r="E26" s="245" t="str">
        <f>'CEA-underConsSOLAR1'!B26</f>
        <v>Masaya Solar Energy Private Limited</v>
      </c>
      <c r="F26" s="245">
        <f>'CEA-underConsSOLAR1'!C26</f>
        <v>300</v>
      </c>
      <c r="G26" s="245" t="str">
        <f>'CEA-underConsSOLAR1'!D26</f>
        <v>Solar</v>
      </c>
      <c r="H26" s="245" t="str">
        <f>'CEA-underConsSOLAR1'!E26</f>
        <v>1200 MW ISTS
Connected Projects (ISTS-VI)</v>
      </c>
      <c r="I26" s="245" t="str">
        <f>'CEA-underConsSOLAR1'!F26</f>
        <v>Madhya Pradesh</v>
      </c>
      <c r="J26" s="109"/>
      <c r="K26" s="143">
        <v>44511</v>
      </c>
      <c r="L26" s="340">
        <v>2024</v>
      </c>
      <c r="M26" s="143">
        <v>44327</v>
      </c>
      <c r="N26" s="109"/>
      <c r="O26" s="109"/>
      <c r="P26" s="109"/>
      <c r="Q26" s="109"/>
    </row>
    <row r="27" spans="1:17" ht="76.5">
      <c r="A27" s="136" t="s">
        <v>6</v>
      </c>
      <c r="B27" s="148">
        <v>24</v>
      </c>
      <c r="C27" s="149" t="s">
        <v>441</v>
      </c>
      <c r="D27" s="116" t="s">
        <v>439</v>
      </c>
      <c r="E27" s="245" t="str">
        <f>'CEA-underConsSOLAR1'!B27</f>
        <v>ReNew Solar Urja Private Limited</v>
      </c>
      <c r="F27" s="245">
        <f>'CEA-underConsSOLAR1'!C27</f>
        <v>300</v>
      </c>
      <c r="G27" s="245" t="str">
        <f>'CEA-underConsSOLAR1'!D27</f>
        <v>Solar</v>
      </c>
      <c r="H27" s="245" t="str">
        <f>'CEA-underConsSOLAR1'!E27</f>
        <v>1200 MW ISTS
Connected Projects (ISTS-VI)</v>
      </c>
      <c r="I27" s="245" t="str">
        <f>'CEA-underConsSOLAR1'!F27</f>
        <v>Rajasthan</v>
      </c>
      <c r="J27" s="116"/>
      <c r="K27" s="150">
        <v>44511</v>
      </c>
      <c r="L27" s="340">
        <v>2024</v>
      </c>
      <c r="M27" s="150">
        <v>44327</v>
      </c>
      <c r="N27" s="116"/>
      <c r="O27" s="116"/>
      <c r="P27" s="116"/>
      <c r="Q27" s="116"/>
    </row>
    <row r="28" spans="1:17" ht="89.25">
      <c r="A28" s="136" t="s">
        <v>6</v>
      </c>
      <c r="B28" s="141">
        <v>25</v>
      </c>
      <c r="C28" s="142" t="s">
        <v>442</v>
      </c>
      <c r="D28" s="109" t="s">
        <v>443</v>
      </c>
      <c r="E28" s="245" t="str">
        <f>'CEA-underConsSOLAR1'!B28</f>
        <v>SBE Renewables Fifteen Pvt. Ltd.</v>
      </c>
      <c r="F28" s="245">
        <f>'CEA-underConsSOLAR1'!C28</f>
        <v>300</v>
      </c>
      <c r="G28" s="245" t="str">
        <f>'CEA-underConsSOLAR1'!D28</f>
        <v>Solar</v>
      </c>
      <c r="H28" s="245" t="str">
        <f>'CEA-underConsSOLAR1'!E28</f>
        <v>1200 MW ISTS
Connected Projects (ISTS-VIII)</v>
      </c>
      <c r="I28" s="245" t="str">
        <f>'CEA-underConsSOLAR1'!F28</f>
        <v>Rajasthan</v>
      </c>
      <c r="J28" s="143">
        <v>44567</v>
      </c>
      <c r="K28" s="143">
        <v>44567</v>
      </c>
      <c r="L28" s="340">
        <v>2024</v>
      </c>
      <c r="M28" s="154" t="s">
        <v>434</v>
      </c>
      <c r="N28" s="155" t="s">
        <v>444</v>
      </c>
      <c r="O28" s="147" t="s">
        <v>444</v>
      </c>
      <c r="P28" s="142" t="s">
        <v>445</v>
      </c>
      <c r="Q28" s="142" t="s">
        <v>445</v>
      </c>
    </row>
    <row r="29" spans="1:17" ht="89.25">
      <c r="A29" s="136" t="s">
        <v>6</v>
      </c>
      <c r="B29" s="148">
        <v>26</v>
      </c>
      <c r="C29" s="149" t="s">
        <v>442</v>
      </c>
      <c r="D29" s="116" t="s">
        <v>443</v>
      </c>
      <c r="E29" s="245" t="str">
        <f>'CEA-underConsSOLAR1'!B29</f>
        <v>SBE Renewables Fifteen Pvt. Ltd.</v>
      </c>
      <c r="F29" s="245">
        <f>'CEA-underConsSOLAR1'!C29</f>
        <v>300</v>
      </c>
      <c r="G29" s="245" t="str">
        <f>'CEA-underConsSOLAR1'!D29</f>
        <v>Solar</v>
      </c>
      <c r="H29" s="245" t="str">
        <f>'CEA-underConsSOLAR1'!E29</f>
        <v>1200 MW ISTS
Connected Projects (ISTS-VIII)</v>
      </c>
      <c r="I29" s="245" t="str">
        <f>'CEA-underConsSOLAR1'!F29</f>
        <v>Rajasthan</v>
      </c>
      <c r="J29" s="150">
        <v>44567</v>
      </c>
      <c r="K29" s="150">
        <v>44567</v>
      </c>
      <c r="L29" s="340">
        <v>2024</v>
      </c>
      <c r="M29" s="156" t="s">
        <v>434</v>
      </c>
      <c r="N29" s="157" t="s">
        <v>444</v>
      </c>
      <c r="O29" s="153" t="s">
        <v>444</v>
      </c>
      <c r="P29" s="149" t="s">
        <v>445</v>
      </c>
      <c r="Q29" s="149" t="s">
        <v>445</v>
      </c>
    </row>
    <row r="30" spans="1:17" ht="89.25">
      <c r="A30" s="136" t="s">
        <v>6</v>
      </c>
      <c r="B30" s="141">
        <v>27</v>
      </c>
      <c r="C30" s="142" t="s">
        <v>446</v>
      </c>
      <c r="D30" s="109" t="s">
        <v>443</v>
      </c>
      <c r="E30" s="245" t="str">
        <f>'CEA-underConsSOLAR1'!B30</f>
        <v>AMP Energy Green Pvt. Ltd.</v>
      </c>
      <c r="F30" s="245">
        <f>'CEA-underConsSOLAR1'!C30</f>
        <v>100</v>
      </c>
      <c r="G30" s="245" t="str">
        <f>'CEA-underConsSOLAR1'!D30</f>
        <v>Solar</v>
      </c>
      <c r="H30" s="245" t="str">
        <f>'CEA-underConsSOLAR1'!E30</f>
        <v>1200 MW ISTS
Connected Projects (ISTS-VIII)</v>
      </c>
      <c r="I30" s="245" t="str">
        <f>'CEA-underConsSOLAR1'!F30</f>
        <v>Rajasthan</v>
      </c>
      <c r="J30" s="158" t="s">
        <v>447</v>
      </c>
      <c r="K30" s="159"/>
      <c r="L30" s="145"/>
      <c r="M30" s="159"/>
      <c r="N30" s="159"/>
      <c r="O30" s="159"/>
      <c r="P30" s="159"/>
      <c r="Q30" s="159"/>
    </row>
    <row r="31" spans="1:17" ht="89.25">
      <c r="A31" s="136" t="s">
        <v>6</v>
      </c>
      <c r="B31" s="148">
        <v>28</v>
      </c>
      <c r="C31" s="149" t="s">
        <v>448</v>
      </c>
      <c r="D31" s="116" t="s">
        <v>443</v>
      </c>
      <c r="E31" s="245" t="str">
        <f>'CEA-underConsSOLAR1'!B31</f>
        <v>Eden Renewable Alma Pvt. Ltd.</v>
      </c>
      <c r="F31" s="245">
        <f>'CEA-underConsSOLAR1'!C31</f>
        <v>300</v>
      </c>
      <c r="G31" s="245" t="str">
        <f>'CEA-underConsSOLAR1'!D31</f>
        <v>Solar</v>
      </c>
      <c r="H31" s="245" t="str">
        <f>'CEA-underConsSOLAR1'!E31</f>
        <v>1200 MW ISTS
Connected Projects (ISTS-VIII)</v>
      </c>
      <c r="I31" s="245" t="str">
        <f>'CEA-underConsSOLAR1'!F31</f>
        <v>Rajasthan</v>
      </c>
      <c r="J31" s="160"/>
      <c r="K31" s="161"/>
      <c r="L31" s="145"/>
      <c r="M31" s="161"/>
      <c r="N31" s="161"/>
      <c r="O31" s="161"/>
      <c r="P31" s="161"/>
      <c r="Q31" s="161"/>
    </row>
    <row r="32" spans="1:17" ht="89.25">
      <c r="A32" s="136" t="s">
        <v>6</v>
      </c>
      <c r="B32" s="141">
        <v>29</v>
      </c>
      <c r="C32" s="142" t="s">
        <v>449</v>
      </c>
      <c r="D32" s="109" t="s">
        <v>443</v>
      </c>
      <c r="E32" s="245" t="str">
        <f>'CEA-underConsSOLAR1'!B32</f>
        <v>ReNew Solar Power Pvt. Ltd.</v>
      </c>
      <c r="F32" s="245">
        <f>'CEA-underConsSOLAR1'!C32</f>
        <v>200</v>
      </c>
      <c r="G32" s="245" t="str">
        <f>'CEA-underConsSOLAR1'!D32</f>
        <v>Solar</v>
      </c>
      <c r="H32" s="245" t="str">
        <f>'CEA-underConsSOLAR1'!E32</f>
        <v>1200 MW ISTS
Connected Projects (ISTS-VIII)</v>
      </c>
      <c r="I32" s="245" t="str">
        <f>'CEA-underConsSOLAR1'!F32</f>
        <v>Rajasthan</v>
      </c>
      <c r="J32" s="109"/>
      <c r="K32" s="162"/>
      <c r="L32" s="145"/>
      <c r="M32" s="162"/>
      <c r="N32" s="162"/>
      <c r="O32" s="162"/>
      <c r="P32" s="162"/>
      <c r="Q32" s="162"/>
    </row>
    <row r="33" spans="1:17" ht="76.5">
      <c r="A33" s="136" t="s">
        <v>6</v>
      </c>
      <c r="B33" s="148">
        <v>30</v>
      </c>
      <c r="C33" s="149" t="s">
        <v>446</v>
      </c>
      <c r="D33" s="116" t="s">
        <v>450</v>
      </c>
      <c r="E33" s="245" t="str">
        <f>'CEA-underConsSOLAR1'!B33</f>
        <v>AMP Energy Green Pvt. Ltd.</v>
      </c>
      <c r="F33" s="245">
        <f>'CEA-underConsSOLAR1'!C33</f>
        <v>100</v>
      </c>
      <c r="G33" s="245" t="str">
        <f>'CEA-underConsSOLAR1'!D33</f>
        <v>Solar</v>
      </c>
      <c r="H33" s="245" t="str">
        <f>'CEA-underConsSOLAR1'!E33</f>
        <v>2000 MW ISTS Connected Projects (ISTS-IX)</v>
      </c>
      <c r="I33" s="245" t="str">
        <f>'CEA-underConsSOLAR1'!F33</f>
        <v>Rajasthan</v>
      </c>
      <c r="J33" s="163" t="s">
        <v>447</v>
      </c>
      <c r="K33" s="164"/>
      <c r="L33" s="145"/>
      <c r="M33" s="164"/>
      <c r="N33" s="164"/>
      <c r="O33" s="164"/>
      <c r="P33" s="164"/>
      <c r="Q33" s="164"/>
    </row>
    <row r="34" spans="1:17" ht="76.5">
      <c r="A34" s="136" t="s">
        <v>6</v>
      </c>
      <c r="B34" s="141">
        <v>31</v>
      </c>
      <c r="C34" s="142" t="s">
        <v>451</v>
      </c>
      <c r="D34" s="109" t="s">
        <v>450</v>
      </c>
      <c r="E34" s="245" t="str">
        <f>'CEA-underConsSOLAR1'!B34</f>
        <v>Avikiran Surya India Pvt. Ltd.</v>
      </c>
      <c r="F34" s="245">
        <f>'CEA-underConsSOLAR1'!C34</f>
        <v>300</v>
      </c>
      <c r="G34" s="245" t="str">
        <f>'CEA-underConsSOLAR1'!D34</f>
        <v>Solar</v>
      </c>
      <c r="H34" s="245" t="str">
        <f>'CEA-underConsSOLAR1'!E34</f>
        <v>2000 MW ISTS Connected Projects (ISTS-IX)</v>
      </c>
      <c r="I34" s="245" t="str">
        <f>'CEA-underConsSOLAR1'!F34</f>
        <v>Rajasthan</v>
      </c>
      <c r="J34" s="165"/>
      <c r="K34" s="166"/>
      <c r="L34" s="145"/>
      <c r="M34" s="166"/>
      <c r="N34" s="166"/>
      <c r="O34" s="166"/>
      <c r="P34" s="166"/>
      <c r="Q34" s="166"/>
    </row>
    <row r="35" spans="1:17" ht="76.5">
      <c r="A35" s="136" t="s">
        <v>6</v>
      </c>
      <c r="B35" s="148">
        <v>32</v>
      </c>
      <c r="C35" s="149" t="s">
        <v>452</v>
      </c>
      <c r="D35" s="116" t="s">
        <v>450</v>
      </c>
      <c r="E35" s="245" t="str">
        <f>'CEA-underConsSOLAR1'!B35</f>
        <v>Ayana Renewable Power Pvt Ltd</v>
      </c>
      <c r="F35" s="245">
        <f>'CEA-underConsSOLAR1'!C35</f>
        <v>300</v>
      </c>
      <c r="G35" s="245" t="str">
        <f>'CEA-underConsSOLAR1'!D35</f>
        <v>Solar</v>
      </c>
      <c r="H35" s="245" t="str">
        <f>'CEA-underConsSOLAR1'!E35</f>
        <v>2000 MW ISTS Connected Projects (ISTS-IX)</v>
      </c>
      <c r="I35" s="245" t="str">
        <f>'CEA-underConsSOLAR1'!F35</f>
        <v>Rajasthan</v>
      </c>
      <c r="J35" s="163" t="s">
        <v>447</v>
      </c>
      <c r="K35" s="164"/>
      <c r="L35" s="145"/>
      <c r="M35" s="164"/>
      <c r="N35" s="164"/>
      <c r="O35" s="164"/>
      <c r="P35" s="164"/>
      <c r="Q35" s="164"/>
    </row>
    <row r="36" spans="1:17" ht="76.5">
      <c r="A36" s="136" t="s">
        <v>6</v>
      </c>
      <c r="B36" s="141">
        <v>33</v>
      </c>
      <c r="C36" s="142" t="s">
        <v>453</v>
      </c>
      <c r="D36" s="109" t="s">
        <v>450</v>
      </c>
      <c r="E36" s="245" t="str">
        <f>'CEA-underConsSOLAR1'!B36</f>
        <v>Eden Renewable Bercy Pvt. Ltd.</v>
      </c>
      <c r="F36" s="245">
        <f>'CEA-underConsSOLAR1'!C36</f>
        <v>300</v>
      </c>
      <c r="G36" s="245" t="str">
        <f>'CEA-underConsSOLAR1'!D36</f>
        <v>Solar</v>
      </c>
      <c r="H36" s="245" t="str">
        <f>'CEA-underConsSOLAR1'!E36</f>
        <v>2000 MW ISTS
Connected Projects (ISTS-IX)</v>
      </c>
      <c r="I36" s="245" t="str">
        <f>'CEA-underConsSOLAR1'!F36</f>
        <v>Rajasthan</v>
      </c>
      <c r="J36" s="165"/>
      <c r="K36" s="166"/>
      <c r="L36" s="145"/>
      <c r="M36" s="166"/>
      <c r="N36" s="166"/>
      <c r="O36" s="166"/>
      <c r="P36" s="166"/>
      <c r="Q36" s="166"/>
    </row>
    <row r="37" spans="1:17" ht="76.5">
      <c r="A37" s="136" t="s">
        <v>6</v>
      </c>
      <c r="B37" s="148">
        <v>34</v>
      </c>
      <c r="C37" s="149" t="s">
        <v>454</v>
      </c>
      <c r="D37" s="116" t="s">
        <v>450</v>
      </c>
      <c r="E37" s="245" t="str">
        <f>'CEA-underConsSOLAR1'!B37</f>
        <v>IB Vogt Singapore Pte Ltd</v>
      </c>
      <c r="F37" s="245">
        <f>'CEA-underConsSOLAR1'!C37</f>
        <v>300</v>
      </c>
      <c r="G37" s="245" t="str">
        <f>'CEA-underConsSOLAR1'!D37</f>
        <v>Solar</v>
      </c>
      <c r="H37" s="245" t="str">
        <f>'CEA-underConsSOLAR1'!E37</f>
        <v>2000 MW ISTS Connected Projects (ISTS-IX)</v>
      </c>
      <c r="I37" s="245" t="str">
        <f>'CEA-underConsSOLAR1'!F37</f>
        <v>Rajasthan</v>
      </c>
      <c r="J37" s="163" t="s">
        <v>447</v>
      </c>
      <c r="K37" s="164"/>
      <c r="L37" s="145"/>
      <c r="M37" s="164"/>
      <c r="N37" s="164"/>
      <c r="O37" s="164"/>
      <c r="P37" s="164"/>
      <c r="Q37" s="164"/>
    </row>
    <row r="38" spans="1:17" ht="76.5">
      <c r="A38" s="136" t="s">
        <v>6</v>
      </c>
      <c r="B38" s="141">
        <v>35</v>
      </c>
      <c r="C38" s="142" t="s">
        <v>449</v>
      </c>
      <c r="D38" s="109" t="s">
        <v>450</v>
      </c>
      <c r="E38" s="245" t="str">
        <f>'CEA-underConsSOLAR1'!B38</f>
        <v>ReNew Solar Power Pvt. Ltd.</v>
      </c>
      <c r="F38" s="245">
        <f>'CEA-underConsSOLAR1'!C38</f>
        <v>300</v>
      </c>
      <c r="G38" s="245" t="str">
        <f>'CEA-underConsSOLAR1'!D38</f>
        <v>Solar</v>
      </c>
      <c r="H38" s="245" t="str">
        <f>'CEA-underConsSOLAR1'!E38</f>
        <v>2000 MW ISTS Connected Projects (ISTS-IX)</v>
      </c>
      <c r="I38" s="245" t="str">
        <f>'CEA-underConsSOLAR1'!F38</f>
        <v>Rajasthan</v>
      </c>
      <c r="J38" s="167" t="s">
        <v>447</v>
      </c>
      <c r="K38" s="168"/>
      <c r="L38" s="145"/>
      <c r="M38" s="168"/>
      <c r="N38" s="168"/>
      <c r="O38" s="168"/>
      <c r="P38" s="168"/>
      <c r="Q38" s="168"/>
    </row>
    <row r="39" spans="1:17" ht="76.5">
      <c r="A39" s="136" t="s">
        <v>6</v>
      </c>
      <c r="B39" s="148">
        <v>36</v>
      </c>
      <c r="C39" s="149" t="s">
        <v>449</v>
      </c>
      <c r="D39" s="116" t="s">
        <v>450</v>
      </c>
      <c r="E39" s="245" t="str">
        <f>'CEA-underConsSOLAR1'!B39</f>
        <v>ReNew Solar Power Pvt. Ltd.</v>
      </c>
      <c r="F39" s="245">
        <f>'CEA-underConsSOLAR1'!C39</f>
        <v>100</v>
      </c>
      <c r="G39" s="245" t="str">
        <f>'CEA-underConsSOLAR1'!D39</f>
        <v>Solar</v>
      </c>
      <c r="H39" s="245" t="str">
        <f>'CEA-underConsSOLAR1'!E39</f>
        <v>2000 MW ISTS Connected Projects (ISTS-IX)</v>
      </c>
      <c r="I39" s="245" t="str">
        <f>'CEA-underConsSOLAR1'!F39</f>
        <v>Rajasthan</v>
      </c>
      <c r="J39" s="169"/>
      <c r="K39" s="170"/>
      <c r="L39" s="145"/>
      <c r="M39" s="170"/>
      <c r="N39" s="170"/>
      <c r="O39" s="170"/>
      <c r="P39" s="170"/>
      <c r="Q39" s="170"/>
    </row>
    <row r="40" spans="1:17" ht="76.5">
      <c r="A40" s="136" t="s">
        <v>6</v>
      </c>
      <c r="B40" s="141">
        <v>37</v>
      </c>
      <c r="C40" s="142" t="s">
        <v>455</v>
      </c>
      <c r="D40" s="109" t="s">
        <v>450</v>
      </c>
      <c r="E40" s="245" t="str">
        <f>'CEA-underConsSOLAR1'!B40</f>
        <v>Solarpack Corporacion Technologica S.A</v>
      </c>
      <c r="F40" s="245">
        <f>'CEA-underConsSOLAR1'!C40</f>
        <v>300</v>
      </c>
      <c r="G40" s="245" t="str">
        <f>'CEA-underConsSOLAR1'!D40</f>
        <v>Solar</v>
      </c>
      <c r="H40" s="245" t="str">
        <f>'CEA-underConsSOLAR1'!E40</f>
        <v>2000 MW ISTS Connected Projects (ISTS-IX)</v>
      </c>
      <c r="I40" s="245" t="str">
        <f>'CEA-underConsSOLAR1'!F40</f>
        <v>Rajasthan</v>
      </c>
      <c r="J40" s="165"/>
      <c r="K40" s="166"/>
      <c r="L40" s="145"/>
      <c r="M40" s="166"/>
      <c r="N40" s="166"/>
      <c r="O40" s="166"/>
      <c r="P40" s="166"/>
      <c r="Q40" s="166"/>
    </row>
    <row r="41" spans="1:17" ht="76.5">
      <c r="A41" s="136" t="s">
        <v>6</v>
      </c>
      <c r="B41" s="148">
        <v>38</v>
      </c>
      <c r="C41" s="149" t="s">
        <v>456</v>
      </c>
      <c r="D41" s="149" t="s">
        <v>457</v>
      </c>
      <c r="E41" s="245" t="str">
        <f>'CEA-underConsSOLAR1'!B41</f>
        <v>ACME Aklera Power Technology Pvt. Ltd</v>
      </c>
      <c r="F41" s="245">
        <f>'CEA-underConsSOLAR1'!C41</f>
        <v>250</v>
      </c>
      <c r="G41" s="245" t="str">
        <f>'CEA-underConsSOLAR1'!D41</f>
        <v>Solar</v>
      </c>
      <c r="H41" s="245" t="str">
        <f>'CEA-underConsSOLAR1'!E41</f>
        <v>750 MW Rajasthan (Tranche-I)</v>
      </c>
      <c r="I41" s="245" t="str">
        <f>'CEA-underConsSOLAR1'!F41</f>
        <v>Rajasthan</v>
      </c>
      <c r="J41" s="171">
        <v>44167</v>
      </c>
      <c r="K41" s="150">
        <v>44265</v>
      </c>
      <c r="L41" s="340">
        <v>2023</v>
      </c>
      <c r="M41" s="150">
        <v>44082</v>
      </c>
      <c r="N41" s="172">
        <v>44082</v>
      </c>
      <c r="O41" s="116"/>
      <c r="P41" s="116"/>
      <c r="Q41" s="116"/>
    </row>
    <row r="42" spans="1:17" ht="63.75">
      <c r="A42" s="136" t="s">
        <v>6</v>
      </c>
      <c r="B42" s="141">
        <v>39</v>
      </c>
      <c r="C42" s="142" t="s">
        <v>458</v>
      </c>
      <c r="D42" s="142" t="s">
        <v>457</v>
      </c>
      <c r="E42" s="245" t="str">
        <f>'CEA-underConsSOLAR1'!B42</f>
        <v>Fortum Solar Plus Pvt. Ltd.</v>
      </c>
      <c r="F42" s="245">
        <f>'CEA-underConsSOLAR1'!C42</f>
        <v>250</v>
      </c>
      <c r="G42" s="245" t="str">
        <f>'CEA-underConsSOLAR1'!D42</f>
        <v>Solar</v>
      </c>
      <c r="H42" s="245" t="str">
        <f>'CEA-underConsSOLAR1'!E42</f>
        <v>750 MW Rajasthan (Tranche-I)</v>
      </c>
      <c r="I42" s="245" t="str">
        <f>'CEA-underConsSOLAR1'!F42</f>
        <v>Rajasthan</v>
      </c>
      <c r="J42" s="173">
        <v>44167</v>
      </c>
      <c r="K42" s="143">
        <v>44265</v>
      </c>
      <c r="L42" s="340">
        <v>2023</v>
      </c>
      <c r="M42" s="143">
        <v>44082</v>
      </c>
      <c r="N42" s="174">
        <v>44082</v>
      </c>
      <c r="O42" s="109"/>
      <c r="P42" s="109"/>
      <c r="Q42" s="109"/>
    </row>
    <row r="43" spans="1:17" ht="76.5">
      <c r="A43" s="136" t="s">
        <v>6</v>
      </c>
      <c r="B43" s="148">
        <v>40</v>
      </c>
      <c r="C43" s="149" t="s">
        <v>459</v>
      </c>
      <c r="D43" s="149" t="s">
        <v>457</v>
      </c>
      <c r="E43" s="245" t="str">
        <f>'CEA-underConsSOLAR1'!B43</f>
        <v>ReNew Solar Energy (Jharkhand Five) Pvt. Ltd</v>
      </c>
      <c r="F43" s="245">
        <f>'CEA-underConsSOLAR1'!C43</f>
        <v>110</v>
      </c>
      <c r="G43" s="245" t="str">
        <f>'CEA-underConsSOLAR1'!D43</f>
        <v>Solar</v>
      </c>
      <c r="H43" s="245" t="str">
        <f>'CEA-underConsSOLAR1'!E43</f>
        <v>750 MW Rajasthan (Tranche-I)</v>
      </c>
      <c r="I43" s="245" t="str">
        <f>'CEA-underConsSOLAR1'!F43</f>
        <v>Rajasthan</v>
      </c>
      <c r="J43" s="171">
        <v>44167</v>
      </c>
      <c r="K43" s="150">
        <v>44265</v>
      </c>
      <c r="L43" s="340">
        <v>2023</v>
      </c>
      <c r="M43" s="150">
        <v>44082</v>
      </c>
      <c r="N43" s="172">
        <v>44082</v>
      </c>
      <c r="O43" s="116"/>
      <c r="P43" s="116"/>
      <c r="Q43" s="116"/>
    </row>
    <row r="44" spans="1:17" ht="63.75">
      <c r="A44" s="136" t="s">
        <v>6</v>
      </c>
      <c r="B44" s="141">
        <v>41</v>
      </c>
      <c r="C44" s="109" t="s">
        <v>460</v>
      </c>
      <c r="D44" s="142" t="s">
        <v>457</v>
      </c>
      <c r="E44" s="245" t="str">
        <f>'CEA-underConsSOLAR1'!B44</f>
        <v>Sitara Solar Energy Pvt. Ltd.</v>
      </c>
      <c r="F44" s="245">
        <f>'CEA-underConsSOLAR1'!C44</f>
        <v>100</v>
      </c>
      <c r="G44" s="245" t="str">
        <f>'CEA-underConsSOLAR1'!D44</f>
        <v>Solar</v>
      </c>
      <c r="H44" s="245" t="str">
        <f>'CEA-underConsSOLAR1'!E44</f>
        <v>750 MW Rajasthan (Tranche-I)</v>
      </c>
      <c r="I44" s="245" t="str">
        <f>'CEA-underConsSOLAR1'!F44</f>
        <v>Rajasthan</v>
      </c>
      <c r="J44" s="173">
        <v>44167</v>
      </c>
      <c r="K44" s="143">
        <v>44265</v>
      </c>
      <c r="L44" s="340">
        <v>2023</v>
      </c>
      <c r="M44" s="143">
        <v>44082</v>
      </c>
      <c r="N44" s="174">
        <v>44082</v>
      </c>
      <c r="O44" s="109"/>
      <c r="P44" s="109"/>
      <c r="Q44" s="109"/>
    </row>
    <row r="45" spans="1:17" ht="63.75">
      <c r="A45" s="136" t="s">
        <v>6</v>
      </c>
      <c r="B45" s="148">
        <v>42</v>
      </c>
      <c r="C45" s="149" t="s">
        <v>461</v>
      </c>
      <c r="D45" s="149" t="s">
        <v>457</v>
      </c>
      <c r="E45" s="245" t="str">
        <f>'CEA-underConsSOLAR1'!B45</f>
        <v>Palimarwar Solar House Pvt. Ltd.</v>
      </c>
      <c r="F45" s="245">
        <f>'CEA-underConsSOLAR1'!C45</f>
        <v>20</v>
      </c>
      <c r="G45" s="245" t="str">
        <f>'CEA-underConsSOLAR1'!D45</f>
        <v>Solar</v>
      </c>
      <c r="H45" s="245" t="str">
        <f>'CEA-underConsSOLAR1'!E45</f>
        <v>750 MW Rajasthan (Tranche-I)</v>
      </c>
      <c r="I45" s="245" t="str">
        <f>'CEA-underConsSOLAR1'!F45</f>
        <v>Rajasthan</v>
      </c>
      <c r="J45" s="171">
        <v>44167</v>
      </c>
      <c r="K45" s="150">
        <v>44265</v>
      </c>
      <c r="L45" s="340">
        <v>2023</v>
      </c>
      <c r="M45" s="150">
        <v>44082</v>
      </c>
      <c r="N45" s="172">
        <v>44082</v>
      </c>
      <c r="O45" s="116"/>
      <c r="P45" s="116"/>
      <c r="Q45" s="116"/>
    </row>
    <row r="46" spans="1:17" ht="63.75">
      <c r="A46" s="136" t="s">
        <v>6</v>
      </c>
      <c r="B46" s="141">
        <v>43</v>
      </c>
      <c r="C46" s="142" t="s">
        <v>461</v>
      </c>
      <c r="D46" s="142" t="s">
        <v>457</v>
      </c>
      <c r="E46" s="245" t="str">
        <f>'CEA-underConsSOLAR1'!B46</f>
        <v>Palimarwar Solar House Pvt. Ltd.</v>
      </c>
      <c r="F46" s="245">
        <f>'CEA-underConsSOLAR1'!C46</f>
        <v>20</v>
      </c>
      <c r="G46" s="245" t="str">
        <f>'CEA-underConsSOLAR1'!D46</f>
        <v>Solar</v>
      </c>
      <c r="H46" s="245" t="str">
        <f>'CEA-underConsSOLAR1'!E46</f>
        <v>750 MW Rajasthan (Tranche-I)</v>
      </c>
      <c r="I46" s="245" t="str">
        <f>'CEA-underConsSOLAR1'!F46</f>
        <v>Rajasthan</v>
      </c>
      <c r="J46" s="173">
        <v>44167</v>
      </c>
      <c r="K46" s="143">
        <v>44265</v>
      </c>
      <c r="L46" s="340">
        <v>2023</v>
      </c>
      <c r="M46" s="143">
        <v>44082</v>
      </c>
      <c r="N46" s="174">
        <v>44082</v>
      </c>
      <c r="O46" s="109"/>
      <c r="P46" s="109"/>
      <c r="Q46" s="109"/>
    </row>
    <row r="47" spans="1:17" ht="63.75">
      <c r="A47" s="136" t="s">
        <v>6</v>
      </c>
      <c r="B47" s="175">
        <v>44</v>
      </c>
      <c r="C47" s="176" t="s">
        <v>462</v>
      </c>
      <c r="D47" s="176" t="s">
        <v>463</v>
      </c>
      <c r="E47" s="245" t="str">
        <f>'CEA-underConsSOLAR1'!B47</f>
        <v>NTPC Limited</v>
      </c>
      <c r="F47" s="245">
        <f>'CEA-underConsSOLAR1'!C47</f>
        <v>160</v>
      </c>
      <c r="G47" s="245" t="str">
        <f>'CEA-underConsSOLAR1'!D47</f>
        <v>Solar</v>
      </c>
      <c r="H47" s="245" t="str">
        <f>'CEA-underConsSOLAR1'!E47</f>
        <v>750 MW Rajasthan (Tranche-II)</v>
      </c>
      <c r="I47" s="245" t="str">
        <f>'CEA-underConsSOLAR1'!F47</f>
        <v>Rajasthan</v>
      </c>
      <c r="J47" s="177">
        <v>44302</v>
      </c>
      <c r="K47" s="178">
        <v>44400</v>
      </c>
      <c r="L47" s="340">
        <v>2023</v>
      </c>
      <c r="M47" s="177">
        <v>44218</v>
      </c>
      <c r="N47" s="177">
        <v>44218</v>
      </c>
      <c r="O47" s="179"/>
      <c r="P47" s="179"/>
      <c r="Q47" s="179"/>
    </row>
    <row r="48" spans="1:17" ht="63.75">
      <c r="A48" s="136" t="s">
        <v>6</v>
      </c>
      <c r="B48" s="141">
        <v>45</v>
      </c>
      <c r="C48" s="142" t="s">
        <v>464</v>
      </c>
      <c r="D48" s="142" t="s">
        <v>463</v>
      </c>
      <c r="E48" s="245" t="str">
        <f>'CEA-underConsSOLAR1'!B48</f>
        <v>-</v>
      </c>
      <c r="F48" s="245">
        <f>'CEA-underConsSOLAR1'!C48</f>
        <v>200</v>
      </c>
      <c r="G48" s="245" t="str">
        <f>'CEA-underConsSOLAR1'!D48</f>
        <v>Solar</v>
      </c>
      <c r="H48" s="245" t="str">
        <f>'CEA-underConsSOLAR1'!E48</f>
        <v>750 MW Rajasthan (Tranche-II)</v>
      </c>
      <c r="I48" s="245" t="str">
        <f>'CEA-underConsSOLAR1'!F48</f>
        <v>Rajasthan</v>
      </c>
      <c r="J48" s="143">
        <v>44302</v>
      </c>
      <c r="K48" s="144">
        <v>44400</v>
      </c>
      <c r="L48" s="340">
        <v>2023</v>
      </c>
      <c r="M48" s="143">
        <v>44218</v>
      </c>
      <c r="N48" s="143">
        <v>44218</v>
      </c>
      <c r="O48" s="109"/>
      <c r="P48" s="109"/>
      <c r="Q48" s="109"/>
    </row>
    <row r="49" spans="1:17" ht="76.5">
      <c r="A49" s="136" t="s">
        <v>6</v>
      </c>
      <c r="B49" s="148">
        <v>46</v>
      </c>
      <c r="C49" s="116" t="s">
        <v>465</v>
      </c>
      <c r="D49" s="149" t="s">
        <v>463</v>
      </c>
      <c r="E49" s="245" t="str">
        <f>'CEA-underConsSOLAR1'!B49</f>
        <v>Clean Solar Power (BHAINSADA) Pvt. Ltd.</v>
      </c>
      <c r="F49" s="245">
        <f>'CEA-underConsSOLAR1'!C49</f>
        <v>250</v>
      </c>
      <c r="G49" s="245" t="str">
        <f>'CEA-underConsSOLAR1'!D49</f>
        <v>Solar</v>
      </c>
      <c r="H49" s="245" t="str">
        <f>'CEA-underConsSOLAR1'!E49</f>
        <v>750 MW Rajasthan (Tranche-II)</v>
      </c>
      <c r="I49" s="245" t="str">
        <f>'CEA-underConsSOLAR1'!F49</f>
        <v>Rajasthan</v>
      </c>
      <c r="J49" s="150">
        <v>44302</v>
      </c>
      <c r="K49" s="151">
        <v>44400</v>
      </c>
      <c r="L49" s="340">
        <v>2023</v>
      </c>
      <c r="M49" s="150">
        <v>44218</v>
      </c>
      <c r="N49" s="150">
        <v>44218</v>
      </c>
      <c r="O49" s="116"/>
      <c r="P49" s="116"/>
      <c r="Q49" s="116"/>
    </row>
    <row r="50" spans="1:17" ht="89.25">
      <c r="A50" s="136" t="s">
        <v>0</v>
      </c>
      <c r="B50" s="141">
        <v>47</v>
      </c>
      <c r="C50" s="142" t="s">
        <v>466</v>
      </c>
      <c r="D50" s="142" t="s">
        <v>467</v>
      </c>
      <c r="E50" s="245" t="str">
        <f>'CEA-underConsSOLAR1'!B50</f>
        <v>Auxo Sunlight Pvt. Ltd.</v>
      </c>
      <c r="F50" s="245">
        <f>'CEA-underConsSOLAR1'!C50</f>
        <v>50</v>
      </c>
      <c r="G50" s="245" t="str">
        <f>'CEA-underConsSOLAR1'!D50</f>
        <v>Solar</v>
      </c>
      <c r="H50" s="245" t="str">
        <f>'CEA-underConsSOLAR1'!E50</f>
        <v>150 MW Grid Connected Floating Solar PV Plants</v>
      </c>
      <c r="I50" s="245" t="str">
        <f>'CEA-underConsSOLAR1'!F50</f>
        <v>Uttar Pradesh</v>
      </c>
      <c r="J50" s="143">
        <v>44442</v>
      </c>
      <c r="K50" s="144">
        <v>44540</v>
      </c>
      <c r="L50" s="340">
        <v>2023</v>
      </c>
      <c r="M50" s="143">
        <v>43901</v>
      </c>
      <c r="N50" s="143">
        <v>43901</v>
      </c>
      <c r="O50" s="109"/>
      <c r="P50" s="109"/>
      <c r="Q50" s="109"/>
    </row>
    <row r="51" spans="1:17" ht="89.25">
      <c r="A51" s="136" t="s">
        <v>0</v>
      </c>
      <c r="B51" s="148">
        <v>48</v>
      </c>
      <c r="C51" s="116" t="s">
        <v>468</v>
      </c>
      <c r="D51" s="149" t="s">
        <v>467</v>
      </c>
      <c r="E51" s="245" t="str">
        <f>'CEA-underConsSOLAR1'!B51</f>
        <v>ReNew Sun Power Pvt. Ltd.</v>
      </c>
      <c r="F51" s="245">
        <f>'CEA-underConsSOLAR1'!C51</f>
        <v>50</v>
      </c>
      <c r="G51" s="245" t="str">
        <f>'CEA-underConsSOLAR1'!D51</f>
        <v>Solar</v>
      </c>
      <c r="H51" s="245" t="str">
        <f>'CEA-underConsSOLAR1'!E51</f>
        <v>150 MW Grid Connected Floating Solar PV Plants</v>
      </c>
      <c r="I51" s="245" t="str">
        <f>'CEA-underConsSOLAR1'!F51</f>
        <v>Uttar Pradesh</v>
      </c>
      <c r="J51" s="150">
        <v>44442</v>
      </c>
      <c r="K51" s="151">
        <v>44540</v>
      </c>
      <c r="L51" s="340">
        <v>2023</v>
      </c>
      <c r="M51" s="150">
        <v>43901</v>
      </c>
      <c r="N51" s="150">
        <v>43901</v>
      </c>
      <c r="O51" s="116"/>
      <c r="P51" s="116"/>
      <c r="Q51" s="116"/>
    </row>
    <row r="52" spans="1:17" ht="89.25">
      <c r="A52" s="136" t="s">
        <v>14</v>
      </c>
      <c r="B52" s="141">
        <v>49</v>
      </c>
      <c r="C52" s="109" t="s">
        <v>469</v>
      </c>
      <c r="D52" s="142" t="s">
        <v>467</v>
      </c>
      <c r="E52" s="245" t="str">
        <f>'CEA-underConsSOLAR1'!B52</f>
        <v>Rihan Floating Solar Pvt. Ltd.</v>
      </c>
      <c r="F52" s="245">
        <f>'CEA-underConsSOLAR1'!C52</f>
        <v>50</v>
      </c>
      <c r="G52" s="245" t="str">
        <f>'CEA-underConsSOLAR1'!D52</f>
        <v>Solar</v>
      </c>
      <c r="H52" s="245" t="str">
        <f>'CEA-underConsSOLAR1'!E52</f>
        <v>150 MW Grid Connected Floating Solar PV Plants</v>
      </c>
      <c r="I52" s="245" t="str">
        <f>'CEA-underConsSOLAR1'!F52</f>
        <v>Uttar Pradesh</v>
      </c>
      <c r="J52" s="143">
        <v>44442</v>
      </c>
      <c r="K52" s="144">
        <v>44540</v>
      </c>
      <c r="L52" s="340">
        <v>2023</v>
      </c>
      <c r="M52" s="143">
        <v>43901</v>
      </c>
      <c r="N52" s="143">
        <v>43901</v>
      </c>
      <c r="O52" s="109"/>
      <c r="P52" s="109"/>
      <c r="Q52" s="109"/>
    </row>
    <row r="53" spans="1:17" ht="89.25">
      <c r="A53" s="136" t="s">
        <v>14</v>
      </c>
      <c r="B53" s="148">
        <v>50</v>
      </c>
      <c r="C53" s="149" t="s">
        <v>470</v>
      </c>
      <c r="D53" s="116" t="s">
        <v>471</v>
      </c>
      <c r="E53" s="245" t="str">
        <f>'CEA-underConsSOLAR1'!B53</f>
        <v>SB Energy Seven Pvt Ltd.</v>
      </c>
      <c r="F53" s="245">
        <f>'CEA-underConsSOLAR1'!C53</f>
        <v>250</v>
      </c>
      <c r="G53" s="245" t="str">
        <f>'CEA-underConsSOLAR1'!D53</f>
        <v>Solar</v>
      </c>
      <c r="H53" s="245" t="str">
        <f>'CEA-underConsSOLAR1'!E53</f>
        <v>750 MW Kadapa Solar Park (5000 MW VGF Scheme)</v>
      </c>
      <c r="I53" s="245" t="str">
        <f>'CEA-underConsSOLAR1'!F53</f>
        <v>Andhra Pradesh</v>
      </c>
      <c r="J53" s="150">
        <v>44011</v>
      </c>
      <c r="K53" s="151">
        <v>44011</v>
      </c>
      <c r="L53" s="340">
        <v>2022</v>
      </c>
      <c r="M53" s="150">
        <v>43737</v>
      </c>
      <c r="N53" s="153" t="s">
        <v>472</v>
      </c>
      <c r="O53" s="156" t="s">
        <v>473</v>
      </c>
      <c r="P53" s="149" t="s">
        <v>434</v>
      </c>
      <c r="Q53" s="149" t="s">
        <v>434</v>
      </c>
    </row>
    <row r="54" spans="1:17" ht="89.25">
      <c r="A54" s="136" t="s">
        <v>14</v>
      </c>
      <c r="B54" s="141">
        <v>51</v>
      </c>
      <c r="C54" s="142" t="s">
        <v>474</v>
      </c>
      <c r="D54" s="109" t="s">
        <v>471</v>
      </c>
      <c r="E54" s="245" t="str">
        <f>'CEA-underConsSOLAR1'!B54</f>
        <v>Sprng Soura Kiran Vidyut Pvt Ltd.</v>
      </c>
      <c r="F54" s="245">
        <f>'CEA-underConsSOLAR1'!C54</f>
        <v>250</v>
      </c>
      <c r="G54" s="245" t="str">
        <f>'CEA-underConsSOLAR1'!D54</f>
        <v>Solar</v>
      </c>
      <c r="H54" s="245" t="str">
        <f>'CEA-underConsSOLAR1'!E54</f>
        <v>750 MW Kadapa Solar Park (5000 MW VGF Scheme)</v>
      </c>
      <c r="I54" s="245" t="str">
        <f>'CEA-underConsSOLAR1'!F54</f>
        <v>Andhra Pradesh</v>
      </c>
      <c r="J54" s="143">
        <v>44011</v>
      </c>
      <c r="K54" s="144">
        <v>44011</v>
      </c>
      <c r="L54" s="340">
        <v>2022</v>
      </c>
      <c r="M54" s="143">
        <v>43737</v>
      </c>
      <c r="N54" s="147" t="s">
        <v>472</v>
      </c>
      <c r="O54" s="154" t="s">
        <v>473</v>
      </c>
      <c r="P54" s="142" t="s">
        <v>434</v>
      </c>
      <c r="Q54" s="142" t="s">
        <v>434</v>
      </c>
    </row>
    <row r="55" spans="1:17" ht="89.25">
      <c r="A55" s="136" t="s">
        <v>14</v>
      </c>
      <c r="B55" s="148">
        <v>52</v>
      </c>
      <c r="C55" s="149" t="s">
        <v>475</v>
      </c>
      <c r="D55" s="116" t="s">
        <v>471</v>
      </c>
      <c r="E55" s="245" t="str">
        <f>'CEA-underConsSOLAR1'!B55</f>
        <v>Ayana Renewable Power Pvt. Ltd.</v>
      </c>
      <c r="F55" s="245">
        <f>'CEA-underConsSOLAR1'!C55</f>
        <v>250</v>
      </c>
      <c r="G55" s="245" t="str">
        <f>'CEA-underConsSOLAR1'!D55</f>
        <v>Solar</v>
      </c>
      <c r="H55" s="245" t="str">
        <f>'CEA-underConsSOLAR1'!E55</f>
        <v>750 MW Kadapa Solar Park (5000 MW VGF Scheme)</v>
      </c>
      <c r="I55" s="245" t="str">
        <f>'CEA-underConsSOLAR1'!F55</f>
        <v>Andhra Pradesh</v>
      </c>
      <c r="J55" s="150">
        <v>44011</v>
      </c>
      <c r="K55" s="151">
        <v>44011</v>
      </c>
      <c r="L55" s="340">
        <v>2022</v>
      </c>
      <c r="M55" s="150">
        <v>43737</v>
      </c>
      <c r="N55" s="153" t="s">
        <v>472</v>
      </c>
      <c r="O55" s="156" t="s">
        <v>473</v>
      </c>
      <c r="P55" s="149" t="s">
        <v>434</v>
      </c>
      <c r="Q55" s="149" t="s">
        <v>434</v>
      </c>
    </row>
    <row r="56" spans="1:17" ht="63.75">
      <c r="B56" s="180">
        <v>53</v>
      </c>
      <c r="C56" s="181" t="s">
        <v>462</v>
      </c>
      <c r="D56" s="181" t="s">
        <v>476</v>
      </c>
      <c r="E56" s="245" t="str">
        <f>'CEA-underConsSOLAR1'!B56</f>
        <v>NTPC Limited</v>
      </c>
      <c r="F56" s="245">
        <f>'CEA-underConsSOLAR1'!C56</f>
        <v>769</v>
      </c>
      <c r="G56" s="245" t="str">
        <f>'CEA-underConsSOLAR1'!D56</f>
        <v>Solar</v>
      </c>
      <c r="H56" s="245" t="str">
        <f>'CEA-underConsSOLAR1'!E56</f>
        <v>CPSU Scheme (Tranche-I, 2000 MW)</v>
      </c>
      <c r="I56" s="245">
        <f>'CEA-underConsSOLAR1'!F56</f>
        <v>0</v>
      </c>
      <c r="J56" s="182">
        <v>44467</v>
      </c>
      <c r="K56" s="182">
        <v>44565</v>
      </c>
      <c r="L56" s="340">
        <v>2022</v>
      </c>
      <c r="M56" s="183"/>
      <c r="N56" s="183"/>
      <c r="O56" s="183"/>
      <c r="P56" s="181" t="s">
        <v>445</v>
      </c>
      <c r="Q56" s="181" t="s">
        <v>430</v>
      </c>
    </row>
    <row r="57" spans="1:17" ht="63.75">
      <c r="A57" s="136" t="s">
        <v>9</v>
      </c>
      <c r="B57" s="148">
        <v>54</v>
      </c>
      <c r="C57" s="149" t="s">
        <v>477</v>
      </c>
      <c r="D57" s="149" t="s">
        <v>476</v>
      </c>
      <c r="E57" s="245" t="str">
        <f>'CEA-underConsSOLAR1'!B57</f>
        <v>NHDC LTD</v>
      </c>
      <c r="F57" s="245">
        <f>'CEA-underConsSOLAR1'!C57</f>
        <v>25</v>
      </c>
      <c r="G57" s="245" t="str">
        <f>'CEA-underConsSOLAR1'!D57</f>
        <v>Solar</v>
      </c>
      <c r="H57" s="245" t="str">
        <f>'CEA-underConsSOLAR1'!E57</f>
        <v>CPSU Scheme (Tranche-I, 2000 MW)</v>
      </c>
      <c r="I57" s="245" t="str">
        <f>'CEA-underConsSOLAR1'!F57</f>
        <v>Madhya Pradesh</v>
      </c>
      <c r="J57" s="150">
        <v>44467</v>
      </c>
      <c r="K57" s="150">
        <v>44565</v>
      </c>
      <c r="L57" s="340">
        <v>2022</v>
      </c>
      <c r="M57" s="116"/>
      <c r="N57" s="116"/>
      <c r="O57" s="116"/>
      <c r="P57" s="149" t="s">
        <v>445</v>
      </c>
      <c r="Q57" s="149" t="s">
        <v>430</v>
      </c>
    </row>
    <row r="58" spans="1:17" ht="63.75">
      <c r="B58" s="141">
        <v>55</v>
      </c>
      <c r="C58" s="142" t="s">
        <v>478</v>
      </c>
      <c r="D58" s="142" t="s">
        <v>476</v>
      </c>
      <c r="E58" s="245" t="str">
        <f>'CEA-underConsSOLAR1'!B58</f>
        <v>The singareni Collieries Company limited</v>
      </c>
      <c r="F58" s="245">
        <f>'CEA-underConsSOLAR1'!C58</f>
        <v>90</v>
      </c>
      <c r="G58" s="245" t="str">
        <f>'CEA-underConsSOLAR1'!D58</f>
        <v>Solar</v>
      </c>
      <c r="H58" s="245" t="str">
        <f>'CEA-underConsSOLAR1'!E58</f>
        <v>CPSU Scheme (Tranche-I, 2000 MW)</v>
      </c>
      <c r="I58" s="245">
        <f>'CEA-underConsSOLAR1'!F58</f>
        <v>0</v>
      </c>
      <c r="J58" s="143">
        <v>44467</v>
      </c>
      <c r="K58" s="143">
        <v>44565</v>
      </c>
      <c r="L58" s="340">
        <v>2022</v>
      </c>
      <c r="M58" s="109"/>
      <c r="N58" s="109"/>
      <c r="O58" s="109"/>
      <c r="P58" s="142" t="s">
        <v>445</v>
      </c>
      <c r="Q58" s="142" t="s">
        <v>430</v>
      </c>
    </row>
    <row r="59" spans="1:17" ht="76.5">
      <c r="A59" s="136" t="s">
        <v>29</v>
      </c>
      <c r="B59" s="148">
        <v>56</v>
      </c>
      <c r="C59" s="149" t="s">
        <v>479</v>
      </c>
      <c r="D59" s="149" t="s">
        <v>476</v>
      </c>
      <c r="E59" s="245" t="str">
        <f>'CEA-underConsSOLAR1'!B59</f>
        <v>Assam power Distribution Company Limited</v>
      </c>
      <c r="F59" s="245">
        <f>'CEA-underConsSOLAR1'!C59</f>
        <v>30</v>
      </c>
      <c r="G59" s="245" t="str">
        <f>'CEA-underConsSOLAR1'!D59</f>
        <v>Solar</v>
      </c>
      <c r="H59" s="245" t="str">
        <f>'CEA-underConsSOLAR1'!E59</f>
        <v>CPSU Scheme (Tranche-I, 2000 MW)</v>
      </c>
      <c r="I59" s="245" t="str">
        <f>'CEA-underConsSOLAR1'!F59</f>
        <v>Assam</v>
      </c>
      <c r="J59" s="150">
        <v>44467</v>
      </c>
      <c r="K59" s="150">
        <v>44565</v>
      </c>
      <c r="L59" s="340">
        <v>2022</v>
      </c>
      <c r="M59" s="116"/>
      <c r="N59" s="116"/>
      <c r="O59" s="116"/>
      <c r="P59" s="149" t="s">
        <v>445</v>
      </c>
      <c r="Q59" s="149" t="s">
        <v>430</v>
      </c>
    </row>
    <row r="60" spans="1:17" ht="76.5">
      <c r="A60" s="136" t="s">
        <v>93</v>
      </c>
      <c r="B60" s="141">
        <v>57</v>
      </c>
      <c r="C60" s="142" t="s">
        <v>480</v>
      </c>
      <c r="D60" s="142" t="s">
        <v>476</v>
      </c>
      <c r="E60" s="245" t="str">
        <f>'CEA-underConsSOLAR1'!B60</f>
        <v>Delhi Metro Rail Corporation Limited</v>
      </c>
      <c r="F60" s="245">
        <f>'CEA-underConsSOLAR1'!C60</f>
        <v>3</v>
      </c>
      <c r="G60" s="245" t="str">
        <f>'CEA-underConsSOLAR1'!D60</f>
        <v>Solar</v>
      </c>
      <c r="H60" s="245" t="str">
        <f>'CEA-underConsSOLAR1'!E60</f>
        <v>CPSU Scheme (Tranche-I, 2000 MW)</v>
      </c>
      <c r="I60" s="245" t="str">
        <f>'CEA-underConsSOLAR1'!F60</f>
        <v>Delhi</v>
      </c>
      <c r="J60" s="143">
        <v>44467</v>
      </c>
      <c r="K60" s="143">
        <v>44565</v>
      </c>
      <c r="L60" s="340">
        <v>2022</v>
      </c>
      <c r="M60" s="109"/>
      <c r="N60" s="109"/>
      <c r="O60" s="109"/>
      <c r="P60" s="142" t="s">
        <v>445</v>
      </c>
      <c r="Q60" s="142" t="s">
        <v>430</v>
      </c>
    </row>
    <row r="61" spans="1:17" ht="63.75">
      <c r="A61" s="136" t="s">
        <v>19</v>
      </c>
      <c r="B61" s="148">
        <v>58</v>
      </c>
      <c r="C61" s="149" t="s">
        <v>481</v>
      </c>
      <c r="D61" s="149" t="s">
        <v>476</v>
      </c>
      <c r="E61" s="245" t="str">
        <f>'CEA-underConsSOLAR1'!B61</f>
        <v>Nalanda University</v>
      </c>
      <c r="F61" s="245">
        <f>'CEA-underConsSOLAR1'!C61</f>
        <v>5</v>
      </c>
      <c r="G61" s="245" t="str">
        <f>'CEA-underConsSOLAR1'!D61</f>
        <v>Solar</v>
      </c>
      <c r="H61" s="245" t="str">
        <f>'CEA-underConsSOLAR1'!E61</f>
        <v>CPSU Scheme (Tranche-I, 2000 MW)</v>
      </c>
      <c r="I61" s="245" t="str">
        <f>'CEA-underConsSOLAR1'!F61</f>
        <v>Bihar</v>
      </c>
      <c r="J61" s="150">
        <v>44467</v>
      </c>
      <c r="K61" s="150">
        <v>44565</v>
      </c>
      <c r="L61" s="340">
        <v>2022</v>
      </c>
      <c r="M61" s="116"/>
      <c r="N61" s="116"/>
      <c r="O61" s="116"/>
      <c r="P61" s="149" t="s">
        <v>445</v>
      </c>
      <c r="Q61" s="149" t="s">
        <v>430</v>
      </c>
    </row>
    <row r="62" spans="1:17" ht="63.75">
      <c r="A62" s="92" t="s">
        <v>101</v>
      </c>
      <c r="B62" s="141">
        <v>59</v>
      </c>
      <c r="C62" s="142" t="s">
        <v>462</v>
      </c>
      <c r="D62" s="142" t="s">
        <v>482</v>
      </c>
      <c r="E62" s="245" t="str">
        <f>'CEA-underConsSOLAR1'!B62</f>
        <v>NTPC Limited</v>
      </c>
      <c r="F62" s="245">
        <f>'CEA-underConsSOLAR1'!C62</f>
        <v>923</v>
      </c>
      <c r="G62" s="245" t="str">
        <f>'CEA-underConsSOLAR1'!D62</f>
        <v>Solar</v>
      </c>
      <c r="H62" s="245" t="str">
        <f>'CEA-underConsSOLAR1'!E62</f>
        <v>CPSU Scheme (Tranche-II, 1500 MW)</v>
      </c>
      <c r="I62" s="245">
        <f>'CEA-underConsSOLAR1'!F62</f>
        <v>0</v>
      </c>
      <c r="J62" s="143">
        <v>44525</v>
      </c>
      <c r="K62" s="143">
        <v>44623</v>
      </c>
      <c r="L62" s="340">
        <v>2022</v>
      </c>
      <c r="M62" s="109"/>
      <c r="N62" s="109"/>
      <c r="O62" s="109"/>
      <c r="P62" s="142" t="s">
        <v>445</v>
      </c>
      <c r="Q62" s="142" t="s">
        <v>430</v>
      </c>
    </row>
    <row r="63" spans="1:17" ht="63.75">
      <c r="A63" s="92" t="s">
        <v>101</v>
      </c>
      <c r="B63" s="148">
        <v>60</v>
      </c>
      <c r="C63" s="149" t="s">
        <v>483</v>
      </c>
      <c r="D63" s="149" t="s">
        <v>482</v>
      </c>
      <c r="E63" s="245" t="str">
        <f>'CEA-underConsSOLAR1'!B63</f>
        <v>The Singareni Collieries Company Limited</v>
      </c>
      <c r="F63" s="245">
        <f>'CEA-underConsSOLAR1'!C63</f>
        <v>81</v>
      </c>
      <c r="G63" s="245" t="str">
        <f>'CEA-underConsSOLAR1'!D63</f>
        <v>Solar</v>
      </c>
      <c r="H63" s="245" t="str">
        <f>'CEA-underConsSOLAR1'!E63</f>
        <v>CPSU Scheme (Tranche-II, 1500 MW)</v>
      </c>
      <c r="I63" s="245">
        <f>'CEA-underConsSOLAR1'!F63</f>
        <v>0</v>
      </c>
      <c r="J63" s="150">
        <v>44525</v>
      </c>
      <c r="K63" s="150">
        <v>44623</v>
      </c>
      <c r="L63" s="340">
        <v>2022</v>
      </c>
      <c r="M63" s="116"/>
      <c r="N63" s="116"/>
      <c r="O63" s="116"/>
      <c r="P63" s="149" t="s">
        <v>445</v>
      </c>
      <c r="Q63" s="149" t="s">
        <v>430</v>
      </c>
    </row>
    <row r="64" spans="1:17" ht="63.75">
      <c r="A64" s="136" t="s">
        <v>9</v>
      </c>
      <c r="B64" s="184">
        <v>61</v>
      </c>
      <c r="C64" s="185" t="s">
        <v>484</v>
      </c>
      <c r="D64" s="185" t="s">
        <v>482</v>
      </c>
      <c r="E64" s="245" t="str">
        <f>'CEA-underConsSOLAR1'!B64</f>
        <v>Indore Municipal Corporation</v>
      </c>
      <c r="F64" s="245">
        <f>'CEA-underConsSOLAR1'!C64</f>
        <v>100</v>
      </c>
      <c r="G64" s="245" t="str">
        <f>'CEA-underConsSOLAR1'!D64</f>
        <v>Solar</v>
      </c>
      <c r="H64" s="245" t="str">
        <f>'CEA-underConsSOLAR1'!E64</f>
        <v>CPSU Scheme (Tranche-II, 1500 MW)</v>
      </c>
      <c r="I64" s="245" t="str">
        <f>'CEA-underConsSOLAR1'!F64</f>
        <v>Madhya Pradesh</v>
      </c>
      <c r="J64" s="186">
        <v>44525</v>
      </c>
      <c r="K64" s="186">
        <v>44623</v>
      </c>
      <c r="L64" s="340">
        <v>2022</v>
      </c>
      <c r="M64" s="187"/>
      <c r="N64" s="187"/>
      <c r="O64" s="187"/>
      <c r="P64" s="185" t="s">
        <v>445</v>
      </c>
      <c r="Q64" s="185" t="s">
        <v>430</v>
      </c>
    </row>
    <row r="69" spans="7:13">
      <c r="J69" s="188">
        <v>2021</v>
      </c>
      <c r="K69" s="188">
        <v>2022</v>
      </c>
      <c r="L69" s="188">
        <v>2023</v>
      </c>
      <c r="M69" s="188">
        <v>2024</v>
      </c>
    </row>
    <row r="70" spans="7:13">
      <c r="H70" s="136" t="s">
        <v>6</v>
      </c>
      <c r="I70" s="136" t="s">
        <v>70</v>
      </c>
      <c r="J70" s="136">
        <f>SUMIFS($F$4:$F$64,$I$4:$I$64,$I70,$L$4:$L$64,J$69)</f>
        <v>0</v>
      </c>
      <c r="K70" s="136">
        <f t="shared" ref="K70:M77" si="0">SUMIFS($F$4:$F$64,$I$4:$I$64,$I70,$L$4:$L$64,K$69)</f>
        <v>1150</v>
      </c>
      <c r="L70" s="136">
        <f t="shared" si="0"/>
        <v>2260</v>
      </c>
      <c r="M70" s="136">
        <f t="shared" si="0"/>
        <v>4180</v>
      </c>
    </row>
    <row r="71" spans="7:13">
      <c r="H71" s="136" t="s">
        <v>13</v>
      </c>
      <c r="I71" s="136" t="s">
        <v>72</v>
      </c>
      <c r="J71" s="136">
        <f t="shared" ref="J71:J77" si="1">SUMIFS($F$4:$F$64,$I$4:$I$64,$I71,$L$4:$L$64,J$69)</f>
        <v>0</v>
      </c>
      <c r="K71" s="136">
        <f t="shared" si="0"/>
        <v>250</v>
      </c>
      <c r="L71" s="136">
        <f t="shared" si="0"/>
        <v>0</v>
      </c>
      <c r="M71" s="136">
        <f t="shared" si="0"/>
        <v>150</v>
      </c>
    </row>
    <row r="72" spans="7:13">
      <c r="H72" s="136" t="s">
        <v>9</v>
      </c>
      <c r="I72" s="136" t="s">
        <v>169</v>
      </c>
      <c r="J72" s="136">
        <f t="shared" si="1"/>
        <v>0</v>
      </c>
      <c r="K72" s="136">
        <f t="shared" si="0"/>
        <v>125</v>
      </c>
      <c r="L72" s="136">
        <f t="shared" si="0"/>
        <v>0</v>
      </c>
      <c r="M72" s="136">
        <f t="shared" si="0"/>
        <v>300</v>
      </c>
    </row>
    <row r="73" spans="7:13">
      <c r="H73" s="136" t="s">
        <v>0</v>
      </c>
      <c r="I73" s="136" t="s">
        <v>75</v>
      </c>
      <c r="J73" s="136">
        <f t="shared" si="1"/>
        <v>0</v>
      </c>
      <c r="K73" s="136">
        <f t="shared" si="0"/>
        <v>0</v>
      </c>
      <c r="L73" s="136">
        <f t="shared" si="0"/>
        <v>150</v>
      </c>
      <c r="M73" s="136">
        <f t="shared" si="0"/>
        <v>0</v>
      </c>
    </row>
    <row r="74" spans="7:13">
      <c r="H74" s="136" t="s">
        <v>14</v>
      </c>
      <c r="I74" s="136" t="s">
        <v>49</v>
      </c>
      <c r="J74" s="136">
        <f t="shared" si="1"/>
        <v>0</v>
      </c>
      <c r="K74" s="136">
        <f t="shared" si="0"/>
        <v>750</v>
      </c>
      <c r="L74" s="136">
        <f t="shared" si="0"/>
        <v>0</v>
      </c>
      <c r="M74" s="136">
        <f t="shared" si="0"/>
        <v>0</v>
      </c>
    </row>
    <row r="75" spans="7:13">
      <c r="H75" s="136" t="s">
        <v>29</v>
      </c>
      <c r="I75" s="136" t="s">
        <v>51</v>
      </c>
      <c r="J75" s="136">
        <f t="shared" si="1"/>
        <v>0</v>
      </c>
      <c r="K75" s="136">
        <f t="shared" si="0"/>
        <v>30</v>
      </c>
      <c r="L75" s="136">
        <f t="shared" si="0"/>
        <v>0</v>
      </c>
      <c r="M75" s="136">
        <f t="shared" si="0"/>
        <v>0</v>
      </c>
    </row>
    <row r="76" spans="7:13">
      <c r="H76" s="136" t="s">
        <v>93</v>
      </c>
      <c r="I76" s="136" t="s">
        <v>82</v>
      </c>
      <c r="J76" s="136">
        <f t="shared" si="1"/>
        <v>0</v>
      </c>
      <c r="K76" s="136">
        <f t="shared" si="0"/>
        <v>3</v>
      </c>
      <c r="L76" s="136">
        <f t="shared" si="0"/>
        <v>0</v>
      </c>
      <c r="M76" s="136">
        <f t="shared" si="0"/>
        <v>0</v>
      </c>
    </row>
    <row r="77" spans="7:13">
      <c r="H77" s="136" t="s">
        <v>19</v>
      </c>
      <c r="I77" s="136" t="s">
        <v>485</v>
      </c>
      <c r="J77" s="136">
        <f t="shared" si="1"/>
        <v>0</v>
      </c>
      <c r="K77" s="136">
        <f t="shared" si="0"/>
        <v>5</v>
      </c>
      <c r="L77" s="136">
        <f t="shared" si="0"/>
        <v>0</v>
      </c>
      <c r="M77" s="136">
        <f t="shared" si="0"/>
        <v>0</v>
      </c>
    </row>
    <row r="79" spans="7:13">
      <c r="G79" s="136" t="s">
        <v>486</v>
      </c>
      <c r="H79" s="136">
        <f>SUM(J70:M77)</f>
        <v>9353</v>
      </c>
    </row>
    <row r="80" spans="7:13">
      <c r="G80" s="136" t="s">
        <v>487</v>
      </c>
      <c r="H80" s="136">
        <f>SUM(F4:F64)-H79</f>
        <v>4463</v>
      </c>
    </row>
  </sheetData>
  <autoFilter ref="B3:Q64"/>
  <mergeCells count="2">
    <mergeCell ref="B1:Q1"/>
    <mergeCell ref="B2:Q2"/>
  </mergeCells>
  <hyperlinks>
    <hyperlink ref="R1" r:id="rId1"/>
  </hyperlinks>
  <pageMargins left="0.7" right="0.7" top="0.75" bottom="0.75" header="0.3" footer="0.3"/>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R70"/>
  <sheetViews>
    <sheetView zoomScaleNormal="100" workbookViewId="0"/>
  </sheetViews>
  <sheetFormatPr defaultRowHeight="12.75"/>
  <cols>
    <col min="1" max="1" width="9.140625" style="92"/>
    <col min="2" max="2" width="3.5703125" style="92" customWidth="1"/>
    <col min="3" max="3" width="20" style="92" customWidth="1"/>
    <col min="4" max="10" width="11.28515625" style="92" customWidth="1"/>
    <col min="11" max="11" width="17" style="92" customWidth="1"/>
    <col min="12" max="13" width="15.42578125" style="92" customWidth="1"/>
    <col min="14" max="14" width="13.5703125" style="92" bestFit="1" customWidth="1"/>
    <col min="15" max="15" width="14.140625" style="92" customWidth="1"/>
    <col min="16" max="16" width="13.140625" style="92" customWidth="1"/>
    <col min="17" max="17" width="10.7109375" style="92" customWidth="1"/>
    <col min="18" max="16384" width="9.140625" style="92"/>
  </cols>
  <sheetData>
    <row r="1" spans="1:18" ht="12.75" customHeight="1">
      <c r="B1" s="960" t="s">
        <v>502</v>
      </c>
      <c r="C1" s="961"/>
      <c r="D1" s="961"/>
      <c r="E1" s="961"/>
      <c r="F1" s="961"/>
      <c r="G1" s="961"/>
      <c r="H1" s="961"/>
      <c r="I1" s="961"/>
      <c r="J1" s="961"/>
      <c r="K1" s="961"/>
      <c r="L1" s="961"/>
      <c r="M1" s="961"/>
      <c r="N1" s="961"/>
      <c r="O1" s="961"/>
      <c r="P1" s="961"/>
      <c r="Q1" s="961"/>
      <c r="R1" s="92" t="s">
        <v>617</v>
      </c>
    </row>
    <row r="2" spans="1:18" ht="12.75" customHeight="1">
      <c r="B2" s="970" t="s">
        <v>555</v>
      </c>
      <c r="C2" s="971"/>
      <c r="D2" s="971"/>
      <c r="E2" s="971"/>
      <c r="F2" s="971"/>
      <c r="G2" s="971"/>
      <c r="H2" s="971"/>
      <c r="I2" s="971"/>
      <c r="J2" s="971"/>
      <c r="K2" s="971"/>
      <c r="L2" s="971"/>
      <c r="M2" s="971"/>
      <c r="N2" s="971"/>
      <c r="O2" s="971"/>
      <c r="P2" s="971"/>
      <c r="Q2" s="972"/>
    </row>
    <row r="3" spans="1:18" ht="56.1" customHeight="1">
      <c r="B3" s="189" t="s">
        <v>503</v>
      </c>
      <c r="C3" s="189" t="s">
        <v>266</v>
      </c>
      <c r="D3" s="190" t="s">
        <v>269</v>
      </c>
      <c r="E3" s="204" t="str">
        <f>'CEA-underConsWIND1'!B3</f>
        <v>SPV/ Parent/ Holding Company (Name of Project Company/ SPD)</v>
      </c>
      <c r="F3" s="204" t="str">
        <f>'CEA-underConsWIND1'!C3</f>
        <v>Capacity  (MW) (Awarded)</v>
      </c>
      <c r="G3" s="204" t="str">
        <f>'CEA-underConsWIND1'!D3</f>
        <v>Balance Capacity (MW)</v>
      </c>
      <c r="H3" s="204" t="str">
        <f>'CEA-underConsWIND1'!E3</f>
        <v>Bidding Scheme</v>
      </c>
      <c r="I3" s="204" t="str">
        <f>'CEA-underConsWIND1'!F3</f>
        <v>Type</v>
      </c>
      <c r="J3" s="204" t="str">
        <f>'CEA-underConsWIND1'!G3</f>
        <v>State</v>
      </c>
      <c r="K3" s="205" t="s">
        <v>556</v>
      </c>
      <c r="L3" s="205" t="s">
        <v>557</v>
      </c>
      <c r="M3" s="139" t="s">
        <v>946</v>
      </c>
      <c r="N3" s="190" t="s">
        <v>559</v>
      </c>
      <c r="O3" s="190" t="s">
        <v>560</v>
      </c>
      <c r="P3" s="205" t="s">
        <v>561</v>
      </c>
      <c r="Q3" s="205" t="s">
        <v>562</v>
      </c>
    </row>
    <row r="4" spans="1:18" ht="30" customHeight="1">
      <c r="A4" s="92" t="s">
        <v>8</v>
      </c>
      <c r="B4" s="206">
        <v>1</v>
      </c>
      <c r="C4" s="207" t="s">
        <v>563</v>
      </c>
      <c r="D4" s="208" t="s">
        <v>564</v>
      </c>
      <c r="E4" s="204" t="str">
        <f>'CEA-underConsWIND1'!B4</f>
        <v>Inox Wind Infrastructure Services Limited</v>
      </c>
      <c r="F4" s="204">
        <f>'CEA-underConsWIND1'!C4</f>
        <v>250</v>
      </c>
      <c r="G4" s="204">
        <f>'CEA-underConsWIND1'!D4</f>
        <v>50</v>
      </c>
      <c r="H4" s="204" t="str">
        <f>'CEA-underConsWIND1'!E4</f>
        <v>Tranche I</v>
      </c>
      <c r="I4" s="204" t="str">
        <f>'CEA-underConsWIND1'!F4</f>
        <v>Wind</v>
      </c>
      <c r="J4" s="204" t="str">
        <f>'CEA-underConsWIND1'!G4</f>
        <v>Gujarat</v>
      </c>
      <c r="K4" s="209">
        <v>43629</v>
      </c>
      <c r="L4" s="98"/>
      <c r="M4" s="210">
        <v>2021</v>
      </c>
      <c r="N4" s="197" t="s">
        <v>576</v>
      </c>
      <c r="O4" s="197" t="s">
        <v>565</v>
      </c>
      <c r="P4" s="197" t="s">
        <v>566</v>
      </c>
      <c r="Q4" s="98"/>
    </row>
    <row r="5" spans="1:18" ht="30" customHeight="1">
      <c r="A5" s="92" t="s">
        <v>8</v>
      </c>
      <c r="B5" s="206">
        <v>14</v>
      </c>
      <c r="C5" s="208" t="s">
        <v>574</v>
      </c>
      <c r="D5" s="208" t="s">
        <v>572</v>
      </c>
      <c r="E5" s="204" t="str">
        <f>'CEA-underConsWIND1'!B17</f>
        <v>Torrent Power Limited</v>
      </c>
      <c r="F5" s="204">
        <f>'CEA-underConsWIND1'!C17</f>
        <v>300.3</v>
      </c>
      <c r="G5" s="204">
        <f>'CEA-underConsWIND1'!D17</f>
        <v>300.3</v>
      </c>
      <c r="H5" s="204" t="str">
        <f>'CEA-underConsWIND1'!E17</f>
        <v>Tranche III</v>
      </c>
      <c r="I5" s="204" t="str">
        <f>'CEA-underConsWIND1'!F17</f>
        <v>Wind</v>
      </c>
      <c r="J5" s="204" t="str">
        <f>'CEA-underConsWIND1'!G17</f>
        <v>Gujarat</v>
      </c>
      <c r="K5" s="209">
        <v>43793</v>
      </c>
      <c r="L5" s="98"/>
      <c r="M5" s="341">
        <v>2022</v>
      </c>
      <c r="N5" s="197" t="s">
        <v>573</v>
      </c>
      <c r="O5" s="197" t="s">
        <v>570</v>
      </c>
      <c r="P5" s="197" t="s">
        <v>570</v>
      </c>
      <c r="Q5" s="204" t="s">
        <v>570</v>
      </c>
    </row>
    <row r="6" spans="1:18" ht="30" customHeight="1">
      <c r="A6" s="92" t="s">
        <v>8</v>
      </c>
      <c r="B6" s="206">
        <v>15</v>
      </c>
      <c r="C6" s="208" t="s">
        <v>574</v>
      </c>
      <c r="D6" s="208" t="s">
        <v>572</v>
      </c>
      <c r="E6" s="204" t="str">
        <f>'CEA-underConsWIND1'!B18</f>
        <v>Torrent Power Limited</v>
      </c>
      <c r="F6" s="204">
        <f>'CEA-underConsWIND1'!C18</f>
        <v>199.5</v>
      </c>
      <c r="G6" s="204">
        <f>'CEA-underConsWIND1'!D18</f>
        <v>199.5</v>
      </c>
      <c r="H6" s="204" t="str">
        <f>'CEA-underConsWIND1'!E18</f>
        <v>Tranche III</v>
      </c>
      <c r="I6" s="204" t="str">
        <f>'CEA-underConsWIND1'!F18</f>
        <v>Wind</v>
      </c>
      <c r="J6" s="204" t="str">
        <f>'CEA-underConsWIND1'!G18</f>
        <v>Gujarat</v>
      </c>
      <c r="K6" s="209">
        <v>43793</v>
      </c>
      <c r="L6" s="98"/>
      <c r="M6" s="341">
        <v>2022</v>
      </c>
      <c r="N6" s="197" t="s">
        <v>573</v>
      </c>
      <c r="O6" s="197" t="s">
        <v>570</v>
      </c>
      <c r="P6" s="197" t="s">
        <v>570</v>
      </c>
      <c r="Q6" s="204" t="s">
        <v>570</v>
      </c>
    </row>
    <row r="7" spans="1:18" ht="30" customHeight="1">
      <c r="A7" s="92" t="s">
        <v>8</v>
      </c>
      <c r="B7" s="206">
        <v>24</v>
      </c>
      <c r="C7" s="207" t="s">
        <v>591</v>
      </c>
      <c r="D7" s="208" t="s">
        <v>581</v>
      </c>
      <c r="E7" s="204" t="str">
        <f>'CEA-underConsWIND1'!B27</f>
        <v>Adani Renewable Energy (TN) Limited</v>
      </c>
      <c r="F7" s="204">
        <f>'CEA-underConsWIND1'!C27</f>
        <v>50</v>
      </c>
      <c r="G7" s="204">
        <f>'CEA-underConsWIND1'!D27</f>
        <v>50</v>
      </c>
      <c r="H7" s="204" t="str">
        <f>'CEA-underConsWIND1'!E27</f>
        <v>Tranche IV</v>
      </c>
      <c r="I7" s="204" t="str">
        <f>'CEA-underConsWIND1'!F27</f>
        <v>Wind</v>
      </c>
      <c r="J7" s="204" t="str">
        <f>'CEA-underConsWIND1'!G27</f>
        <v>Gujarat</v>
      </c>
      <c r="K7" s="209">
        <v>43889</v>
      </c>
      <c r="L7" s="98"/>
      <c r="M7" s="341">
        <v>2022</v>
      </c>
      <c r="N7" s="197" t="s">
        <v>573</v>
      </c>
      <c r="O7" s="200" t="s">
        <v>569</v>
      </c>
      <c r="P7" s="197" t="s">
        <v>592</v>
      </c>
      <c r="Q7" s="204" t="s">
        <v>569</v>
      </c>
    </row>
    <row r="8" spans="1:18" ht="30" customHeight="1">
      <c r="A8" s="92" t="s">
        <v>8</v>
      </c>
      <c r="B8" s="206">
        <v>25</v>
      </c>
      <c r="C8" s="207" t="s">
        <v>591</v>
      </c>
      <c r="D8" s="208" t="s">
        <v>581</v>
      </c>
      <c r="E8" s="204" t="str">
        <f>'CEA-underConsWIND1'!B28</f>
        <v>Adani Renewable Energy (TN) Limited</v>
      </c>
      <c r="F8" s="204">
        <f>'CEA-underConsWIND1'!C28</f>
        <v>50</v>
      </c>
      <c r="G8" s="204">
        <f>'CEA-underConsWIND1'!D28</f>
        <v>50</v>
      </c>
      <c r="H8" s="204" t="str">
        <f>'CEA-underConsWIND1'!E28</f>
        <v>Tranche IV</v>
      </c>
      <c r="I8" s="204" t="str">
        <f>'CEA-underConsWIND1'!F28</f>
        <v>Wind</v>
      </c>
      <c r="J8" s="204" t="str">
        <f>'CEA-underConsWIND1'!G28</f>
        <v>Gujarat</v>
      </c>
      <c r="K8" s="209">
        <v>43889</v>
      </c>
      <c r="L8" s="98"/>
      <c r="M8" s="341">
        <v>2022</v>
      </c>
      <c r="N8" s="197" t="s">
        <v>573</v>
      </c>
      <c r="O8" s="200" t="s">
        <v>569</v>
      </c>
      <c r="P8" s="197" t="s">
        <v>592</v>
      </c>
      <c r="Q8" s="204" t="s">
        <v>569</v>
      </c>
    </row>
    <row r="9" spans="1:18" ht="30" customHeight="1">
      <c r="A9" s="92" t="s">
        <v>8</v>
      </c>
      <c r="B9" s="206">
        <v>26</v>
      </c>
      <c r="C9" s="207" t="s">
        <v>591</v>
      </c>
      <c r="D9" s="208" t="s">
        <v>581</v>
      </c>
      <c r="E9" s="204" t="str">
        <f>'CEA-underConsWIND1'!B29</f>
        <v>Adani Renewable Energy (TN) Limited</v>
      </c>
      <c r="F9" s="204">
        <f>'CEA-underConsWIND1'!C29</f>
        <v>50</v>
      </c>
      <c r="G9" s="204">
        <f>'CEA-underConsWIND1'!D29</f>
        <v>50</v>
      </c>
      <c r="H9" s="204" t="str">
        <f>'CEA-underConsWIND1'!E29</f>
        <v>Tranche IV</v>
      </c>
      <c r="I9" s="204" t="str">
        <f>'CEA-underConsWIND1'!F29</f>
        <v>Wind</v>
      </c>
      <c r="J9" s="204" t="str">
        <f>'CEA-underConsWIND1'!G29</f>
        <v>Gujarat</v>
      </c>
      <c r="K9" s="209">
        <v>43889</v>
      </c>
      <c r="L9" s="98"/>
      <c r="M9" s="341">
        <v>2022</v>
      </c>
      <c r="N9" s="197" t="s">
        <v>573</v>
      </c>
      <c r="O9" s="200" t="s">
        <v>569</v>
      </c>
      <c r="P9" s="197" t="s">
        <v>592</v>
      </c>
      <c r="Q9" s="204" t="s">
        <v>569</v>
      </c>
    </row>
    <row r="10" spans="1:18" ht="30" customHeight="1">
      <c r="A10" s="92" t="s">
        <v>8</v>
      </c>
      <c r="B10" s="206">
        <v>27</v>
      </c>
      <c r="C10" s="207" t="s">
        <v>591</v>
      </c>
      <c r="D10" s="208" t="s">
        <v>581</v>
      </c>
      <c r="E10" s="204" t="str">
        <f>'CEA-underConsWIND1'!B30</f>
        <v>Adani Renewable Energy (TN) Limited</v>
      </c>
      <c r="F10" s="204">
        <f>'CEA-underConsWIND1'!C30</f>
        <v>50</v>
      </c>
      <c r="G10" s="204">
        <f>'CEA-underConsWIND1'!D30</f>
        <v>50</v>
      </c>
      <c r="H10" s="204" t="str">
        <f>'CEA-underConsWIND1'!E30</f>
        <v>Tranche IV</v>
      </c>
      <c r="I10" s="204" t="str">
        <f>'CEA-underConsWIND1'!F30</f>
        <v>Wind</v>
      </c>
      <c r="J10" s="204" t="str">
        <f>'CEA-underConsWIND1'!G30</f>
        <v>Gujarat</v>
      </c>
      <c r="K10" s="209">
        <v>43889</v>
      </c>
      <c r="L10" s="98"/>
      <c r="M10" s="341">
        <v>2022</v>
      </c>
      <c r="N10" s="197" t="s">
        <v>573</v>
      </c>
      <c r="O10" s="200" t="s">
        <v>569</v>
      </c>
      <c r="P10" s="197" t="s">
        <v>592</v>
      </c>
      <c r="Q10" s="204" t="s">
        <v>569</v>
      </c>
    </row>
    <row r="11" spans="1:18" ht="30" customHeight="1">
      <c r="A11" s="92" t="s">
        <v>8</v>
      </c>
      <c r="B11" s="206">
        <v>28</v>
      </c>
      <c r="C11" s="207" t="s">
        <v>591</v>
      </c>
      <c r="D11" s="208" t="s">
        <v>581</v>
      </c>
      <c r="E11" s="204" t="str">
        <f>'CEA-underConsWIND1'!B31</f>
        <v>Adani Renewable Energy (TN) Limited</v>
      </c>
      <c r="F11" s="204">
        <f>'CEA-underConsWIND1'!C31</f>
        <v>50</v>
      </c>
      <c r="G11" s="204">
        <f>'CEA-underConsWIND1'!D31</f>
        <v>50</v>
      </c>
      <c r="H11" s="204" t="str">
        <f>'CEA-underConsWIND1'!E31</f>
        <v>Tranche IV</v>
      </c>
      <c r="I11" s="204" t="str">
        <f>'CEA-underConsWIND1'!F31</f>
        <v>Wind</v>
      </c>
      <c r="J11" s="204" t="str">
        <f>'CEA-underConsWIND1'!G31</f>
        <v>Gujarat</v>
      </c>
      <c r="K11" s="209">
        <v>43889</v>
      </c>
      <c r="L11" s="98"/>
      <c r="M11" s="341">
        <v>2022</v>
      </c>
      <c r="N11" s="197" t="s">
        <v>573</v>
      </c>
      <c r="O11" s="200" t="s">
        <v>569</v>
      </c>
      <c r="P11" s="197" t="s">
        <v>592</v>
      </c>
      <c r="Q11" s="204" t="s">
        <v>569</v>
      </c>
    </row>
    <row r="12" spans="1:18" ht="30" customHeight="1">
      <c r="A12" s="92" t="s">
        <v>8</v>
      </c>
      <c r="B12" s="206">
        <v>29</v>
      </c>
      <c r="C12" s="207" t="s">
        <v>591</v>
      </c>
      <c r="D12" s="208" t="s">
        <v>581</v>
      </c>
      <c r="E12" s="204" t="str">
        <f>'CEA-underConsWIND1'!B32</f>
        <v>Adani Renewable Energy (TN) Limited</v>
      </c>
      <c r="F12" s="204">
        <f>'CEA-underConsWIND1'!C32</f>
        <v>50</v>
      </c>
      <c r="G12" s="204">
        <f>'CEA-underConsWIND1'!D32</f>
        <v>50</v>
      </c>
      <c r="H12" s="204" t="str">
        <f>'CEA-underConsWIND1'!E32</f>
        <v>Tranche IV</v>
      </c>
      <c r="I12" s="204" t="str">
        <f>'CEA-underConsWIND1'!F32</f>
        <v>Wind</v>
      </c>
      <c r="J12" s="204" t="str">
        <f>'CEA-underConsWIND1'!G32</f>
        <v>Gujarat</v>
      </c>
      <c r="K12" s="209">
        <v>43889</v>
      </c>
      <c r="L12" s="98"/>
      <c r="M12" s="341">
        <v>2022</v>
      </c>
      <c r="N12" s="197" t="s">
        <v>573</v>
      </c>
      <c r="O12" s="200" t="s">
        <v>569</v>
      </c>
      <c r="P12" s="197" t="s">
        <v>592</v>
      </c>
      <c r="Q12" s="204" t="s">
        <v>569</v>
      </c>
    </row>
    <row r="13" spans="1:18" ht="30" customHeight="1">
      <c r="A13" s="92" t="s">
        <v>12</v>
      </c>
      <c r="B13" s="206">
        <v>30</v>
      </c>
      <c r="C13" s="207" t="s">
        <v>593</v>
      </c>
      <c r="D13" s="208" t="s">
        <v>581</v>
      </c>
      <c r="E13" s="204" t="str">
        <f>'CEA-underConsWIND1'!B33</f>
        <v>Mytrah Vayu (Brahmaput ra) Pvt Ltd</v>
      </c>
      <c r="F13" s="204">
        <f>'CEA-underConsWIND1'!C33</f>
        <v>300</v>
      </c>
      <c r="G13" s="204">
        <f>'CEA-underConsWIND1'!D33</f>
        <v>300</v>
      </c>
      <c r="H13" s="204" t="str">
        <f>'CEA-underConsWIND1'!E33</f>
        <v>Tranche IV</v>
      </c>
      <c r="I13" s="204" t="str">
        <f>'CEA-underConsWIND1'!F33</f>
        <v>Wind</v>
      </c>
      <c r="J13" s="204" t="str">
        <f>'CEA-underConsWIND1'!G33</f>
        <v>Kerela</v>
      </c>
      <c r="K13" s="209">
        <v>44071</v>
      </c>
      <c r="L13" s="98"/>
      <c r="M13" s="341">
        <v>2022</v>
      </c>
      <c r="N13" s="197" t="s">
        <v>573</v>
      </c>
      <c r="O13" s="197" t="s">
        <v>588</v>
      </c>
      <c r="P13" s="98"/>
      <c r="Q13" s="98"/>
    </row>
    <row r="14" spans="1:18" ht="30" customHeight="1">
      <c r="A14" s="92" t="s">
        <v>8</v>
      </c>
      <c r="B14" s="206">
        <v>31</v>
      </c>
      <c r="C14" s="207" t="s">
        <v>594</v>
      </c>
      <c r="D14" s="208" t="s">
        <v>581</v>
      </c>
      <c r="E14" s="204" t="str">
        <f>'CEA-underConsWIND1'!B34</f>
        <v>ReNew Wind Energy (TN) Private Limited</v>
      </c>
      <c r="F14" s="204">
        <f>'CEA-underConsWIND1'!C34</f>
        <v>265</v>
      </c>
      <c r="G14" s="204">
        <f>'CEA-underConsWIND1'!D34</f>
        <v>265</v>
      </c>
      <c r="H14" s="204" t="str">
        <f>'CEA-underConsWIND1'!E34</f>
        <v>Tranche IV</v>
      </c>
      <c r="I14" s="204" t="str">
        <f>'CEA-underConsWIND1'!F34</f>
        <v>Wind</v>
      </c>
      <c r="J14" s="204" t="str">
        <f>'CEA-underConsWIND1'!G34</f>
        <v>Gujarat</v>
      </c>
      <c r="K14" s="209">
        <v>43889</v>
      </c>
      <c r="L14" s="98"/>
      <c r="M14" s="341">
        <v>2022</v>
      </c>
      <c r="N14" s="197" t="s">
        <v>573</v>
      </c>
      <c r="O14" s="197" t="s">
        <v>588</v>
      </c>
      <c r="P14" s="98"/>
      <c r="Q14" s="98"/>
    </row>
    <row r="15" spans="1:18" ht="30" customHeight="1">
      <c r="A15" s="92" t="s">
        <v>8</v>
      </c>
      <c r="B15" s="206">
        <v>2</v>
      </c>
      <c r="C15" s="211" t="s">
        <v>567</v>
      </c>
      <c r="D15" s="208" t="s">
        <v>568</v>
      </c>
      <c r="E15" s="204" t="str">
        <f>'CEA-underConsWIND1'!B5</f>
        <v>ReNew Power Ventures Private Limited</v>
      </c>
      <c r="F15" s="204">
        <f>'CEA-underConsWIND1'!C5</f>
        <v>250</v>
      </c>
      <c r="G15" s="204">
        <f>'CEA-underConsWIND1'!D5</f>
        <v>65.5</v>
      </c>
      <c r="H15" s="204" t="str">
        <f>'CEA-underConsWIND1'!E5</f>
        <v>Tranche II</v>
      </c>
      <c r="I15" s="204" t="str">
        <f>'CEA-underConsWIND1'!F5</f>
        <v>Wind</v>
      </c>
      <c r="J15" s="204" t="str">
        <f>'CEA-underConsWIND1'!G5</f>
        <v>Gujarat</v>
      </c>
      <c r="K15" s="209">
        <v>43588</v>
      </c>
      <c r="L15" s="98"/>
      <c r="M15" s="341">
        <v>2022</v>
      </c>
      <c r="N15" s="197" t="s">
        <v>576</v>
      </c>
      <c r="O15" s="98"/>
      <c r="P15" s="98"/>
      <c r="Q15" s="98"/>
    </row>
    <row r="16" spans="1:18" ht="30" customHeight="1">
      <c r="A16" s="92" t="s">
        <v>8</v>
      </c>
      <c r="B16" s="206">
        <v>3</v>
      </c>
      <c r="C16" s="207" t="s">
        <v>563</v>
      </c>
      <c r="D16" s="208" t="s">
        <v>568</v>
      </c>
      <c r="E16" s="204" t="str">
        <f>'CEA-underConsWIND1'!B6</f>
        <v>Inox Wind Infrastructure Services Limited</v>
      </c>
      <c r="F16" s="204">
        <f>'CEA-underConsWIND1'!C6</f>
        <v>50</v>
      </c>
      <c r="G16" s="204">
        <f>'CEA-underConsWIND1'!D6</f>
        <v>50</v>
      </c>
      <c r="H16" s="204" t="str">
        <f>'CEA-underConsWIND1'!E6</f>
        <v>Tranche II</v>
      </c>
      <c r="I16" s="204" t="str">
        <f>'CEA-underConsWIND1'!F6</f>
        <v>Wind</v>
      </c>
      <c r="J16" s="204" t="str">
        <f>'CEA-underConsWIND1'!G6</f>
        <v>Gujarat</v>
      </c>
      <c r="K16" s="209">
        <v>43588</v>
      </c>
      <c r="L16" s="98"/>
      <c r="M16" s="341">
        <v>2022</v>
      </c>
      <c r="N16" s="197" t="s">
        <v>576</v>
      </c>
      <c r="O16" s="200" t="s">
        <v>569</v>
      </c>
      <c r="P16" s="197" t="s">
        <v>570</v>
      </c>
      <c r="Q16" s="204" t="s">
        <v>570</v>
      </c>
    </row>
    <row r="17" spans="1:17" ht="30" customHeight="1">
      <c r="A17" s="92" t="s">
        <v>8</v>
      </c>
      <c r="B17" s="206">
        <v>4</v>
      </c>
      <c r="C17" s="207" t="s">
        <v>563</v>
      </c>
      <c r="D17" s="208" t="s">
        <v>568</v>
      </c>
      <c r="E17" s="204" t="str">
        <f>'CEA-underConsWIND1'!B7</f>
        <v>Inox Wind Infrastructure Services Limited</v>
      </c>
      <c r="F17" s="204">
        <f>'CEA-underConsWIND1'!C7</f>
        <v>50</v>
      </c>
      <c r="G17" s="204">
        <f>'CEA-underConsWIND1'!D7</f>
        <v>50</v>
      </c>
      <c r="H17" s="204" t="str">
        <f>'CEA-underConsWIND1'!E7</f>
        <v>Tranche II</v>
      </c>
      <c r="I17" s="204" t="str">
        <f>'CEA-underConsWIND1'!F7</f>
        <v>Wind</v>
      </c>
      <c r="J17" s="204" t="str">
        <f>'CEA-underConsWIND1'!G7</f>
        <v>Gujarat</v>
      </c>
      <c r="K17" s="209">
        <v>43588</v>
      </c>
      <c r="L17" s="98"/>
      <c r="M17" s="341">
        <v>2022</v>
      </c>
      <c r="N17" s="197" t="s">
        <v>576</v>
      </c>
      <c r="O17" s="200" t="s">
        <v>569</v>
      </c>
      <c r="P17" s="197" t="s">
        <v>570</v>
      </c>
      <c r="Q17" s="204" t="s">
        <v>570</v>
      </c>
    </row>
    <row r="18" spans="1:17" ht="30" customHeight="1">
      <c r="A18" s="92" t="s">
        <v>8</v>
      </c>
      <c r="B18" s="206">
        <v>5</v>
      </c>
      <c r="C18" s="207" t="s">
        <v>563</v>
      </c>
      <c r="D18" s="208" t="s">
        <v>568</v>
      </c>
      <c r="E18" s="204" t="str">
        <f>'CEA-underConsWIND1'!B8</f>
        <v>Inox Wind Infrastructure Services Limited</v>
      </c>
      <c r="F18" s="204">
        <f>'CEA-underConsWIND1'!C8</f>
        <v>50</v>
      </c>
      <c r="G18" s="204">
        <f>'CEA-underConsWIND1'!D8</f>
        <v>50</v>
      </c>
      <c r="H18" s="204" t="str">
        <f>'CEA-underConsWIND1'!E8</f>
        <v>Tranche II</v>
      </c>
      <c r="I18" s="204" t="str">
        <f>'CEA-underConsWIND1'!F8</f>
        <v>Wind</v>
      </c>
      <c r="J18" s="204" t="str">
        <f>'CEA-underConsWIND1'!G8</f>
        <v>Gujarat</v>
      </c>
      <c r="K18" s="209">
        <v>43588</v>
      </c>
      <c r="L18" s="98"/>
      <c r="M18" s="341">
        <v>2022</v>
      </c>
      <c r="N18" s="197" t="s">
        <v>576</v>
      </c>
      <c r="O18" s="200" t="s">
        <v>569</v>
      </c>
      <c r="P18" s="197" t="s">
        <v>570</v>
      </c>
      <c r="Q18" s="204" t="s">
        <v>570</v>
      </c>
    </row>
    <row r="19" spans="1:17" ht="30" customHeight="1">
      <c r="A19" s="92" t="s">
        <v>8</v>
      </c>
      <c r="B19" s="206">
        <v>6</v>
      </c>
      <c r="C19" s="207" t="s">
        <v>563</v>
      </c>
      <c r="D19" s="208" t="s">
        <v>568</v>
      </c>
      <c r="E19" s="204" t="str">
        <f>'CEA-underConsWIND1'!B9</f>
        <v>Inox Wind Infrastructure Services Limited</v>
      </c>
      <c r="F19" s="204">
        <f>'CEA-underConsWIND1'!C9</f>
        <v>50</v>
      </c>
      <c r="G19" s="204">
        <f>'CEA-underConsWIND1'!D9</f>
        <v>50</v>
      </c>
      <c r="H19" s="204" t="str">
        <f>'CEA-underConsWIND1'!E9</f>
        <v>Tranche II</v>
      </c>
      <c r="I19" s="204" t="str">
        <f>'CEA-underConsWIND1'!F9</f>
        <v>Wind</v>
      </c>
      <c r="J19" s="204" t="str">
        <f>'CEA-underConsWIND1'!G9</f>
        <v>Gujarat</v>
      </c>
      <c r="K19" s="209">
        <v>43588</v>
      </c>
      <c r="L19" s="98"/>
      <c r="M19" s="341">
        <v>2022</v>
      </c>
      <c r="N19" s="197" t="s">
        <v>576</v>
      </c>
      <c r="O19" s="200" t="s">
        <v>569</v>
      </c>
      <c r="P19" s="197" t="s">
        <v>570</v>
      </c>
      <c r="Q19" s="204" t="s">
        <v>570</v>
      </c>
    </row>
    <row r="20" spans="1:17" ht="30" customHeight="1">
      <c r="A20" s="92" t="s">
        <v>8</v>
      </c>
      <c r="B20" s="206">
        <v>17</v>
      </c>
      <c r="C20" s="207" t="s">
        <v>578</v>
      </c>
      <c r="D20" s="208" t="s">
        <v>572</v>
      </c>
      <c r="E20" s="204" t="str">
        <f>'CEA-underConsWIND1'!B20</f>
        <v>Adani Green Energy (MP) Limited</v>
      </c>
      <c r="F20" s="204">
        <f>'CEA-underConsWIND1'!C20</f>
        <v>250</v>
      </c>
      <c r="G20" s="204">
        <f>'CEA-underConsWIND1'!D20</f>
        <v>250</v>
      </c>
      <c r="H20" s="204" t="str">
        <f>'CEA-underConsWIND1'!E20</f>
        <v>Tranche III</v>
      </c>
      <c r="I20" s="204" t="str">
        <f>'CEA-underConsWIND1'!F20</f>
        <v>Wind</v>
      </c>
      <c r="J20" s="204" t="str">
        <f>'CEA-underConsWIND1'!G20</f>
        <v>Gujarat</v>
      </c>
      <c r="K20" s="209">
        <v>43793</v>
      </c>
      <c r="L20" s="212">
        <v>44098</v>
      </c>
      <c r="M20" s="210">
        <v>2022</v>
      </c>
      <c r="N20" s="197" t="s">
        <v>576</v>
      </c>
      <c r="O20" s="197" t="s">
        <v>565</v>
      </c>
      <c r="P20" s="197" t="s">
        <v>577</v>
      </c>
      <c r="Q20" s="204" t="s">
        <v>579</v>
      </c>
    </row>
    <row r="21" spans="1:17" ht="30" customHeight="1">
      <c r="A21" s="92" t="s">
        <v>8</v>
      </c>
      <c r="B21" s="206">
        <v>7</v>
      </c>
      <c r="C21" s="207" t="s">
        <v>563</v>
      </c>
      <c r="D21" s="208" t="s">
        <v>568</v>
      </c>
      <c r="E21" s="204" t="str">
        <f>'CEA-underConsWIND1'!B10</f>
        <v>Inox Wind Infrastructure Services Limited</v>
      </c>
      <c r="F21" s="204">
        <f>'CEA-underConsWIND1'!C10</f>
        <v>50</v>
      </c>
      <c r="G21" s="204">
        <f>'CEA-underConsWIND1'!D10</f>
        <v>50</v>
      </c>
      <c r="H21" s="204" t="str">
        <f>'CEA-underConsWIND1'!E10</f>
        <v>Tranche II</v>
      </c>
      <c r="I21" s="204" t="str">
        <f>'CEA-underConsWIND1'!F10</f>
        <v>Wind</v>
      </c>
      <c r="J21" s="204" t="str">
        <f>'CEA-underConsWIND1'!G10</f>
        <v>Gujarat</v>
      </c>
      <c r="K21" s="209">
        <v>43588</v>
      </c>
      <c r="L21" s="98"/>
      <c r="M21" s="341">
        <v>2022</v>
      </c>
      <c r="N21" s="197" t="s">
        <v>576</v>
      </c>
      <c r="O21" s="200" t="s">
        <v>569</v>
      </c>
      <c r="P21" s="197" t="s">
        <v>570</v>
      </c>
      <c r="Q21" s="204" t="s">
        <v>570</v>
      </c>
    </row>
    <row r="22" spans="1:17" ht="30" customHeight="1">
      <c r="A22" s="92" t="s">
        <v>8</v>
      </c>
      <c r="B22" s="206">
        <v>18</v>
      </c>
      <c r="C22" s="207" t="s">
        <v>580</v>
      </c>
      <c r="D22" s="208" t="s">
        <v>581</v>
      </c>
      <c r="E22" s="204" t="str">
        <f>'CEA-underConsWIND1'!B21</f>
        <v>Srijan Energy Systems Private Limited</v>
      </c>
      <c r="F22" s="204">
        <f>'CEA-underConsWIND1'!C21</f>
        <v>250</v>
      </c>
      <c r="G22" s="204">
        <f>'CEA-underConsWIND1'!D21</f>
        <v>250</v>
      </c>
      <c r="H22" s="204" t="str">
        <f>'CEA-underConsWIND1'!E21</f>
        <v>Tranche IV</v>
      </c>
      <c r="I22" s="204" t="str">
        <f>'CEA-underConsWIND1'!F21</f>
        <v>Wind</v>
      </c>
      <c r="J22" s="204" t="str">
        <f>'CEA-underConsWIND1'!G21</f>
        <v>Gujarat</v>
      </c>
      <c r="K22" s="209">
        <v>44165</v>
      </c>
      <c r="L22" s="98"/>
      <c r="M22" s="341">
        <v>2023</v>
      </c>
      <c r="N22" s="197" t="s">
        <v>573</v>
      </c>
      <c r="O22" s="98"/>
      <c r="P22" s="98"/>
      <c r="Q22" s="213" t="s">
        <v>582</v>
      </c>
    </row>
    <row r="23" spans="1:17" ht="30" customHeight="1">
      <c r="A23" s="92" t="s">
        <v>13</v>
      </c>
      <c r="B23" s="206">
        <v>19</v>
      </c>
      <c r="C23" s="207" t="s">
        <v>583</v>
      </c>
      <c r="D23" s="208" t="s">
        <v>581</v>
      </c>
      <c r="E23" s="204" t="str">
        <f>'CEA-underConsWIND1'!B22</f>
        <v>Sprng Renewable Energy Private Limited</v>
      </c>
      <c r="F23" s="204">
        <f>'CEA-underConsWIND1'!C22</f>
        <v>300</v>
      </c>
      <c r="G23" s="204">
        <f>'CEA-underConsWIND1'!D22</f>
        <v>300</v>
      </c>
      <c r="H23" s="204" t="str">
        <f>'CEA-underConsWIND1'!E22</f>
        <v>Tranche IV</v>
      </c>
      <c r="I23" s="204" t="str">
        <f>'CEA-underConsWIND1'!F22</f>
        <v>Wind</v>
      </c>
      <c r="J23" s="204" t="str">
        <f>'CEA-underConsWIND1'!G22</f>
        <v>Tamil Nadu</v>
      </c>
      <c r="K23" s="209">
        <v>44071</v>
      </c>
      <c r="L23" s="212">
        <v>44169</v>
      </c>
      <c r="M23" s="341">
        <v>2023</v>
      </c>
      <c r="N23" s="197" t="s">
        <v>576</v>
      </c>
      <c r="O23" s="200" t="s">
        <v>569</v>
      </c>
      <c r="P23" s="197" t="s">
        <v>577</v>
      </c>
      <c r="Q23" s="204" t="s">
        <v>584</v>
      </c>
    </row>
    <row r="24" spans="1:17" ht="30" customHeight="1">
      <c r="A24" s="92" t="s">
        <v>8</v>
      </c>
      <c r="B24" s="206">
        <v>20</v>
      </c>
      <c r="C24" s="207" t="s">
        <v>585</v>
      </c>
      <c r="D24" s="208" t="s">
        <v>581</v>
      </c>
      <c r="E24" s="204" t="str">
        <f>'CEA-underConsWIND1'!B23</f>
        <v>Avikiran Solar India Pvt Ltd.</v>
      </c>
      <c r="F24" s="204">
        <f>'CEA-underConsWIND1'!C23</f>
        <v>285</v>
      </c>
      <c r="G24" s="204">
        <f>'CEA-underConsWIND1'!D23</f>
        <v>285</v>
      </c>
      <c r="H24" s="204" t="str">
        <f>'CEA-underConsWIND1'!E23</f>
        <v>Tranche IV</v>
      </c>
      <c r="I24" s="204" t="str">
        <f>'CEA-underConsWIND1'!F23</f>
        <v>Wind</v>
      </c>
      <c r="J24" s="204" t="str">
        <f>'CEA-underConsWIND1'!G23</f>
        <v>Gujarat</v>
      </c>
      <c r="K24" s="209">
        <v>43904</v>
      </c>
      <c r="L24" s="212">
        <v>43987</v>
      </c>
      <c r="M24" s="341">
        <v>2023</v>
      </c>
      <c r="N24" s="197" t="s">
        <v>573</v>
      </c>
      <c r="O24" s="200" t="s">
        <v>569</v>
      </c>
      <c r="P24" s="197" t="s">
        <v>586</v>
      </c>
      <c r="Q24" s="204" t="s">
        <v>584</v>
      </c>
    </row>
    <row r="25" spans="1:17" ht="30" customHeight="1">
      <c r="A25" s="92" t="s">
        <v>13</v>
      </c>
      <c r="B25" s="206">
        <v>21</v>
      </c>
      <c r="C25" s="207" t="s">
        <v>587</v>
      </c>
      <c r="D25" s="208" t="s">
        <v>581</v>
      </c>
      <c r="E25" s="204" t="str">
        <f>'CEA-underConsWIND1'!B24</f>
        <v>Vivid Solaire Energy Pvt. Ltd.</v>
      </c>
      <c r="F25" s="204">
        <f>'CEA-underConsWIND1'!C24</f>
        <v>200</v>
      </c>
      <c r="G25" s="204">
        <f>'CEA-underConsWIND1'!D24</f>
        <v>200</v>
      </c>
      <c r="H25" s="204" t="str">
        <f>'CEA-underConsWIND1'!E24</f>
        <v>Tranche IV</v>
      </c>
      <c r="I25" s="204" t="str">
        <f>'CEA-underConsWIND1'!F24</f>
        <v>Wind</v>
      </c>
      <c r="J25" s="204" t="str">
        <f>'CEA-underConsWIND1'!G24</f>
        <v>Tamil Nadu</v>
      </c>
      <c r="K25" s="209">
        <v>44071</v>
      </c>
      <c r="L25" s="212">
        <v>44169</v>
      </c>
      <c r="M25" s="341">
        <v>2023</v>
      </c>
      <c r="N25" s="197" t="s">
        <v>573</v>
      </c>
      <c r="O25" s="98"/>
      <c r="P25" s="98"/>
      <c r="Q25" s="98"/>
    </row>
    <row r="26" spans="1:17" ht="30" customHeight="1">
      <c r="A26" s="92" t="s">
        <v>101</v>
      </c>
      <c r="B26" s="206">
        <v>32</v>
      </c>
      <c r="C26" s="208" t="s">
        <v>574</v>
      </c>
      <c r="D26" s="208" t="s">
        <v>595</v>
      </c>
      <c r="E26" s="204" t="str">
        <f>'CEA-underConsWIND1'!B35</f>
        <v>Torrent Power Limited</v>
      </c>
      <c r="F26" s="204">
        <f>'CEA-underConsWIND1'!C35</f>
        <v>115</v>
      </c>
      <c r="G26" s="204">
        <f>'CEA-underConsWIND1'!D35</f>
        <v>115</v>
      </c>
      <c r="H26" s="204" t="str">
        <f>'CEA-underConsWIND1'!E35</f>
        <v>Tranche V</v>
      </c>
      <c r="I26" s="204" t="str">
        <f>'CEA-underConsWIND1'!F35</f>
        <v>Wind</v>
      </c>
      <c r="J26" s="204">
        <f>'CEA-underConsWIND1'!G35</f>
        <v>0</v>
      </c>
      <c r="K26" s="209">
        <v>44034</v>
      </c>
      <c r="L26" s="212">
        <v>44132</v>
      </c>
      <c r="M26" s="341">
        <v>2023</v>
      </c>
      <c r="N26" s="197" t="s">
        <v>573</v>
      </c>
      <c r="O26" s="197" t="s">
        <v>588</v>
      </c>
      <c r="P26" s="98"/>
      <c r="Q26" s="98"/>
    </row>
    <row r="27" spans="1:17" ht="30" customHeight="1">
      <c r="A27" s="92" t="s">
        <v>8</v>
      </c>
      <c r="B27" s="206">
        <v>35</v>
      </c>
      <c r="C27" s="207" t="s">
        <v>600</v>
      </c>
      <c r="D27" s="208" t="s">
        <v>595</v>
      </c>
      <c r="E27" s="204" t="str">
        <f>'CEA-underConsWIND1'!B38</f>
        <v>Sitac Kabini Renewables Private Limited</v>
      </c>
      <c r="F27" s="204">
        <f>'CEA-underConsWIND1'!C38</f>
        <v>300</v>
      </c>
      <c r="G27" s="204">
        <f>'CEA-underConsWIND1'!D38</f>
        <v>300</v>
      </c>
      <c r="H27" s="204" t="str">
        <f>'CEA-underConsWIND1'!E38</f>
        <v>Tranche V</v>
      </c>
      <c r="I27" s="204" t="str">
        <f>'CEA-underConsWIND1'!F38</f>
        <v>Wind</v>
      </c>
      <c r="J27" s="204" t="str">
        <f>'CEA-underConsWIND1'!G38</f>
        <v>Gujarat</v>
      </c>
      <c r="K27" s="209">
        <v>44196</v>
      </c>
      <c r="L27" s="212">
        <v>43929</v>
      </c>
      <c r="M27" s="341">
        <v>2023</v>
      </c>
      <c r="N27" s="197" t="s">
        <v>576</v>
      </c>
      <c r="O27" s="200" t="s">
        <v>579</v>
      </c>
      <c r="P27" s="197" t="s">
        <v>599</v>
      </c>
      <c r="Q27" s="204" t="s">
        <v>570</v>
      </c>
    </row>
    <row r="28" spans="1:17" ht="30" customHeight="1">
      <c r="A28" s="92" t="s">
        <v>11</v>
      </c>
      <c r="B28" s="206">
        <v>36</v>
      </c>
      <c r="C28" s="207" t="s">
        <v>601</v>
      </c>
      <c r="D28" s="208" t="s">
        <v>595</v>
      </c>
      <c r="E28" s="204" t="str">
        <f>'CEA-underConsWIND1'!B39</f>
        <v>Ecoren Energy India Private Limited</v>
      </c>
      <c r="F28" s="204">
        <f>'CEA-underConsWIND1'!C39</f>
        <v>175</v>
      </c>
      <c r="G28" s="204">
        <f>'CEA-underConsWIND1'!D39</f>
        <v>175</v>
      </c>
      <c r="H28" s="204" t="str">
        <f>'CEA-underConsWIND1'!E39</f>
        <v>Tranche V</v>
      </c>
      <c r="I28" s="204" t="str">
        <f>'CEA-underConsWIND1'!F39</f>
        <v>Wind</v>
      </c>
      <c r="J28" s="204" t="str">
        <f>'CEA-underConsWIND1'!G39</f>
        <v>Karnataka</v>
      </c>
      <c r="K28" s="209">
        <v>44034</v>
      </c>
      <c r="L28" s="212">
        <v>44132</v>
      </c>
      <c r="M28" s="341">
        <v>2023</v>
      </c>
      <c r="N28" s="197" t="s">
        <v>573</v>
      </c>
      <c r="O28" s="197" t="s">
        <v>588</v>
      </c>
      <c r="P28" s="197" t="s">
        <v>589</v>
      </c>
      <c r="Q28" s="197" t="s">
        <v>602</v>
      </c>
    </row>
    <row r="29" spans="1:17" ht="30" customHeight="1">
      <c r="A29" s="92" t="s">
        <v>8</v>
      </c>
      <c r="B29" s="206">
        <v>37</v>
      </c>
      <c r="C29" s="207" t="s">
        <v>603</v>
      </c>
      <c r="D29" s="208" t="s">
        <v>604</v>
      </c>
      <c r="E29" s="204" t="str">
        <f>'CEA-underConsWIND1'!B40</f>
        <v>Adani Renewable Energy Park (Gujarat) Limited</v>
      </c>
      <c r="F29" s="204">
        <f>'CEA-underConsWIND1'!C40</f>
        <v>250</v>
      </c>
      <c r="G29" s="204">
        <f>'CEA-underConsWIND1'!D40</f>
        <v>250</v>
      </c>
      <c r="H29" s="204" t="str">
        <f>'CEA-underConsWIND1'!E40</f>
        <v>Tranche VI</v>
      </c>
      <c r="I29" s="204" t="str">
        <f>'CEA-underConsWIND1'!F40</f>
        <v>Wind</v>
      </c>
      <c r="J29" s="204" t="str">
        <f>'CEA-underConsWIND1'!G40</f>
        <v>Gujarat</v>
      </c>
      <c r="K29" s="209">
        <v>44270</v>
      </c>
      <c r="L29" s="212">
        <v>44454</v>
      </c>
      <c r="M29" s="341">
        <v>2023</v>
      </c>
      <c r="N29" s="197" t="s">
        <v>573</v>
      </c>
      <c r="O29" s="200" t="s">
        <v>569</v>
      </c>
      <c r="P29" s="197" t="s">
        <v>586</v>
      </c>
      <c r="Q29" s="204" t="s">
        <v>579</v>
      </c>
    </row>
    <row r="30" spans="1:17" ht="30" customHeight="1">
      <c r="A30" s="92" t="s">
        <v>9</v>
      </c>
      <c r="B30" s="206">
        <v>38</v>
      </c>
      <c r="C30" s="207" t="s">
        <v>594</v>
      </c>
      <c r="D30" s="208" t="s">
        <v>604</v>
      </c>
      <c r="E30" s="204" t="str">
        <f>'CEA-underConsWIND1'!B41</f>
        <v>ReNew Wind Energy (TN) Private Limited</v>
      </c>
      <c r="F30" s="204">
        <f>'CEA-underConsWIND1'!C41</f>
        <v>300</v>
      </c>
      <c r="G30" s="204">
        <f>'CEA-underConsWIND1'!D41</f>
        <v>300</v>
      </c>
      <c r="H30" s="204" t="str">
        <f>'CEA-underConsWIND1'!E41</f>
        <v>Tranche VI</v>
      </c>
      <c r="I30" s="204" t="str">
        <f>'CEA-underConsWIND1'!F41</f>
        <v>Wind</v>
      </c>
      <c r="J30" s="204" t="str">
        <f>'CEA-underConsWIND1'!G41</f>
        <v>Madhya Pradesh</v>
      </c>
      <c r="K30" s="209">
        <v>44270</v>
      </c>
      <c r="L30" s="98"/>
      <c r="M30" s="341">
        <v>2023</v>
      </c>
      <c r="N30" s="197" t="s">
        <v>573</v>
      </c>
      <c r="O30" s="200" t="s">
        <v>569</v>
      </c>
      <c r="P30" s="98"/>
      <c r="Q30" s="98"/>
    </row>
    <row r="31" spans="1:17" ht="30" customHeight="1">
      <c r="A31" s="92" t="s">
        <v>10</v>
      </c>
      <c r="B31" s="206">
        <v>40</v>
      </c>
      <c r="C31" s="207" t="s">
        <v>606</v>
      </c>
      <c r="D31" s="208" t="s">
        <v>604</v>
      </c>
      <c r="E31" s="204" t="str">
        <f>'CEA-underConsWIND1'!B43</f>
        <v>SBESS Services Projectco Two Private Limited</v>
      </c>
      <c r="F31" s="204">
        <f>'CEA-underConsWIND1'!C43</f>
        <v>274.39999999999998</v>
      </c>
      <c r="G31" s="204">
        <f>'CEA-underConsWIND1'!D43</f>
        <v>274.39999999999998</v>
      </c>
      <c r="H31" s="204" t="str">
        <f>'CEA-underConsWIND1'!E43</f>
        <v>Tranche VI</v>
      </c>
      <c r="I31" s="204" t="str">
        <f>'CEA-underConsWIND1'!F43</f>
        <v>Wind</v>
      </c>
      <c r="J31" s="204" t="str">
        <f>'CEA-underConsWIND1'!G43</f>
        <v>Maharastra</v>
      </c>
      <c r="K31" s="209">
        <v>44270</v>
      </c>
      <c r="L31" s="98"/>
      <c r="M31" s="341">
        <v>2023</v>
      </c>
      <c r="N31" s="197" t="s">
        <v>573</v>
      </c>
      <c r="O31" s="200" t="s">
        <v>569</v>
      </c>
      <c r="P31" s="197" t="s">
        <v>599</v>
      </c>
      <c r="Q31" s="204" t="s">
        <v>579</v>
      </c>
    </row>
    <row r="32" spans="1:17" ht="30" customHeight="1">
      <c r="A32" s="92" t="s">
        <v>10</v>
      </c>
      <c r="B32" s="206">
        <v>41</v>
      </c>
      <c r="C32" s="207" t="s">
        <v>606</v>
      </c>
      <c r="D32" s="208" t="s">
        <v>604</v>
      </c>
      <c r="E32" s="204" t="str">
        <f>'CEA-underConsWIND1'!B44</f>
        <v>SBESS Services Projectco Two Private Limited</v>
      </c>
      <c r="F32" s="204">
        <f>'CEA-underConsWIND1'!C44</f>
        <v>50</v>
      </c>
      <c r="G32" s="204">
        <f>'CEA-underConsWIND1'!D44</f>
        <v>50</v>
      </c>
      <c r="H32" s="204" t="str">
        <f>'CEA-underConsWIND1'!E44</f>
        <v>Tranche VI</v>
      </c>
      <c r="I32" s="204" t="str">
        <f>'CEA-underConsWIND1'!F44</f>
        <v>Wind</v>
      </c>
      <c r="J32" s="204" t="str">
        <f>'CEA-underConsWIND1'!G44</f>
        <v>Maharastra</v>
      </c>
      <c r="K32" s="209">
        <v>44270</v>
      </c>
      <c r="L32" s="98"/>
      <c r="M32" s="341">
        <v>2023</v>
      </c>
      <c r="N32" s="197" t="s">
        <v>573</v>
      </c>
      <c r="O32" s="200" t="s">
        <v>569</v>
      </c>
      <c r="P32" s="197" t="s">
        <v>599</v>
      </c>
      <c r="Q32" s="204" t="s">
        <v>579</v>
      </c>
    </row>
    <row r="33" spans="1:17" ht="30" customHeight="1">
      <c r="A33" s="92" t="s">
        <v>11</v>
      </c>
      <c r="B33" s="206">
        <v>43</v>
      </c>
      <c r="C33" s="207" t="s">
        <v>601</v>
      </c>
      <c r="D33" s="208" t="s">
        <v>604</v>
      </c>
      <c r="E33" s="204" t="str">
        <f>'CEA-underConsWIND1'!B46</f>
        <v>Ecoren Energy India Private Limited</v>
      </c>
      <c r="F33" s="204">
        <f>'CEA-underConsWIND1'!C46</f>
        <v>125</v>
      </c>
      <c r="G33" s="204">
        <f>'CEA-underConsWIND1'!D46</f>
        <v>125</v>
      </c>
      <c r="H33" s="204" t="str">
        <f>'CEA-underConsWIND1'!E46</f>
        <v>Tranche VI</v>
      </c>
      <c r="I33" s="204" t="str">
        <f>'CEA-underConsWIND1'!F46</f>
        <v>Wind</v>
      </c>
      <c r="J33" s="204" t="str">
        <f>'CEA-underConsWIND1'!G46</f>
        <v>Karnataka</v>
      </c>
      <c r="K33" s="209">
        <v>44270</v>
      </c>
      <c r="L33" s="98"/>
      <c r="M33" s="341">
        <v>2023</v>
      </c>
      <c r="N33" s="197" t="s">
        <v>573</v>
      </c>
      <c r="O33" s="98"/>
      <c r="P33" s="98"/>
      <c r="Q33" s="98"/>
    </row>
    <row r="34" spans="1:17" ht="30" customHeight="1">
      <c r="A34" s="92" t="s">
        <v>8</v>
      </c>
      <c r="B34" s="206">
        <v>8</v>
      </c>
      <c r="C34" s="207" t="s">
        <v>571</v>
      </c>
      <c r="D34" s="208" t="s">
        <v>572</v>
      </c>
      <c r="E34" s="204" t="str">
        <f>'CEA-underConsWIND1'!B11</f>
        <v>ReNew Wind Energy (AP2) Private Limited</v>
      </c>
      <c r="F34" s="204">
        <f>'CEA-underConsWIND1'!C11</f>
        <v>100</v>
      </c>
      <c r="G34" s="204">
        <f>'CEA-underConsWIND1'!D11</f>
        <v>100</v>
      </c>
      <c r="H34" s="204" t="str">
        <f>'CEA-underConsWIND1'!E11</f>
        <v>Tranche III</v>
      </c>
      <c r="I34" s="204" t="str">
        <f>'CEA-underConsWIND1'!F11</f>
        <v>Wind</v>
      </c>
      <c r="J34" s="204" t="str">
        <f>'CEA-underConsWIND1'!G11</f>
        <v>Gujarat</v>
      </c>
      <c r="K34" s="209">
        <v>44286</v>
      </c>
      <c r="L34" s="98"/>
      <c r="M34" s="341">
        <v>2023</v>
      </c>
      <c r="N34" s="197" t="s">
        <v>573</v>
      </c>
      <c r="O34" s="98"/>
      <c r="P34" s="98"/>
      <c r="Q34" s="98"/>
    </row>
    <row r="35" spans="1:17" ht="30" customHeight="1">
      <c r="A35" s="92" t="s">
        <v>8</v>
      </c>
      <c r="B35" s="206">
        <v>9</v>
      </c>
      <c r="C35" s="207" t="s">
        <v>571</v>
      </c>
      <c r="D35" s="208" t="s">
        <v>572</v>
      </c>
      <c r="E35" s="204" t="str">
        <f>'CEA-underConsWIND1'!B12</f>
        <v>ReNew Wind Energy (AP2) Private Limited</v>
      </c>
      <c r="F35" s="204">
        <f>'CEA-underConsWIND1'!C12</f>
        <v>300</v>
      </c>
      <c r="G35" s="204">
        <f>'CEA-underConsWIND1'!D12</f>
        <v>300</v>
      </c>
      <c r="H35" s="204" t="str">
        <f>'CEA-underConsWIND1'!E12</f>
        <v>Tranche III</v>
      </c>
      <c r="I35" s="204" t="str">
        <f>'CEA-underConsWIND1'!F12</f>
        <v>Wind</v>
      </c>
      <c r="J35" s="204" t="str">
        <f>'CEA-underConsWIND1'!G12</f>
        <v>Gujarat</v>
      </c>
      <c r="K35" s="209">
        <v>44286</v>
      </c>
      <c r="L35" s="98"/>
      <c r="M35" s="341">
        <v>2023</v>
      </c>
      <c r="N35" s="197" t="s">
        <v>573</v>
      </c>
      <c r="O35" s="98"/>
      <c r="P35" s="98"/>
      <c r="Q35" s="98"/>
    </row>
    <row r="36" spans="1:17" ht="30" customHeight="1">
      <c r="A36" s="92" t="s">
        <v>8</v>
      </c>
      <c r="B36" s="206">
        <v>33</v>
      </c>
      <c r="C36" s="207" t="s">
        <v>596</v>
      </c>
      <c r="D36" s="208" t="s">
        <v>595</v>
      </c>
      <c r="E36" s="204" t="str">
        <f>'CEA-underConsWIND1'!B36</f>
        <v>Adani Wind Energy (GJ) Limited</v>
      </c>
      <c r="F36" s="204">
        <f>'CEA-underConsWIND1'!C36</f>
        <v>300</v>
      </c>
      <c r="G36" s="204">
        <f>'CEA-underConsWIND1'!D36</f>
        <v>300</v>
      </c>
      <c r="H36" s="204" t="str">
        <f>'CEA-underConsWIND1'!E36</f>
        <v>Tranche V</v>
      </c>
      <c r="I36" s="204" t="str">
        <f>'CEA-underConsWIND1'!F36</f>
        <v>Wind</v>
      </c>
      <c r="J36" s="204" t="str">
        <f>'CEA-underConsWIND1'!G36</f>
        <v>Gujarat</v>
      </c>
      <c r="K36" s="209">
        <v>44034</v>
      </c>
      <c r="L36" s="212">
        <v>44294</v>
      </c>
      <c r="M36" s="341">
        <v>2024</v>
      </c>
      <c r="N36" s="197" t="s">
        <v>573</v>
      </c>
      <c r="O36" s="200" t="s">
        <v>569</v>
      </c>
      <c r="P36" s="197" t="s">
        <v>586</v>
      </c>
      <c r="Q36" s="204" t="s">
        <v>597</v>
      </c>
    </row>
    <row r="37" spans="1:17" ht="30" customHeight="1">
      <c r="A37" s="92" t="s">
        <v>8</v>
      </c>
      <c r="B37" s="206">
        <v>34</v>
      </c>
      <c r="C37" s="208" t="s">
        <v>598</v>
      </c>
      <c r="D37" s="208" t="s">
        <v>595</v>
      </c>
      <c r="E37" s="204" t="str">
        <f>'CEA-underConsWIND1'!B37</f>
        <v>Alfanar Energy Pvt. Ltd.</v>
      </c>
      <c r="F37" s="204">
        <f>'CEA-underConsWIND1'!C37</f>
        <v>300</v>
      </c>
      <c r="G37" s="204">
        <f>'CEA-underConsWIND1'!D37</f>
        <v>300</v>
      </c>
      <c r="H37" s="204" t="str">
        <f>'CEA-underConsWIND1'!E37</f>
        <v>Tranche V</v>
      </c>
      <c r="I37" s="204" t="str">
        <f>'CEA-underConsWIND1'!F37</f>
        <v>Wind</v>
      </c>
      <c r="J37" s="204" t="str">
        <f>'CEA-underConsWIND1'!G37</f>
        <v>Gujarat</v>
      </c>
      <c r="K37" s="209">
        <v>44255</v>
      </c>
      <c r="L37" s="212">
        <v>44353</v>
      </c>
      <c r="M37" s="341">
        <v>2024</v>
      </c>
      <c r="N37" s="197" t="s">
        <v>573</v>
      </c>
      <c r="O37" s="200" t="s">
        <v>579</v>
      </c>
      <c r="P37" s="197" t="s">
        <v>599</v>
      </c>
      <c r="Q37" s="204" t="s">
        <v>570</v>
      </c>
    </row>
    <row r="38" spans="1:17" ht="30" customHeight="1">
      <c r="A38" s="92" t="s">
        <v>8</v>
      </c>
      <c r="B38" s="206">
        <v>44</v>
      </c>
      <c r="C38" s="207" t="s">
        <v>608</v>
      </c>
      <c r="D38" s="208" t="s">
        <v>609</v>
      </c>
      <c r="E38" s="204" t="str">
        <f>'CEA-underConsWIND1'!B47</f>
        <v>Betam Wind Energy Private Limited</v>
      </c>
      <c r="F38" s="204">
        <f>'CEA-underConsWIND1'!C47</f>
        <v>200</v>
      </c>
      <c r="G38" s="204">
        <f>'CEA-underConsWIND1'!D47</f>
        <v>200</v>
      </c>
      <c r="H38" s="204" t="str">
        <f>'CEA-underConsWIND1'!E47</f>
        <v>Tranche VII</v>
      </c>
      <c r="I38" s="204" t="str">
        <f>'CEA-underConsWIND1'!F47</f>
        <v>Wind</v>
      </c>
      <c r="J38" s="204" t="str">
        <f>'CEA-underConsWIND1'!G47</f>
        <v>Gujarat</v>
      </c>
      <c r="K38" s="209">
        <v>44304</v>
      </c>
      <c r="L38" s="98"/>
      <c r="M38" s="341">
        <v>2024</v>
      </c>
      <c r="N38" s="197" t="s">
        <v>573</v>
      </c>
      <c r="O38" s="197" t="s">
        <v>588</v>
      </c>
      <c r="P38" s="197" t="s">
        <v>602</v>
      </c>
      <c r="Q38" s="197" t="s">
        <v>602</v>
      </c>
    </row>
    <row r="39" spans="1:17" ht="30" customHeight="1">
      <c r="A39" s="92" t="s">
        <v>8</v>
      </c>
      <c r="B39" s="206">
        <v>45</v>
      </c>
      <c r="C39" s="207" t="s">
        <v>594</v>
      </c>
      <c r="D39" s="208" t="s">
        <v>609</v>
      </c>
      <c r="E39" s="204" t="str">
        <f>'CEA-underConsWIND1'!B48</f>
        <v>ReNew Wind Energy (TN) Private Limited</v>
      </c>
      <c r="F39" s="204">
        <f>'CEA-underConsWIND1'!C48</f>
        <v>50</v>
      </c>
      <c r="G39" s="204">
        <f>'CEA-underConsWIND1'!D48</f>
        <v>50</v>
      </c>
      <c r="H39" s="204" t="str">
        <f>'CEA-underConsWIND1'!E48</f>
        <v>Tranche VII</v>
      </c>
      <c r="I39" s="204" t="str">
        <f>'CEA-underConsWIND1'!F48</f>
        <v>Wind</v>
      </c>
      <c r="J39" s="204" t="str">
        <f>'CEA-underConsWIND1'!G48</f>
        <v>Gujarat</v>
      </c>
      <c r="K39" s="209">
        <v>44304</v>
      </c>
      <c r="L39" s="98"/>
      <c r="M39" s="341">
        <v>2024</v>
      </c>
      <c r="N39" s="197" t="s">
        <v>573</v>
      </c>
      <c r="O39" s="98"/>
      <c r="P39" s="98"/>
      <c r="Q39" s="98"/>
    </row>
    <row r="40" spans="1:17" ht="30" customHeight="1">
      <c r="A40" s="92" t="s">
        <v>9</v>
      </c>
      <c r="B40" s="206">
        <v>46</v>
      </c>
      <c r="C40" s="207" t="s">
        <v>610</v>
      </c>
      <c r="D40" s="208" t="s">
        <v>609</v>
      </c>
      <c r="E40" s="204" t="str">
        <f>'CEA-underConsWIND1'!B49</f>
        <v>Sprng Vaayu Urja Private Limited</v>
      </c>
      <c r="F40" s="204">
        <f>'CEA-underConsWIND1'!C49</f>
        <v>100</v>
      </c>
      <c r="G40" s="204">
        <f>'CEA-underConsWIND1'!D49</f>
        <v>100</v>
      </c>
      <c r="H40" s="204" t="str">
        <f>'CEA-underConsWIND1'!E49</f>
        <v>Tranche VII</v>
      </c>
      <c r="I40" s="204" t="str">
        <f>'CEA-underConsWIND1'!F49</f>
        <v>Wind</v>
      </c>
      <c r="J40" s="204" t="str">
        <f>'CEA-underConsWIND1'!G49</f>
        <v>Madhya Pradesh</v>
      </c>
      <c r="K40" s="209">
        <v>44304</v>
      </c>
      <c r="L40" s="98"/>
      <c r="M40" s="341">
        <v>2024</v>
      </c>
      <c r="N40" s="197" t="s">
        <v>573</v>
      </c>
      <c r="O40" s="197" t="s">
        <v>588</v>
      </c>
      <c r="P40" s="197" t="s">
        <v>589</v>
      </c>
      <c r="Q40" s="204" t="s">
        <v>570</v>
      </c>
    </row>
    <row r="41" spans="1:17" ht="30" customHeight="1">
      <c r="A41" s="92" t="s">
        <v>8</v>
      </c>
      <c r="B41" s="206">
        <v>47</v>
      </c>
      <c r="C41" s="96" t="s">
        <v>611</v>
      </c>
      <c r="D41" s="208" t="s">
        <v>609</v>
      </c>
      <c r="E41" s="204" t="str">
        <f>'CEA-underConsWIND1'!B50</f>
        <v>Adani Renewable Energy
Park
(Gujarat) Limited</v>
      </c>
      <c r="F41" s="204">
        <f>'CEA-underConsWIND1'!C50</f>
        <v>130</v>
      </c>
      <c r="G41" s="204">
        <f>'CEA-underConsWIND1'!D50</f>
        <v>130</v>
      </c>
      <c r="H41" s="204" t="str">
        <f>'CEA-underConsWIND1'!E50</f>
        <v>Tranche VII</v>
      </c>
      <c r="I41" s="204" t="str">
        <f>'CEA-underConsWIND1'!F50</f>
        <v>Wind</v>
      </c>
      <c r="J41" s="204" t="str">
        <f>'CEA-underConsWIND1'!G50</f>
        <v>Gujarat</v>
      </c>
      <c r="K41" s="209">
        <v>44304</v>
      </c>
      <c r="L41" s="214">
        <v>44304</v>
      </c>
      <c r="M41" s="341">
        <v>2024</v>
      </c>
      <c r="N41" s="197" t="s">
        <v>573</v>
      </c>
      <c r="O41" s="200" t="s">
        <v>569</v>
      </c>
      <c r="P41" s="197" t="s">
        <v>586</v>
      </c>
      <c r="Q41" s="204" t="s">
        <v>569</v>
      </c>
    </row>
    <row r="42" spans="1:17" ht="30" customHeight="1">
      <c r="A42" s="92" t="s">
        <v>8</v>
      </c>
      <c r="B42" s="206">
        <v>39</v>
      </c>
      <c r="C42" s="208" t="s">
        <v>605</v>
      </c>
      <c r="D42" s="208" t="s">
        <v>604</v>
      </c>
      <c r="E42" s="204" t="str">
        <f>'CEA-underConsWIND1'!B42</f>
        <v>Powerica Limited</v>
      </c>
      <c r="F42" s="204">
        <f>'CEA-underConsWIND1'!C42</f>
        <v>50.6</v>
      </c>
      <c r="G42" s="204">
        <f>'CEA-underConsWIND1'!D42</f>
        <v>50.6</v>
      </c>
      <c r="H42" s="204" t="str">
        <f>'CEA-underConsWIND1'!E42</f>
        <v>Tranche VI</v>
      </c>
      <c r="I42" s="204" t="str">
        <f>'CEA-underConsWIND1'!F42</f>
        <v>Wind</v>
      </c>
      <c r="J42" s="204" t="str">
        <f>'CEA-underConsWIND1'!G42</f>
        <v>Gujarat</v>
      </c>
      <c r="K42" s="209">
        <v>44270</v>
      </c>
      <c r="L42" s="98"/>
      <c r="M42" s="210">
        <v>2022</v>
      </c>
      <c r="N42" s="197" t="s">
        <v>573</v>
      </c>
      <c r="O42" s="197" t="s">
        <v>565</v>
      </c>
      <c r="P42" s="197" t="s">
        <v>599</v>
      </c>
      <c r="Q42" s="98"/>
    </row>
    <row r="43" spans="1:17" ht="30" customHeight="1">
      <c r="A43" s="92" t="s">
        <v>8</v>
      </c>
      <c r="B43" s="206">
        <v>48</v>
      </c>
      <c r="C43" s="208" t="s">
        <v>612</v>
      </c>
      <c r="D43" s="208" t="s">
        <v>613</v>
      </c>
      <c r="E43" s="204" t="str">
        <f>'CEA-underConsWIND1'!B51</f>
        <v>CLP India Private Limited</v>
      </c>
      <c r="F43" s="204">
        <f>'CEA-underConsWIND1'!C51</f>
        <v>250.8</v>
      </c>
      <c r="G43" s="204">
        <f>'CEA-underConsWIND1'!D51</f>
        <v>250.8</v>
      </c>
      <c r="H43" s="204" t="str">
        <f>'CEA-underConsWIND1'!E51</f>
        <v>Tranche VIII</v>
      </c>
      <c r="I43" s="204" t="str">
        <f>'CEA-underConsWIND1'!F51</f>
        <v>Wind</v>
      </c>
      <c r="J43" s="204" t="str">
        <f>'CEA-underConsWIND1'!G51</f>
        <v>Gujarat</v>
      </c>
      <c r="K43" s="209">
        <v>44374</v>
      </c>
      <c r="L43" s="98"/>
      <c r="M43" s="341">
        <v>2024</v>
      </c>
      <c r="N43" s="197" t="s">
        <v>573</v>
      </c>
      <c r="O43" s="200" t="s">
        <v>569</v>
      </c>
      <c r="P43" s="197" t="s">
        <v>586</v>
      </c>
      <c r="Q43" s="204" t="s">
        <v>570</v>
      </c>
    </row>
    <row r="44" spans="1:17" ht="30" customHeight="1">
      <c r="A44" s="92" t="s">
        <v>8</v>
      </c>
      <c r="B44" s="206">
        <v>49</v>
      </c>
      <c r="C44" s="207" t="s">
        <v>614</v>
      </c>
      <c r="D44" s="208" t="s">
        <v>613</v>
      </c>
      <c r="E44" s="204" t="str">
        <f>'CEA-underConsWIND1'!B52</f>
        <v>Avikiran Energy India Private Limited</v>
      </c>
      <c r="F44" s="204">
        <f>'CEA-underConsWIND1'!C52</f>
        <v>190</v>
      </c>
      <c r="G44" s="204">
        <f>'CEA-underConsWIND1'!D52</f>
        <v>190</v>
      </c>
      <c r="H44" s="204" t="str">
        <f>'CEA-underConsWIND1'!E52</f>
        <v>Tranche VIII</v>
      </c>
      <c r="I44" s="204" t="str">
        <f>'CEA-underConsWIND1'!F52</f>
        <v>Wind</v>
      </c>
      <c r="J44" s="204" t="str">
        <f>'CEA-underConsWIND1'!G52</f>
        <v>Gujarat</v>
      </c>
      <c r="K44" s="209">
        <v>44374</v>
      </c>
      <c r="L44" s="98"/>
      <c r="M44" s="341">
        <v>2024</v>
      </c>
      <c r="N44" s="197" t="s">
        <v>573</v>
      </c>
      <c r="O44" s="98"/>
      <c r="P44" s="98"/>
      <c r="Q44" s="98"/>
    </row>
    <row r="45" spans="1:17" ht="30" customHeight="1">
      <c r="A45" s="92" t="s">
        <v>8</v>
      </c>
      <c r="B45" s="206">
        <v>42</v>
      </c>
      <c r="C45" s="207" t="s">
        <v>607</v>
      </c>
      <c r="D45" s="208" t="s">
        <v>604</v>
      </c>
      <c r="E45" s="204" t="str">
        <f>'CEA-underConsWIND1'!B45</f>
        <v>Morjar Windfarm Development Pvt. Ltd.</v>
      </c>
      <c r="F45" s="204">
        <f>'CEA-underConsWIND1'!C45</f>
        <v>150</v>
      </c>
      <c r="G45" s="204">
        <f>'CEA-underConsWIND1'!D45</f>
        <v>150</v>
      </c>
      <c r="H45" s="204" t="str">
        <f>'CEA-underConsWIND1'!E45</f>
        <v>Tranche VI</v>
      </c>
      <c r="I45" s="204" t="str">
        <f>'CEA-underConsWIND1'!F45</f>
        <v>Wind</v>
      </c>
      <c r="J45" s="204" t="str">
        <f>'CEA-underConsWIND1'!G45</f>
        <v>Gujarat</v>
      </c>
      <c r="K45" s="209">
        <v>44270</v>
      </c>
      <c r="L45" s="98"/>
      <c r="M45" s="210">
        <v>2022</v>
      </c>
      <c r="N45" s="197" t="s">
        <v>573</v>
      </c>
      <c r="O45" s="197" t="s">
        <v>565</v>
      </c>
      <c r="P45" s="98"/>
      <c r="Q45" s="98"/>
    </row>
    <row r="46" spans="1:17" ht="30" customHeight="1">
      <c r="A46" s="92" t="s">
        <v>8</v>
      </c>
      <c r="B46" s="206">
        <v>10</v>
      </c>
      <c r="C46" s="207" t="s">
        <v>563</v>
      </c>
      <c r="D46" s="208" t="s">
        <v>572</v>
      </c>
      <c r="E46" s="204" t="str">
        <f>'CEA-underConsWIND1'!B13</f>
        <v>Inox Wind Infrastructure Services Limited</v>
      </c>
      <c r="F46" s="204">
        <f>'CEA-underConsWIND1'!C13</f>
        <v>50</v>
      </c>
      <c r="G46" s="204">
        <f>'CEA-underConsWIND1'!D13</f>
        <v>50</v>
      </c>
      <c r="H46" s="204" t="str">
        <f>'CEA-underConsWIND1'!E13</f>
        <v>Tranche III</v>
      </c>
      <c r="I46" s="204" t="str">
        <f>'CEA-underConsWIND1'!F13</f>
        <v>Wind</v>
      </c>
      <c r="J46" s="204" t="str">
        <f>'CEA-underConsWIND1'!G13</f>
        <v>Gujarat</v>
      </c>
      <c r="K46" s="209">
        <v>43793</v>
      </c>
      <c r="L46" s="212">
        <v>44294</v>
      </c>
      <c r="M46" s="341">
        <v>2024</v>
      </c>
      <c r="N46" s="197" t="s">
        <v>573</v>
      </c>
      <c r="O46" s="197" t="s">
        <v>570</v>
      </c>
      <c r="P46" s="197" t="s">
        <v>570</v>
      </c>
      <c r="Q46" s="204" t="s">
        <v>570</v>
      </c>
    </row>
    <row r="47" spans="1:17" ht="30" customHeight="1">
      <c r="A47" s="92" t="s">
        <v>8</v>
      </c>
      <c r="B47" s="206">
        <v>11</v>
      </c>
      <c r="C47" s="207" t="s">
        <v>563</v>
      </c>
      <c r="D47" s="208" t="s">
        <v>572</v>
      </c>
      <c r="E47" s="204" t="str">
        <f>'CEA-underConsWIND1'!B14</f>
        <v>Inox Wind Infrastructure Services Limited</v>
      </c>
      <c r="F47" s="204">
        <f>'CEA-underConsWIND1'!C14</f>
        <v>50</v>
      </c>
      <c r="G47" s="204">
        <f>'CEA-underConsWIND1'!D14</f>
        <v>50</v>
      </c>
      <c r="H47" s="204" t="str">
        <f>'CEA-underConsWIND1'!E14</f>
        <v>Tranche III</v>
      </c>
      <c r="I47" s="204" t="str">
        <f>'CEA-underConsWIND1'!F14</f>
        <v>Wind</v>
      </c>
      <c r="J47" s="204" t="str">
        <f>'CEA-underConsWIND1'!G14</f>
        <v>Gujarat</v>
      </c>
      <c r="K47" s="209">
        <v>43793</v>
      </c>
      <c r="L47" s="212">
        <v>44294</v>
      </c>
      <c r="M47" s="341">
        <v>2024</v>
      </c>
      <c r="N47" s="197" t="s">
        <v>573</v>
      </c>
      <c r="O47" s="197" t="s">
        <v>570</v>
      </c>
      <c r="P47" s="197" t="s">
        <v>570</v>
      </c>
      <c r="Q47" s="204" t="s">
        <v>570</v>
      </c>
    </row>
    <row r="48" spans="1:17" ht="30" customHeight="1">
      <c r="A48" s="92" t="s">
        <v>8</v>
      </c>
      <c r="B48" s="206">
        <v>12</v>
      </c>
      <c r="C48" s="207" t="s">
        <v>563</v>
      </c>
      <c r="D48" s="208" t="s">
        <v>572</v>
      </c>
      <c r="E48" s="204" t="str">
        <f>'CEA-underConsWIND1'!B15</f>
        <v>Inox Wind Infrastructure Services Limited</v>
      </c>
      <c r="F48" s="204">
        <f>'CEA-underConsWIND1'!C15</f>
        <v>50</v>
      </c>
      <c r="G48" s="204">
        <f>'CEA-underConsWIND1'!D15</f>
        <v>50</v>
      </c>
      <c r="H48" s="204" t="str">
        <f>'CEA-underConsWIND1'!E15</f>
        <v>Tranche III</v>
      </c>
      <c r="I48" s="204" t="str">
        <f>'CEA-underConsWIND1'!F15</f>
        <v>Wind</v>
      </c>
      <c r="J48" s="204" t="str">
        <f>'CEA-underConsWIND1'!G15</f>
        <v>Gujarat</v>
      </c>
      <c r="K48" s="209">
        <v>43793</v>
      </c>
      <c r="L48" s="212">
        <v>44294</v>
      </c>
      <c r="M48" s="341">
        <v>2024</v>
      </c>
      <c r="N48" s="197" t="s">
        <v>573</v>
      </c>
      <c r="O48" s="197" t="s">
        <v>570</v>
      </c>
      <c r="P48" s="197" t="s">
        <v>570</v>
      </c>
      <c r="Q48" s="204" t="s">
        <v>570</v>
      </c>
    </row>
    <row r="49" spans="1:17" ht="30" customHeight="1">
      <c r="A49" s="92" t="s">
        <v>8</v>
      </c>
      <c r="B49" s="206">
        <v>13</v>
      </c>
      <c r="C49" s="207" t="s">
        <v>563</v>
      </c>
      <c r="D49" s="208" t="s">
        <v>572</v>
      </c>
      <c r="E49" s="204" t="str">
        <f>'CEA-underConsWIND1'!B16</f>
        <v>Inox Wind Infrastructure Services Limited</v>
      </c>
      <c r="F49" s="204">
        <f>'CEA-underConsWIND1'!C16</f>
        <v>50</v>
      </c>
      <c r="G49" s="204">
        <f>'CEA-underConsWIND1'!D16</f>
        <v>50</v>
      </c>
      <c r="H49" s="204" t="str">
        <f>'CEA-underConsWIND1'!E16</f>
        <v>Tranche III</v>
      </c>
      <c r="I49" s="204" t="str">
        <f>'CEA-underConsWIND1'!F16</f>
        <v>Wind</v>
      </c>
      <c r="J49" s="204" t="str">
        <f>'CEA-underConsWIND1'!G16</f>
        <v>Gujarat</v>
      </c>
      <c r="K49" s="209">
        <v>43793</v>
      </c>
      <c r="L49" s="212">
        <v>44294</v>
      </c>
      <c r="M49" s="341">
        <v>2024</v>
      </c>
      <c r="N49" s="197" t="s">
        <v>573</v>
      </c>
      <c r="O49" s="197" t="s">
        <v>570</v>
      </c>
      <c r="P49" s="197" t="s">
        <v>570</v>
      </c>
      <c r="Q49" s="204" t="s">
        <v>570</v>
      </c>
    </row>
    <row r="50" spans="1:17" ht="33.75" customHeight="1">
      <c r="A50" s="92" t="s">
        <v>8</v>
      </c>
      <c r="B50" s="206">
        <v>16</v>
      </c>
      <c r="C50" s="207" t="s">
        <v>575</v>
      </c>
      <c r="D50" s="208" t="s">
        <v>572</v>
      </c>
      <c r="E50" s="204" t="str">
        <f>'CEA-underConsWIND1'!B19</f>
        <v>Alfanar Energy Private Limited</v>
      </c>
      <c r="F50" s="204">
        <f>'CEA-underConsWIND1'!C19</f>
        <v>300</v>
      </c>
      <c r="G50" s="204">
        <f>'CEA-underConsWIND1'!D19</f>
        <v>300</v>
      </c>
      <c r="H50" s="204" t="str">
        <f>'CEA-underConsWIND1'!E19</f>
        <v>Tranche III</v>
      </c>
      <c r="I50" s="204" t="str">
        <f>'CEA-underConsWIND1'!F19</f>
        <v>Wind</v>
      </c>
      <c r="J50" s="204" t="str">
        <f>'CEA-underConsWIND1'!G19</f>
        <v>Gujarat</v>
      </c>
      <c r="K50" s="209">
        <v>44194</v>
      </c>
      <c r="L50" s="212">
        <v>44292</v>
      </c>
      <c r="M50" s="341">
        <v>2024</v>
      </c>
      <c r="N50" s="197" t="s">
        <v>576</v>
      </c>
      <c r="O50" s="200" t="s">
        <v>569</v>
      </c>
      <c r="P50" s="197" t="s">
        <v>577</v>
      </c>
      <c r="Q50" s="204" t="s">
        <v>569</v>
      </c>
    </row>
    <row r="51" spans="1:17" ht="30" customHeight="1">
      <c r="A51" s="92" t="s">
        <v>8</v>
      </c>
      <c r="B51" s="206">
        <v>22</v>
      </c>
      <c r="C51" s="207" t="s">
        <v>563</v>
      </c>
      <c r="D51" s="208" t="s">
        <v>581</v>
      </c>
      <c r="E51" s="204" t="str">
        <f>'CEA-underConsWIND1'!B25</f>
        <v>Inox Wind Infrastructure Services Limited</v>
      </c>
      <c r="F51" s="204">
        <f>'CEA-underConsWIND1'!C25</f>
        <v>50</v>
      </c>
      <c r="G51" s="204">
        <f>'CEA-underConsWIND1'!D25</f>
        <v>50</v>
      </c>
      <c r="H51" s="204" t="str">
        <f>'CEA-underConsWIND1'!E25</f>
        <v>Tranche IV</v>
      </c>
      <c r="I51" s="204" t="str">
        <f>'CEA-underConsWIND1'!F25</f>
        <v>Wind</v>
      </c>
      <c r="J51" s="204" t="str">
        <f>'CEA-underConsWIND1'!G25</f>
        <v>Gujarat</v>
      </c>
      <c r="K51" s="209">
        <v>43889</v>
      </c>
      <c r="L51" s="212">
        <v>44294</v>
      </c>
      <c r="M51" s="341">
        <v>2024</v>
      </c>
      <c r="N51" s="197" t="s">
        <v>573</v>
      </c>
      <c r="O51" s="197" t="s">
        <v>588</v>
      </c>
      <c r="P51" s="197" t="s">
        <v>589</v>
      </c>
      <c r="Q51" s="204" t="s">
        <v>570</v>
      </c>
    </row>
    <row r="52" spans="1:17" ht="30" customHeight="1">
      <c r="A52" s="92" t="s">
        <v>8</v>
      </c>
      <c r="B52" s="206">
        <v>23</v>
      </c>
      <c r="C52" s="207" t="s">
        <v>563</v>
      </c>
      <c r="D52" s="208" t="s">
        <v>581</v>
      </c>
      <c r="E52" s="204" t="str">
        <f>'CEA-underConsWIND1'!B26</f>
        <v>Inox Wind Infrastructure Services Limited</v>
      </c>
      <c r="F52" s="204">
        <f>'CEA-underConsWIND1'!C26</f>
        <v>50</v>
      </c>
      <c r="G52" s="204">
        <f>'CEA-underConsWIND1'!D26</f>
        <v>50</v>
      </c>
      <c r="H52" s="204" t="str">
        <f>'CEA-underConsWIND1'!E26</f>
        <v>Tranche IV</v>
      </c>
      <c r="I52" s="204" t="str">
        <f>'CEA-underConsWIND1'!F26</f>
        <v>Wind</v>
      </c>
      <c r="J52" s="204" t="str">
        <f>'CEA-underConsWIND1'!G26</f>
        <v>Gujarat</v>
      </c>
      <c r="K52" s="209">
        <v>43889</v>
      </c>
      <c r="L52" s="212">
        <v>44294</v>
      </c>
      <c r="M52" s="341">
        <v>2024</v>
      </c>
      <c r="N52" s="197" t="s">
        <v>573</v>
      </c>
      <c r="O52" s="197" t="s">
        <v>590</v>
      </c>
      <c r="P52" s="197" t="s">
        <v>589</v>
      </c>
      <c r="Q52" s="204" t="s">
        <v>570</v>
      </c>
    </row>
    <row r="57" spans="1:17" ht="15">
      <c r="F57" s="215"/>
      <c r="G57" s="215"/>
      <c r="H57" s="215"/>
      <c r="I57" s="215"/>
      <c r="J57" s="215"/>
      <c r="K57" s="215"/>
    </row>
    <row r="58" spans="1:17" ht="15">
      <c r="F58" s="215"/>
      <c r="G58" s="215"/>
      <c r="H58" s="215"/>
      <c r="I58" s="216">
        <v>2021</v>
      </c>
      <c r="J58" s="216">
        <v>2022</v>
      </c>
      <c r="K58" s="216">
        <v>2023</v>
      </c>
      <c r="L58" s="216">
        <v>2024</v>
      </c>
    </row>
    <row r="59" spans="1:17" ht="15">
      <c r="F59" s="215"/>
      <c r="G59" s="215" t="s">
        <v>8</v>
      </c>
      <c r="H59" s="215" t="s">
        <v>55</v>
      </c>
      <c r="I59" s="215">
        <f>SUMIFS($G$4:$G$52,$J$4:$J$52,$H59,$M$4:$M$52,I$58)</f>
        <v>50</v>
      </c>
      <c r="J59" s="215">
        <f>SUMIFS($G$4:$G$52,$J$4:$J$52,$H59,$M$4:$M$52,J$58)</f>
        <v>1830.8999999999999</v>
      </c>
      <c r="K59" s="215">
        <f>SUMIFS($G$4:$G$52,$J$4:$J$52,$H59,$M$4:$M$52,K$58)</f>
        <v>1485</v>
      </c>
      <c r="L59" s="215">
        <f>SUMIFS($G$4:$G$52,$J$4:$J$52,$H59,$M$4:$M$52,L$58)</f>
        <v>2020.8</v>
      </c>
    </row>
    <row r="60" spans="1:17" ht="15">
      <c r="F60" s="215"/>
      <c r="G60" s="215" t="s">
        <v>13</v>
      </c>
      <c r="H60" s="215" t="s">
        <v>72</v>
      </c>
      <c r="I60" s="215">
        <f t="shared" ref="I60:L64" si="0">SUMIFS($G$4:$G$52,$J$4:$J$52,$H60,$M$4:$M$52,I$58)</f>
        <v>0</v>
      </c>
      <c r="J60" s="215">
        <f t="shared" si="0"/>
        <v>0</v>
      </c>
      <c r="K60" s="215">
        <f t="shared" si="0"/>
        <v>500</v>
      </c>
      <c r="L60" s="215">
        <f t="shared" si="0"/>
        <v>0</v>
      </c>
    </row>
    <row r="61" spans="1:17" ht="15">
      <c r="F61" s="215"/>
      <c r="G61" s="215" t="s">
        <v>12</v>
      </c>
      <c r="H61" s="215" t="s">
        <v>615</v>
      </c>
      <c r="I61" s="215">
        <f t="shared" si="0"/>
        <v>0</v>
      </c>
      <c r="J61" s="215">
        <f t="shared" si="0"/>
        <v>300</v>
      </c>
      <c r="K61" s="215">
        <f t="shared" si="0"/>
        <v>0</v>
      </c>
      <c r="L61" s="215">
        <f t="shared" si="0"/>
        <v>0</v>
      </c>
    </row>
    <row r="62" spans="1:17" ht="15">
      <c r="F62" s="215"/>
      <c r="G62" s="215" t="s">
        <v>11</v>
      </c>
      <c r="H62" s="215" t="s">
        <v>60</v>
      </c>
      <c r="I62" s="215">
        <f t="shared" si="0"/>
        <v>0</v>
      </c>
      <c r="J62" s="215">
        <f t="shared" si="0"/>
        <v>0</v>
      </c>
      <c r="K62" s="215">
        <f t="shared" si="0"/>
        <v>300</v>
      </c>
      <c r="L62" s="215">
        <f t="shared" si="0"/>
        <v>0</v>
      </c>
    </row>
    <row r="63" spans="1:17" ht="15">
      <c r="F63" s="215"/>
      <c r="G63" s="215" t="s">
        <v>9</v>
      </c>
      <c r="H63" s="215" t="s">
        <v>169</v>
      </c>
      <c r="I63" s="215">
        <f t="shared" si="0"/>
        <v>0</v>
      </c>
      <c r="J63" s="215">
        <f t="shared" si="0"/>
        <v>0</v>
      </c>
      <c r="K63" s="215">
        <f t="shared" si="0"/>
        <v>300</v>
      </c>
      <c r="L63" s="215">
        <f t="shared" si="0"/>
        <v>100</v>
      </c>
    </row>
    <row r="64" spans="1:17" ht="15">
      <c r="F64" s="215"/>
      <c r="G64" s="215" t="s">
        <v>10</v>
      </c>
      <c r="H64" s="215" t="s">
        <v>616</v>
      </c>
      <c r="I64" s="215">
        <f t="shared" si="0"/>
        <v>0</v>
      </c>
      <c r="J64" s="215">
        <f t="shared" si="0"/>
        <v>0</v>
      </c>
      <c r="K64" s="215">
        <f t="shared" si="0"/>
        <v>324.39999999999998</v>
      </c>
      <c r="L64" s="215">
        <f t="shared" si="0"/>
        <v>0</v>
      </c>
    </row>
    <row r="65" spans="6:11" ht="15">
      <c r="F65" s="215"/>
      <c r="G65" s="215"/>
      <c r="H65" s="215"/>
      <c r="I65" s="215"/>
      <c r="J65" s="215"/>
      <c r="K65" s="215"/>
    </row>
    <row r="66" spans="6:11" ht="15">
      <c r="F66" s="215"/>
      <c r="G66" s="215"/>
      <c r="H66" s="215"/>
      <c r="I66" s="215"/>
      <c r="J66" s="215"/>
      <c r="K66" s="215"/>
    </row>
    <row r="67" spans="6:11" ht="15">
      <c r="F67" s="215"/>
      <c r="G67" s="215"/>
      <c r="H67" s="215"/>
      <c r="I67" s="215"/>
      <c r="J67" s="215"/>
      <c r="K67" s="215"/>
    </row>
    <row r="68" spans="6:11" ht="15">
      <c r="F68" s="215" t="s">
        <v>486</v>
      </c>
      <c r="G68" s="215">
        <f>SUM(I59:L64)</f>
        <v>7211.0999999999995</v>
      </c>
      <c r="I68" s="215"/>
      <c r="J68" s="215"/>
      <c r="K68" s="215"/>
    </row>
    <row r="69" spans="6:11" ht="15">
      <c r="F69" s="215" t="s">
        <v>487</v>
      </c>
      <c r="G69" s="215">
        <f>SUM(G4:G52)-G68</f>
        <v>115.00000000000091</v>
      </c>
      <c r="I69" s="215"/>
      <c r="J69" s="215"/>
      <c r="K69" s="215"/>
    </row>
    <row r="70" spans="6:11" ht="15">
      <c r="F70" s="215"/>
      <c r="G70" s="215"/>
      <c r="I70" s="215"/>
      <c r="J70" s="215"/>
      <c r="K70" s="215"/>
    </row>
  </sheetData>
  <autoFilter ref="A3:R52">
    <sortState ref="A5:R52">
      <sortCondition ref="M3:M52"/>
    </sortState>
  </autoFilter>
  <mergeCells count="2">
    <mergeCell ref="B1:Q1"/>
    <mergeCell ref="B2:Q2"/>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N154"/>
  <sheetViews>
    <sheetView zoomScaleNormal="100" workbookViewId="0"/>
  </sheetViews>
  <sheetFormatPr defaultColWidth="7.7109375" defaultRowHeight="15"/>
  <cols>
    <col min="1" max="1" width="8.5703125" style="255" customWidth="1"/>
    <col min="2" max="2" width="15" style="255" customWidth="1"/>
    <col min="3" max="3" width="11.42578125" style="320" customWidth="1"/>
    <col min="4" max="4" width="24.5703125" style="255" customWidth="1"/>
    <col min="5" max="5" width="11.5703125" style="255" customWidth="1"/>
    <col min="6" max="6" width="10" style="255" customWidth="1"/>
    <col min="7" max="7" width="11.7109375" style="255" customWidth="1"/>
    <col min="8" max="8" width="10" style="255" customWidth="1"/>
    <col min="9" max="10" width="13.140625" style="255" customWidth="1"/>
    <col min="11" max="11" width="11.140625" style="255" customWidth="1"/>
    <col min="12" max="13" width="10.42578125" style="255" customWidth="1"/>
    <col min="14" max="16384" width="7.7109375" style="255"/>
  </cols>
  <sheetData>
    <row r="1" spans="1:14" ht="12.75" customHeight="1">
      <c r="A1" s="253" t="s">
        <v>979</v>
      </c>
      <c r="B1" s="254"/>
      <c r="C1" s="254"/>
      <c r="D1" s="254"/>
      <c r="E1" s="254"/>
      <c r="F1" s="254"/>
      <c r="G1" s="254"/>
      <c r="H1" s="254"/>
      <c r="I1" s="254"/>
      <c r="J1" s="254"/>
      <c r="K1" s="254"/>
      <c r="L1" s="254"/>
      <c r="M1" s="254"/>
    </row>
    <row r="2" spans="1:14" ht="12.75" customHeight="1">
      <c r="A2" s="253"/>
      <c r="B2" s="253" t="s">
        <v>980</v>
      </c>
      <c r="C2" s="254"/>
      <c r="D2" s="254"/>
      <c r="E2" s="254"/>
      <c r="F2" s="254"/>
      <c r="G2" s="254"/>
      <c r="H2" s="254"/>
      <c r="I2" s="254"/>
      <c r="J2" s="254"/>
      <c r="K2" s="254"/>
      <c r="L2" s="254"/>
      <c r="M2" s="254"/>
    </row>
    <row r="3" spans="1:14" ht="12.75" customHeight="1">
      <c r="A3" s="254"/>
      <c r="B3" s="254"/>
      <c r="C3" s="254"/>
      <c r="D3" s="254"/>
      <c r="E3" s="254"/>
      <c r="F3" s="254"/>
      <c r="G3" s="254"/>
      <c r="H3" s="254"/>
      <c r="I3" s="254"/>
      <c r="J3" s="254"/>
      <c r="K3" s="254"/>
      <c r="L3" s="254"/>
      <c r="M3" s="254"/>
    </row>
    <row r="4" spans="1:14" ht="17.25" customHeight="1">
      <c r="A4" s="974" t="s">
        <v>981</v>
      </c>
      <c r="B4" s="974"/>
      <c r="C4" s="974"/>
      <c r="D4" s="974"/>
      <c r="E4" s="974"/>
      <c r="F4" s="974"/>
      <c r="G4" s="974"/>
      <c r="H4" s="974"/>
      <c r="I4" s="974"/>
      <c r="J4" s="974"/>
      <c r="K4" s="974"/>
      <c r="L4" s="974"/>
      <c r="M4" s="974"/>
    </row>
    <row r="5" spans="1:14" ht="31.5" customHeight="1">
      <c r="A5" s="711" t="s">
        <v>35</v>
      </c>
      <c r="B5" s="712" t="s">
        <v>122</v>
      </c>
      <c r="C5" s="713" t="s">
        <v>982</v>
      </c>
      <c r="D5" s="714" t="s">
        <v>983</v>
      </c>
      <c r="E5" s="715" t="s">
        <v>984</v>
      </c>
      <c r="F5" s="715" t="s">
        <v>985</v>
      </c>
      <c r="G5" s="715" t="s">
        <v>986</v>
      </c>
      <c r="H5" s="711" t="s">
        <v>987</v>
      </c>
      <c r="I5" s="712" t="s">
        <v>988</v>
      </c>
      <c r="J5" s="712" t="s">
        <v>989</v>
      </c>
      <c r="K5" s="711" t="s">
        <v>990</v>
      </c>
      <c r="L5" s="715" t="s">
        <v>991</v>
      </c>
      <c r="M5" s="716" t="s">
        <v>992</v>
      </c>
      <c r="N5" s="716" t="s">
        <v>993</v>
      </c>
    </row>
    <row r="6" spans="1:14" ht="15.95" customHeight="1">
      <c r="A6" s="975">
        <v>1</v>
      </c>
      <c r="B6" s="998" t="s">
        <v>485</v>
      </c>
      <c r="C6" s="278" t="s">
        <v>19</v>
      </c>
      <c r="D6" s="977" t="s">
        <v>994</v>
      </c>
      <c r="E6" s="658" t="s">
        <v>995</v>
      </c>
      <c r="F6" s="658" t="s">
        <v>996</v>
      </c>
      <c r="G6" s="276">
        <v>660</v>
      </c>
      <c r="H6" s="277" t="s">
        <v>997</v>
      </c>
      <c r="I6" s="658" t="s">
        <v>998</v>
      </c>
      <c r="J6" s="717" t="s">
        <v>999</v>
      </c>
      <c r="K6" s="980">
        <v>17407.349999999999</v>
      </c>
      <c r="L6" s="979" t="s">
        <v>1000</v>
      </c>
      <c r="M6" s="256">
        <f t="shared" ref="M6:M69" si="0">IF(ISBLANK(J6),"",IF(MONTH(J6)&gt;3,YEAR(J6)+1,YEAR(J6)))</f>
        <v>2021</v>
      </c>
      <c r="N6" s="255">
        <f t="shared" ref="N6:N69" si="1">IF(ISNUMBER(M6),M6+1,IF(OR(J6="PERMITTED",J6="PRE-PERMIT"),J6,"UNCERTAIN"))</f>
        <v>2022</v>
      </c>
    </row>
    <row r="7" spans="1:14" ht="12.75" customHeight="1">
      <c r="A7" s="975"/>
      <c r="B7" s="998"/>
      <c r="C7" s="257" t="s">
        <v>19</v>
      </c>
      <c r="D7" s="977"/>
      <c r="E7" s="658" t="s">
        <v>995</v>
      </c>
      <c r="F7" s="658" t="s">
        <v>1001</v>
      </c>
      <c r="G7" s="276">
        <v>660</v>
      </c>
      <c r="H7" s="277" t="s">
        <v>1002</v>
      </c>
      <c r="I7" s="658" t="s">
        <v>1003</v>
      </c>
      <c r="J7" s="717" t="s">
        <v>1004</v>
      </c>
      <c r="K7" s="980"/>
      <c r="L7" s="979"/>
      <c r="M7" s="256">
        <f t="shared" si="0"/>
        <v>2022</v>
      </c>
      <c r="N7" s="255">
        <f t="shared" si="1"/>
        <v>2023</v>
      </c>
    </row>
    <row r="8" spans="1:14" ht="12.75" customHeight="1">
      <c r="A8" s="975"/>
      <c r="B8" s="998"/>
      <c r="C8" s="258" t="s">
        <v>19</v>
      </c>
      <c r="D8" s="977"/>
      <c r="E8" s="658" t="s">
        <v>995</v>
      </c>
      <c r="F8" s="658" t="s">
        <v>1005</v>
      </c>
      <c r="G8" s="276">
        <v>660</v>
      </c>
      <c r="H8" s="277" t="s">
        <v>1006</v>
      </c>
      <c r="I8" s="658" t="s">
        <v>1007</v>
      </c>
      <c r="J8" s="717" t="s">
        <v>1008</v>
      </c>
      <c r="K8" s="980"/>
      <c r="L8" s="979"/>
      <c r="M8" s="256">
        <f t="shared" si="0"/>
        <v>2022</v>
      </c>
      <c r="N8" s="255">
        <f t="shared" si="1"/>
        <v>2023</v>
      </c>
    </row>
    <row r="9" spans="1:14" ht="25.5" customHeight="1">
      <c r="A9" s="294">
        <v>2</v>
      </c>
      <c r="B9" s="653" t="s">
        <v>485</v>
      </c>
      <c r="C9" s="278" t="s">
        <v>19</v>
      </c>
      <c r="D9" s="650" t="s">
        <v>1009</v>
      </c>
      <c r="E9" s="658" t="s">
        <v>1010</v>
      </c>
      <c r="F9" s="658" t="s">
        <v>1011</v>
      </c>
      <c r="G9" s="276">
        <v>250</v>
      </c>
      <c r="H9" s="277" t="s">
        <v>1012</v>
      </c>
      <c r="I9" s="658" t="s">
        <v>1013</v>
      </c>
      <c r="J9" s="717" t="s">
        <v>1014</v>
      </c>
      <c r="K9" s="651">
        <v>8183.06</v>
      </c>
      <c r="L9" s="658" t="s">
        <v>1000</v>
      </c>
      <c r="M9" s="256">
        <f t="shared" si="0"/>
        <v>2021</v>
      </c>
      <c r="N9" s="255">
        <f t="shared" si="1"/>
        <v>2022</v>
      </c>
    </row>
    <row r="10" spans="1:14" ht="15.95" customHeight="1">
      <c r="A10" s="975">
        <v>3</v>
      </c>
      <c r="B10" s="998" t="s">
        <v>485</v>
      </c>
      <c r="C10" s="278" t="s">
        <v>19</v>
      </c>
      <c r="D10" s="977" t="s">
        <v>1015</v>
      </c>
      <c r="E10" s="658" t="s">
        <v>1016</v>
      </c>
      <c r="F10" s="658" t="s">
        <v>1001</v>
      </c>
      <c r="G10" s="276">
        <v>660</v>
      </c>
      <c r="H10" s="277" t="s">
        <v>1017</v>
      </c>
      <c r="I10" s="658" t="s">
        <v>1013</v>
      </c>
      <c r="J10" s="717" t="s">
        <v>1018</v>
      </c>
      <c r="K10" s="984">
        <v>14613.1</v>
      </c>
      <c r="L10" s="983" t="s">
        <v>1000</v>
      </c>
      <c r="M10" s="256">
        <f t="shared" si="0"/>
        <v>2021</v>
      </c>
      <c r="N10" s="255">
        <f t="shared" si="1"/>
        <v>2022</v>
      </c>
    </row>
    <row r="11" spans="1:14" ht="25.7" customHeight="1">
      <c r="A11" s="975"/>
      <c r="B11" s="998"/>
      <c r="C11" s="258" t="s">
        <v>19</v>
      </c>
      <c r="D11" s="977"/>
      <c r="E11" s="658" t="s">
        <v>1016</v>
      </c>
      <c r="F11" s="658" t="s">
        <v>1005</v>
      </c>
      <c r="G11" s="276">
        <v>660</v>
      </c>
      <c r="H11" s="277" t="s">
        <v>1019</v>
      </c>
      <c r="I11" s="658" t="s">
        <v>1020</v>
      </c>
      <c r="J11" s="717" t="s">
        <v>1021</v>
      </c>
      <c r="K11" s="984"/>
      <c r="L11" s="983"/>
      <c r="M11" s="256">
        <f t="shared" si="0"/>
        <v>2022</v>
      </c>
      <c r="N11" s="255">
        <f t="shared" si="1"/>
        <v>2023</v>
      </c>
    </row>
    <row r="12" spans="1:14" ht="15.95" customHeight="1">
      <c r="A12" s="975">
        <v>4</v>
      </c>
      <c r="B12" s="998" t="s">
        <v>485</v>
      </c>
      <c r="C12" s="278" t="s">
        <v>19</v>
      </c>
      <c r="D12" s="977" t="s">
        <v>1022</v>
      </c>
      <c r="E12" s="658" t="s">
        <v>1023</v>
      </c>
      <c r="F12" s="658" t="s">
        <v>996</v>
      </c>
      <c r="G12" s="276">
        <v>660</v>
      </c>
      <c r="H12" s="277" t="s">
        <v>1024</v>
      </c>
      <c r="I12" s="658" t="s">
        <v>1025</v>
      </c>
      <c r="J12" s="717" t="s">
        <v>1024</v>
      </c>
      <c r="K12" s="1010">
        <v>893.34</v>
      </c>
      <c r="L12" s="979" t="s">
        <v>1026</v>
      </c>
      <c r="M12" s="256">
        <f t="shared" si="0"/>
        <v>2024</v>
      </c>
      <c r="N12" s="255">
        <f t="shared" si="1"/>
        <v>2025</v>
      </c>
    </row>
    <row r="13" spans="1:14" ht="12.75" customHeight="1">
      <c r="A13" s="975"/>
      <c r="B13" s="998"/>
      <c r="C13" s="258" t="s">
        <v>19</v>
      </c>
      <c r="D13" s="977"/>
      <c r="E13" s="658" t="s">
        <v>1023</v>
      </c>
      <c r="F13" s="658" t="s">
        <v>1001</v>
      </c>
      <c r="G13" s="276">
        <v>660</v>
      </c>
      <c r="H13" s="277" t="s">
        <v>1027</v>
      </c>
      <c r="I13" s="658" t="s">
        <v>1027</v>
      </c>
      <c r="J13" s="717" t="s">
        <v>1027</v>
      </c>
      <c r="K13" s="1010"/>
      <c r="L13" s="979"/>
      <c r="M13" s="256">
        <f t="shared" si="0"/>
        <v>2024</v>
      </c>
      <c r="N13" s="255">
        <f t="shared" si="1"/>
        <v>2025</v>
      </c>
    </row>
    <row r="14" spans="1:14" ht="25.5" customHeight="1">
      <c r="A14" s="649">
        <v>5</v>
      </c>
      <c r="B14" s="653" t="s">
        <v>53</v>
      </c>
      <c r="C14" s="278" t="s">
        <v>18</v>
      </c>
      <c r="D14" s="650" t="s">
        <v>1028</v>
      </c>
      <c r="E14" s="658" t="s">
        <v>1029</v>
      </c>
      <c r="F14" s="658" t="s">
        <v>1001</v>
      </c>
      <c r="G14" s="276">
        <v>800</v>
      </c>
      <c r="H14" s="277" t="s">
        <v>997</v>
      </c>
      <c r="I14" s="658" t="s">
        <v>1030</v>
      </c>
      <c r="J14" s="717" t="s">
        <v>1031</v>
      </c>
      <c r="K14" s="651">
        <v>13611.1</v>
      </c>
      <c r="L14" s="658" t="s">
        <v>1000</v>
      </c>
      <c r="M14" s="256">
        <f t="shared" si="0"/>
        <v>2021</v>
      </c>
      <c r="N14" s="255">
        <f t="shared" si="1"/>
        <v>2022</v>
      </c>
    </row>
    <row r="15" spans="1:14" ht="15.95" customHeight="1">
      <c r="A15" s="975">
        <v>6</v>
      </c>
      <c r="B15" s="991" t="s">
        <v>59</v>
      </c>
      <c r="C15" s="274" t="s">
        <v>20</v>
      </c>
      <c r="D15" s="977" t="s">
        <v>1032</v>
      </c>
      <c r="E15" s="658" t="s">
        <v>1033</v>
      </c>
      <c r="F15" s="658" t="s">
        <v>996</v>
      </c>
      <c r="G15" s="276">
        <v>660</v>
      </c>
      <c r="H15" s="277" t="s">
        <v>1034</v>
      </c>
      <c r="I15" s="658" t="s">
        <v>1035</v>
      </c>
      <c r="J15" s="717" t="s">
        <v>1036</v>
      </c>
      <c r="K15" s="980">
        <v>10437.469999999999</v>
      </c>
      <c r="L15" s="979" t="s">
        <v>1000</v>
      </c>
      <c r="M15" s="256">
        <f t="shared" si="0"/>
        <v>2022</v>
      </c>
      <c r="N15" s="255">
        <f t="shared" si="1"/>
        <v>2023</v>
      </c>
    </row>
    <row r="16" spans="1:14" ht="12.75" customHeight="1">
      <c r="A16" s="975"/>
      <c r="B16" s="991"/>
      <c r="C16" s="259" t="s">
        <v>20</v>
      </c>
      <c r="D16" s="977"/>
      <c r="E16" s="658" t="s">
        <v>1033</v>
      </c>
      <c r="F16" s="658" t="s">
        <v>1001</v>
      </c>
      <c r="G16" s="276">
        <v>660</v>
      </c>
      <c r="H16" s="277" t="s">
        <v>1037</v>
      </c>
      <c r="I16" s="658" t="s">
        <v>1038</v>
      </c>
      <c r="J16" s="717" t="s">
        <v>1039</v>
      </c>
      <c r="K16" s="980"/>
      <c r="L16" s="979"/>
      <c r="M16" s="256">
        <f t="shared" si="0"/>
        <v>2022</v>
      </c>
      <c r="N16" s="255">
        <f t="shared" si="1"/>
        <v>2023</v>
      </c>
    </row>
    <row r="17" spans="1:14" ht="12.75" customHeight="1">
      <c r="A17" s="975"/>
      <c r="B17" s="991"/>
      <c r="C17" s="260" t="s">
        <v>20</v>
      </c>
      <c r="D17" s="977"/>
      <c r="E17" s="658" t="s">
        <v>1033</v>
      </c>
      <c r="F17" s="658" t="s">
        <v>1005</v>
      </c>
      <c r="G17" s="276">
        <v>660</v>
      </c>
      <c r="H17" s="277" t="s">
        <v>1040</v>
      </c>
      <c r="I17" s="658" t="s">
        <v>1041</v>
      </c>
      <c r="J17" s="717" t="s">
        <v>1042</v>
      </c>
      <c r="K17" s="980"/>
      <c r="L17" s="979"/>
      <c r="M17" s="256">
        <f t="shared" si="0"/>
        <v>2023</v>
      </c>
      <c r="N17" s="255">
        <f t="shared" si="1"/>
        <v>2024</v>
      </c>
    </row>
    <row r="18" spans="1:14" ht="21.2" customHeight="1">
      <c r="A18" s="649">
        <v>7</v>
      </c>
      <c r="B18" s="653" t="s">
        <v>9</v>
      </c>
      <c r="C18" s="278" t="s">
        <v>9</v>
      </c>
      <c r="D18" s="650" t="s">
        <v>1043</v>
      </c>
      <c r="E18" s="658" t="s">
        <v>1044</v>
      </c>
      <c r="F18" s="658" t="s">
        <v>1001</v>
      </c>
      <c r="G18" s="276">
        <v>800</v>
      </c>
      <c r="H18" s="277" t="s">
        <v>1045</v>
      </c>
      <c r="I18" s="658" t="s">
        <v>1031</v>
      </c>
      <c r="J18" s="717" t="s">
        <v>1046</v>
      </c>
      <c r="K18" s="651">
        <v>13076.05</v>
      </c>
      <c r="L18" s="658" t="s">
        <v>1000</v>
      </c>
      <c r="M18" s="256">
        <f t="shared" si="0"/>
        <v>2021</v>
      </c>
      <c r="N18" s="255">
        <f t="shared" si="1"/>
        <v>2022</v>
      </c>
    </row>
    <row r="19" spans="1:14" ht="31.5" customHeight="1">
      <c r="A19" s="649">
        <v>8</v>
      </c>
      <c r="B19" s="653" t="s">
        <v>68</v>
      </c>
      <c r="C19" s="278" t="s">
        <v>16</v>
      </c>
      <c r="D19" s="650" t="s">
        <v>1047</v>
      </c>
      <c r="E19" s="658" t="s">
        <v>1033</v>
      </c>
      <c r="F19" s="658" t="s">
        <v>1001</v>
      </c>
      <c r="G19" s="276">
        <v>800</v>
      </c>
      <c r="H19" s="277" t="s">
        <v>1048</v>
      </c>
      <c r="I19" s="658" t="s">
        <v>998</v>
      </c>
      <c r="J19" s="717" t="s">
        <v>999</v>
      </c>
      <c r="K19" s="651">
        <v>10766.62</v>
      </c>
      <c r="L19" s="658" t="s">
        <v>1000</v>
      </c>
      <c r="M19" s="256">
        <f t="shared" si="0"/>
        <v>2021</v>
      </c>
      <c r="N19" s="255">
        <f t="shared" si="1"/>
        <v>2022</v>
      </c>
    </row>
    <row r="20" spans="1:14" ht="25.5" customHeight="1">
      <c r="A20" s="649">
        <v>9</v>
      </c>
      <c r="B20" s="658" t="s">
        <v>70</v>
      </c>
      <c r="C20" s="278" t="s">
        <v>6</v>
      </c>
      <c r="D20" s="650" t="s">
        <v>1049</v>
      </c>
      <c r="E20" s="658" t="s">
        <v>1050</v>
      </c>
      <c r="F20" s="658" t="s">
        <v>996</v>
      </c>
      <c r="G20" s="276">
        <v>250</v>
      </c>
      <c r="H20" s="277" t="s">
        <v>1051</v>
      </c>
      <c r="I20" s="658" t="s">
        <v>1052</v>
      </c>
      <c r="J20" s="718" t="s">
        <v>1052</v>
      </c>
      <c r="K20" s="282">
        <v>159.0581</v>
      </c>
      <c r="L20" s="658" t="s">
        <v>1026</v>
      </c>
      <c r="M20" s="256" t="e">
        <f t="shared" si="0"/>
        <v>#VALUE!</v>
      </c>
      <c r="N20" s="255" t="str">
        <f t="shared" si="1"/>
        <v>UNCERTAIN</v>
      </c>
    </row>
    <row r="21" spans="1:14" ht="25.5" customHeight="1">
      <c r="A21" s="649">
        <v>10</v>
      </c>
      <c r="B21" s="658" t="s">
        <v>70</v>
      </c>
      <c r="C21" s="278" t="s">
        <v>6</v>
      </c>
      <c r="D21" s="650" t="s">
        <v>1053</v>
      </c>
      <c r="E21" s="658" t="s">
        <v>1050</v>
      </c>
      <c r="F21" s="658" t="s">
        <v>996</v>
      </c>
      <c r="G21" s="276">
        <v>250</v>
      </c>
      <c r="H21" s="277" t="s">
        <v>1051</v>
      </c>
      <c r="I21" s="658" t="s">
        <v>1052</v>
      </c>
      <c r="J21" s="718" t="s">
        <v>1052</v>
      </c>
      <c r="K21" s="282">
        <v>174.6634</v>
      </c>
      <c r="L21" s="658" t="s">
        <v>1026</v>
      </c>
      <c r="M21" s="256" t="e">
        <f t="shared" si="0"/>
        <v>#VALUE!</v>
      </c>
      <c r="N21" s="255" t="str">
        <f t="shared" si="1"/>
        <v>UNCERTAIN</v>
      </c>
    </row>
    <row r="22" spans="1:14" ht="15.95" customHeight="1">
      <c r="A22" s="975">
        <v>11</v>
      </c>
      <c r="B22" s="1007" t="s">
        <v>73</v>
      </c>
      <c r="C22" s="274" t="s">
        <v>15</v>
      </c>
      <c r="D22" s="977" t="s">
        <v>1054</v>
      </c>
      <c r="E22" s="658" t="s">
        <v>1055</v>
      </c>
      <c r="F22" s="658" t="s">
        <v>996</v>
      </c>
      <c r="G22" s="276">
        <v>800</v>
      </c>
      <c r="H22" s="277" t="s">
        <v>1056</v>
      </c>
      <c r="I22" s="658" t="s">
        <v>1004</v>
      </c>
      <c r="J22" s="717" t="s">
        <v>1035</v>
      </c>
      <c r="K22" s="1008">
        <v>7026.63</v>
      </c>
      <c r="L22" s="1009" t="s">
        <v>1000</v>
      </c>
      <c r="M22" s="256">
        <f t="shared" si="0"/>
        <v>2022</v>
      </c>
      <c r="N22" s="255">
        <f t="shared" si="1"/>
        <v>2023</v>
      </c>
    </row>
    <row r="23" spans="1:14" ht="15.6" customHeight="1">
      <c r="A23" s="975"/>
      <c r="B23" s="1007"/>
      <c r="C23" s="260" t="s">
        <v>15</v>
      </c>
      <c r="D23" s="977"/>
      <c r="E23" s="658" t="s">
        <v>1055</v>
      </c>
      <c r="F23" s="658" t="s">
        <v>1001</v>
      </c>
      <c r="G23" s="276">
        <v>800</v>
      </c>
      <c r="H23" s="277" t="s">
        <v>1030</v>
      </c>
      <c r="I23" s="658" t="s">
        <v>1008</v>
      </c>
      <c r="J23" s="717" t="s">
        <v>1038</v>
      </c>
      <c r="K23" s="1008"/>
      <c r="L23" s="1009"/>
      <c r="M23" s="256">
        <f t="shared" si="0"/>
        <v>2022</v>
      </c>
      <c r="N23" s="255">
        <f t="shared" si="1"/>
        <v>2023</v>
      </c>
    </row>
    <row r="24" spans="1:14" ht="25.5" customHeight="1">
      <c r="A24" s="649">
        <v>12</v>
      </c>
      <c r="B24" s="653" t="s">
        <v>13</v>
      </c>
      <c r="C24" s="278" t="s">
        <v>13</v>
      </c>
      <c r="D24" s="650" t="s">
        <v>1057</v>
      </c>
      <c r="E24" s="658" t="s">
        <v>1058</v>
      </c>
      <c r="F24" s="658" t="s">
        <v>1001</v>
      </c>
      <c r="G24" s="276">
        <v>500</v>
      </c>
      <c r="H24" s="277" t="s">
        <v>1059</v>
      </c>
      <c r="I24" s="658" t="s">
        <v>1046</v>
      </c>
      <c r="J24" s="717" t="s">
        <v>998</v>
      </c>
      <c r="K24" s="282">
        <v>6317.5834999999997</v>
      </c>
      <c r="L24" s="658" t="s">
        <v>1026</v>
      </c>
      <c r="M24" s="256">
        <f t="shared" si="0"/>
        <v>2021</v>
      </c>
      <c r="N24" s="255">
        <f t="shared" si="1"/>
        <v>2022</v>
      </c>
    </row>
    <row r="25" spans="1:14" ht="31.5" customHeight="1">
      <c r="A25" s="649">
        <v>13</v>
      </c>
      <c r="B25" s="653" t="s">
        <v>0</v>
      </c>
      <c r="C25" s="278" t="s">
        <v>0</v>
      </c>
      <c r="D25" s="650" t="s">
        <v>1060</v>
      </c>
      <c r="E25" s="658" t="s">
        <v>1061</v>
      </c>
      <c r="F25" s="658" t="s">
        <v>1001</v>
      </c>
      <c r="G25" s="276">
        <v>660</v>
      </c>
      <c r="H25" s="277" t="s">
        <v>1062</v>
      </c>
      <c r="I25" s="658" t="s">
        <v>1046</v>
      </c>
      <c r="J25" s="717" t="s">
        <v>998</v>
      </c>
      <c r="K25" s="719">
        <v>10537</v>
      </c>
      <c r="L25" s="720" t="s">
        <v>1000</v>
      </c>
      <c r="M25" s="256">
        <f t="shared" si="0"/>
        <v>2021</v>
      </c>
      <c r="N25" s="255">
        <f t="shared" si="1"/>
        <v>2022</v>
      </c>
    </row>
    <row r="26" spans="1:14" ht="15.95" customHeight="1">
      <c r="A26" s="975">
        <v>14</v>
      </c>
      <c r="B26" s="998" t="s">
        <v>0</v>
      </c>
      <c r="C26" s="278" t="s">
        <v>0</v>
      </c>
      <c r="D26" s="977" t="s">
        <v>1063</v>
      </c>
      <c r="E26" s="658" t="s">
        <v>1064</v>
      </c>
      <c r="F26" s="658" t="s">
        <v>996</v>
      </c>
      <c r="G26" s="276">
        <v>660</v>
      </c>
      <c r="H26" s="277" t="s">
        <v>1000</v>
      </c>
      <c r="I26" s="658" t="s">
        <v>1014</v>
      </c>
      <c r="J26" s="717" t="s">
        <v>1004</v>
      </c>
      <c r="K26" s="980">
        <v>9177.35</v>
      </c>
      <c r="L26" s="979" t="s">
        <v>1065</v>
      </c>
      <c r="M26" s="256">
        <f t="shared" si="0"/>
        <v>2022</v>
      </c>
      <c r="N26" s="255">
        <f t="shared" si="1"/>
        <v>2023</v>
      </c>
    </row>
    <row r="27" spans="1:14" ht="12.75" customHeight="1">
      <c r="A27" s="975"/>
      <c r="B27" s="998"/>
      <c r="C27" s="257" t="s">
        <v>0</v>
      </c>
      <c r="D27" s="977"/>
      <c r="E27" s="658" t="s">
        <v>1064</v>
      </c>
      <c r="F27" s="658" t="s">
        <v>1001</v>
      </c>
      <c r="G27" s="276">
        <v>660</v>
      </c>
      <c r="H27" s="277" t="s">
        <v>998</v>
      </c>
      <c r="I27" s="658" t="s">
        <v>1021</v>
      </c>
      <c r="J27" s="717" t="s">
        <v>1008</v>
      </c>
      <c r="K27" s="980"/>
      <c r="L27" s="979"/>
      <c r="M27" s="256">
        <f t="shared" si="0"/>
        <v>2022</v>
      </c>
      <c r="N27" s="255">
        <f t="shared" si="1"/>
        <v>2023</v>
      </c>
    </row>
    <row r="28" spans="1:14" ht="12.75" customHeight="1">
      <c r="A28" s="975"/>
      <c r="B28" s="998"/>
      <c r="C28" s="258" t="s">
        <v>0</v>
      </c>
      <c r="D28" s="977"/>
      <c r="E28" s="658" t="s">
        <v>1064</v>
      </c>
      <c r="F28" s="658" t="s">
        <v>1005</v>
      </c>
      <c r="G28" s="276">
        <v>660</v>
      </c>
      <c r="H28" s="277" t="s">
        <v>998</v>
      </c>
      <c r="I28" s="658" t="s">
        <v>1066</v>
      </c>
      <c r="J28" s="717" t="s">
        <v>1067</v>
      </c>
      <c r="K28" s="980"/>
      <c r="L28" s="979"/>
      <c r="M28" s="256">
        <f t="shared" si="0"/>
        <v>2022</v>
      </c>
      <c r="N28" s="255">
        <f t="shared" si="1"/>
        <v>2023</v>
      </c>
    </row>
    <row r="29" spans="1:14" ht="25.5" customHeight="1">
      <c r="A29" s="649">
        <v>15</v>
      </c>
      <c r="B29" s="653" t="s">
        <v>0</v>
      </c>
      <c r="C29" s="278" t="s">
        <v>0</v>
      </c>
      <c r="D29" s="650" t="s">
        <v>1068</v>
      </c>
      <c r="E29" s="658" t="s">
        <v>1069</v>
      </c>
      <c r="F29" s="658" t="s">
        <v>1070</v>
      </c>
      <c r="G29" s="276">
        <v>660</v>
      </c>
      <c r="H29" s="277" t="s">
        <v>1065</v>
      </c>
      <c r="I29" s="658" t="s">
        <v>999</v>
      </c>
      <c r="J29" s="717" t="s">
        <v>1013</v>
      </c>
      <c r="K29" s="721">
        <v>7397.79</v>
      </c>
      <c r="L29" s="720" t="s">
        <v>1000</v>
      </c>
      <c r="M29" s="256">
        <f t="shared" si="0"/>
        <v>2021</v>
      </c>
      <c r="N29" s="255">
        <f t="shared" si="1"/>
        <v>2022</v>
      </c>
    </row>
    <row r="30" spans="1:14" ht="15.95" customHeight="1">
      <c r="A30" s="662">
        <v>16</v>
      </c>
      <c r="B30" s="261" t="s">
        <v>0</v>
      </c>
      <c r="C30" s="262" t="s">
        <v>0</v>
      </c>
      <c r="D30" s="663" t="s">
        <v>1071</v>
      </c>
      <c r="E30" s="263" t="s">
        <v>1072</v>
      </c>
      <c r="F30" s="263" t="s">
        <v>996</v>
      </c>
      <c r="G30" s="264">
        <v>660</v>
      </c>
      <c r="H30" s="265" t="s">
        <v>1073</v>
      </c>
      <c r="I30" s="263" t="s">
        <v>1074</v>
      </c>
      <c r="J30" s="266" t="s">
        <v>1074</v>
      </c>
      <c r="K30" s="267">
        <v>928.3</v>
      </c>
      <c r="L30" s="268" t="s">
        <v>1026</v>
      </c>
      <c r="M30" s="256">
        <f t="shared" si="0"/>
        <v>2024</v>
      </c>
      <c r="N30" s="255">
        <f t="shared" si="1"/>
        <v>2025</v>
      </c>
    </row>
    <row r="31" spans="1:14" ht="12.75" customHeight="1">
      <c r="A31" s="269"/>
      <c r="B31" s="269"/>
      <c r="C31" s="262" t="s">
        <v>0</v>
      </c>
      <c r="D31" s="269"/>
      <c r="E31" s="270" t="s">
        <v>1072</v>
      </c>
      <c r="F31" s="271" t="s">
        <v>1001</v>
      </c>
      <c r="G31" s="272">
        <v>660</v>
      </c>
      <c r="H31" s="273" t="s">
        <v>1075</v>
      </c>
      <c r="I31" s="271" t="s">
        <v>1075</v>
      </c>
      <c r="J31" s="270" t="s">
        <v>1075</v>
      </c>
      <c r="K31" s="269"/>
      <c r="L31" s="269"/>
      <c r="M31" s="256">
        <f t="shared" si="0"/>
        <v>2024</v>
      </c>
      <c r="N31" s="255">
        <f t="shared" si="1"/>
        <v>2025</v>
      </c>
    </row>
    <row r="32" spans="1:14" ht="15.95" customHeight="1">
      <c r="A32" s="975">
        <v>17</v>
      </c>
      <c r="B32" s="991" t="s">
        <v>1076</v>
      </c>
      <c r="C32" s="274" t="s">
        <v>20</v>
      </c>
      <c r="D32" s="977" t="s">
        <v>1077</v>
      </c>
      <c r="E32" s="275" t="s">
        <v>1059</v>
      </c>
      <c r="F32" s="658" t="s">
        <v>996</v>
      </c>
      <c r="G32" s="276">
        <v>800</v>
      </c>
      <c r="H32" s="277" t="s">
        <v>1067</v>
      </c>
      <c r="I32" s="658" t="s">
        <v>1067</v>
      </c>
      <c r="J32" s="275" t="s">
        <v>1067</v>
      </c>
      <c r="K32" s="980">
        <v>2854.73</v>
      </c>
      <c r="L32" s="979" t="s">
        <v>1000</v>
      </c>
      <c r="M32" s="256">
        <f t="shared" si="0"/>
        <v>2022</v>
      </c>
      <c r="N32" s="255">
        <f t="shared" si="1"/>
        <v>2023</v>
      </c>
    </row>
    <row r="33" spans="1:14" ht="12.75" customHeight="1">
      <c r="A33" s="975"/>
      <c r="B33" s="991"/>
      <c r="C33" s="259" t="s">
        <v>20</v>
      </c>
      <c r="D33" s="977"/>
      <c r="E33" s="275" t="s">
        <v>1059</v>
      </c>
      <c r="F33" s="658" t="s">
        <v>1001</v>
      </c>
      <c r="G33" s="276">
        <v>800</v>
      </c>
      <c r="H33" s="277" t="s">
        <v>1078</v>
      </c>
      <c r="I33" s="658" t="s">
        <v>1078</v>
      </c>
      <c r="J33" s="275" t="s">
        <v>1078</v>
      </c>
      <c r="K33" s="980"/>
      <c r="L33" s="979"/>
      <c r="M33" s="256">
        <f t="shared" si="0"/>
        <v>2023</v>
      </c>
      <c r="N33" s="255">
        <f t="shared" si="1"/>
        <v>2024</v>
      </c>
    </row>
    <row r="34" spans="1:14" ht="12.75" customHeight="1">
      <c r="A34" s="975"/>
      <c r="B34" s="991"/>
      <c r="C34" s="260" t="s">
        <v>20</v>
      </c>
      <c r="D34" s="977"/>
      <c r="E34" s="275" t="s">
        <v>1059</v>
      </c>
      <c r="F34" s="658" t="s">
        <v>1005</v>
      </c>
      <c r="G34" s="276">
        <v>800</v>
      </c>
      <c r="H34" s="277" t="s">
        <v>1073</v>
      </c>
      <c r="I34" s="658" t="s">
        <v>1073</v>
      </c>
      <c r="J34" s="275" t="s">
        <v>1073</v>
      </c>
      <c r="K34" s="980"/>
      <c r="L34" s="979"/>
      <c r="M34" s="256">
        <f t="shared" si="0"/>
        <v>2023</v>
      </c>
      <c r="N34" s="255">
        <f t="shared" si="1"/>
        <v>2024</v>
      </c>
    </row>
    <row r="35" spans="1:14" ht="42" customHeight="1">
      <c r="A35" s="649">
        <v>18</v>
      </c>
      <c r="B35" s="653" t="s">
        <v>68</v>
      </c>
      <c r="C35" s="278" t="s">
        <v>16</v>
      </c>
      <c r="D35" s="650" t="s">
        <v>1079</v>
      </c>
      <c r="E35" s="275" t="s">
        <v>1080</v>
      </c>
      <c r="F35" s="658" t="s">
        <v>996</v>
      </c>
      <c r="G35" s="276">
        <v>250</v>
      </c>
      <c r="H35" s="277" t="s">
        <v>1081</v>
      </c>
      <c r="I35" s="658" t="s">
        <v>1014</v>
      </c>
      <c r="J35" s="275" t="s">
        <v>1004</v>
      </c>
      <c r="K35" s="656">
        <v>1554.68</v>
      </c>
      <c r="L35" s="659" t="s">
        <v>1026</v>
      </c>
      <c r="M35" s="256">
        <f t="shared" si="0"/>
        <v>2022</v>
      </c>
      <c r="N35" s="255">
        <f t="shared" si="1"/>
        <v>2023</v>
      </c>
    </row>
    <row r="36" spans="1:14" ht="31.5" customHeight="1">
      <c r="A36" s="649">
        <v>1</v>
      </c>
      <c r="B36" s="653" t="s">
        <v>1082</v>
      </c>
      <c r="C36" s="278" t="s">
        <v>14</v>
      </c>
      <c r="D36" s="650" t="s">
        <v>1083</v>
      </c>
      <c r="E36" s="654" t="s">
        <v>1084</v>
      </c>
      <c r="F36" s="659" t="s">
        <v>996</v>
      </c>
      <c r="G36" s="279">
        <v>800</v>
      </c>
      <c r="H36" s="280" t="s">
        <v>1023</v>
      </c>
      <c r="I36" s="658" t="s">
        <v>998</v>
      </c>
      <c r="J36" s="275" t="s">
        <v>999</v>
      </c>
      <c r="K36" s="651">
        <v>4639.42</v>
      </c>
      <c r="L36" s="658" t="s">
        <v>1085</v>
      </c>
      <c r="M36" s="256">
        <f t="shared" si="0"/>
        <v>2021</v>
      </c>
      <c r="N36" s="255">
        <f t="shared" si="1"/>
        <v>2022</v>
      </c>
    </row>
    <row r="37" spans="1:14" ht="31.5" customHeight="1">
      <c r="A37" s="649">
        <v>2</v>
      </c>
      <c r="B37" s="658" t="s">
        <v>1082</v>
      </c>
      <c r="C37" s="278" t="s">
        <v>14</v>
      </c>
      <c r="D37" s="650" t="s">
        <v>1086</v>
      </c>
      <c r="E37" s="654" t="s">
        <v>1087</v>
      </c>
      <c r="F37" s="659" t="s">
        <v>996</v>
      </c>
      <c r="G37" s="279">
        <v>800</v>
      </c>
      <c r="H37" s="280" t="s">
        <v>1072</v>
      </c>
      <c r="I37" s="658" t="s">
        <v>999</v>
      </c>
      <c r="J37" s="275" t="s">
        <v>1013</v>
      </c>
      <c r="K37" s="281">
        <v>5928</v>
      </c>
      <c r="L37" s="658" t="s">
        <v>1065</v>
      </c>
      <c r="M37" s="256">
        <f t="shared" si="0"/>
        <v>2021</v>
      </c>
      <c r="N37" s="255">
        <f t="shared" si="1"/>
        <v>2022</v>
      </c>
    </row>
    <row r="38" spans="1:14" ht="21.2" customHeight="1">
      <c r="A38" s="649">
        <v>3</v>
      </c>
      <c r="B38" s="653" t="s">
        <v>60</v>
      </c>
      <c r="C38" s="278" t="s">
        <v>11</v>
      </c>
      <c r="D38" s="650" t="s">
        <v>1088</v>
      </c>
      <c r="E38" s="275" t="s">
        <v>1087</v>
      </c>
      <c r="F38" s="658" t="s">
        <v>1089</v>
      </c>
      <c r="G38" s="276">
        <v>370</v>
      </c>
      <c r="H38" s="277" t="s">
        <v>1059</v>
      </c>
      <c r="I38" s="658" t="s">
        <v>998</v>
      </c>
      <c r="J38" s="275" t="s">
        <v>999</v>
      </c>
      <c r="K38" s="282">
        <v>1593.6197999999999</v>
      </c>
      <c r="L38" s="658" t="s">
        <v>1090</v>
      </c>
      <c r="M38" s="256">
        <f t="shared" si="0"/>
        <v>2021</v>
      </c>
      <c r="N38" s="255">
        <f t="shared" si="1"/>
        <v>2022</v>
      </c>
    </row>
    <row r="39" spans="1:14" ht="31.5" customHeight="1">
      <c r="A39" s="649">
        <v>4</v>
      </c>
      <c r="B39" s="653" t="s">
        <v>63</v>
      </c>
      <c r="C39" s="278" t="s">
        <v>10</v>
      </c>
      <c r="D39" s="650" t="s">
        <v>1091</v>
      </c>
      <c r="E39" s="654" t="s">
        <v>1019</v>
      </c>
      <c r="F39" s="659" t="s">
        <v>1070</v>
      </c>
      <c r="G39" s="279">
        <v>660</v>
      </c>
      <c r="H39" s="280" t="s">
        <v>1067</v>
      </c>
      <c r="I39" s="658" t="s">
        <v>1092</v>
      </c>
      <c r="J39" s="275" t="s">
        <v>1042</v>
      </c>
      <c r="K39" s="283">
        <v>548.76</v>
      </c>
      <c r="L39" s="658" t="s">
        <v>1026</v>
      </c>
      <c r="M39" s="256">
        <f t="shared" si="0"/>
        <v>2023</v>
      </c>
      <c r="N39" s="255">
        <f t="shared" si="1"/>
        <v>2024</v>
      </c>
    </row>
    <row r="40" spans="1:14" ht="25.5" customHeight="1">
      <c r="A40" s="649">
        <v>5</v>
      </c>
      <c r="B40" s="653" t="s">
        <v>70</v>
      </c>
      <c r="C40" s="278" t="s">
        <v>6</v>
      </c>
      <c r="D40" s="650" t="s">
        <v>1093</v>
      </c>
      <c r="E40" s="277" t="s">
        <v>1094</v>
      </c>
      <c r="F40" s="658" t="s">
        <v>1095</v>
      </c>
      <c r="G40" s="284">
        <v>660</v>
      </c>
      <c r="H40" s="277" t="s">
        <v>1062</v>
      </c>
      <c r="I40" s="658" t="s">
        <v>1096</v>
      </c>
      <c r="J40" s="275" t="s">
        <v>1013</v>
      </c>
      <c r="K40" s="651">
        <v>9311.08</v>
      </c>
      <c r="L40" s="658" t="s">
        <v>1026</v>
      </c>
      <c r="M40" s="256">
        <f t="shared" si="0"/>
        <v>2021</v>
      </c>
      <c r="N40" s="255">
        <f t="shared" si="1"/>
        <v>2022</v>
      </c>
    </row>
    <row r="41" spans="1:14" ht="15" customHeight="1">
      <c r="A41" s="975">
        <v>6</v>
      </c>
      <c r="B41" s="991" t="s">
        <v>73</v>
      </c>
      <c r="C41" s="274" t="s">
        <v>15</v>
      </c>
      <c r="D41" s="977" t="s">
        <v>1097</v>
      </c>
      <c r="E41" s="275" t="s">
        <v>1098</v>
      </c>
      <c r="F41" s="658" t="s">
        <v>996</v>
      </c>
      <c r="G41" s="276">
        <v>270</v>
      </c>
      <c r="H41" s="277" t="s">
        <v>1099</v>
      </c>
      <c r="I41" s="285">
        <v>43910</v>
      </c>
      <c r="J41" s="275" t="s">
        <v>1100</v>
      </c>
      <c r="K41" s="984">
        <v>6680.95</v>
      </c>
      <c r="L41" s="977" t="s">
        <v>1101</v>
      </c>
      <c r="M41" s="256">
        <f t="shared" si="0"/>
        <v>2021</v>
      </c>
      <c r="N41" s="255">
        <f t="shared" si="1"/>
        <v>2022</v>
      </c>
    </row>
    <row r="42" spans="1:14" ht="15" customHeight="1">
      <c r="A42" s="975"/>
      <c r="B42" s="991"/>
      <c r="C42" s="259" t="s">
        <v>15</v>
      </c>
      <c r="D42" s="977"/>
      <c r="E42" s="275" t="s">
        <v>1098</v>
      </c>
      <c r="F42" s="658" t="s">
        <v>1001</v>
      </c>
      <c r="G42" s="276">
        <v>270</v>
      </c>
      <c r="H42" s="277" t="s">
        <v>997</v>
      </c>
      <c r="I42" s="658" t="s">
        <v>1030</v>
      </c>
      <c r="J42" s="275" t="s">
        <v>1031</v>
      </c>
      <c r="K42" s="984"/>
      <c r="L42" s="977"/>
      <c r="M42" s="256">
        <f t="shared" si="0"/>
        <v>2021</v>
      </c>
      <c r="N42" s="255">
        <f t="shared" si="1"/>
        <v>2022</v>
      </c>
    </row>
    <row r="43" spans="1:14" ht="15" customHeight="1">
      <c r="A43" s="975"/>
      <c r="B43" s="991"/>
      <c r="C43" s="259" t="s">
        <v>15</v>
      </c>
      <c r="D43" s="977"/>
      <c r="E43" s="275" t="s">
        <v>1098</v>
      </c>
      <c r="F43" s="658" t="s">
        <v>1005</v>
      </c>
      <c r="G43" s="276">
        <v>270</v>
      </c>
      <c r="H43" s="277" t="s">
        <v>1017</v>
      </c>
      <c r="I43" s="658" t="s">
        <v>1013</v>
      </c>
      <c r="J43" s="275" t="s">
        <v>1018</v>
      </c>
      <c r="K43" s="984"/>
      <c r="L43" s="977"/>
      <c r="M43" s="256">
        <f t="shared" si="0"/>
        <v>2021</v>
      </c>
      <c r="N43" s="255">
        <f t="shared" si="1"/>
        <v>2022</v>
      </c>
    </row>
    <row r="44" spans="1:14" ht="15" customHeight="1">
      <c r="A44" s="975"/>
      <c r="B44" s="991"/>
      <c r="C44" s="260" t="s">
        <v>15</v>
      </c>
      <c r="D44" s="977"/>
      <c r="E44" s="275" t="s">
        <v>1098</v>
      </c>
      <c r="F44" s="658" t="s">
        <v>1011</v>
      </c>
      <c r="G44" s="276">
        <v>270</v>
      </c>
      <c r="H44" s="277" t="s">
        <v>1045</v>
      </c>
      <c r="I44" s="658" t="s">
        <v>1035</v>
      </c>
      <c r="J44" s="275" t="s">
        <v>1036</v>
      </c>
      <c r="K44" s="984"/>
      <c r="L44" s="977"/>
      <c r="M44" s="256">
        <f t="shared" si="0"/>
        <v>2022</v>
      </c>
      <c r="N44" s="255">
        <f t="shared" si="1"/>
        <v>2023</v>
      </c>
    </row>
    <row r="45" spans="1:14" ht="31.5" customHeight="1">
      <c r="A45" s="649">
        <v>7</v>
      </c>
      <c r="B45" s="653" t="s">
        <v>13</v>
      </c>
      <c r="C45" s="278" t="s">
        <v>13</v>
      </c>
      <c r="D45" s="650" t="s">
        <v>1102</v>
      </c>
      <c r="E45" s="286" t="s">
        <v>1103</v>
      </c>
      <c r="F45" s="659" t="s">
        <v>996</v>
      </c>
      <c r="G45" s="279">
        <v>660</v>
      </c>
      <c r="H45" s="280" t="s">
        <v>1019</v>
      </c>
      <c r="I45" s="659" t="s">
        <v>1104</v>
      </c>
      <c r="J45" s="287"/>
      <c r="K45" s="657">
        <v>791.4</v>
      </c>
      <c r="L45" s="659" t="s">
        <v>1105</v>
      </c>
      <c r="M45" s="256" t="str">
        <f t="shared" si="0"/>
        <v/>
      </c>
      <c r="N45" s="255" t="str">
        <f t="shared" si="1"/>
        <v>UNCERTAIN</v>
      </c>
    </row>
    <row r="46" spans="1:14" ht="12.75" customHeight="1">
      <c r="A46" s="975">
        <v>8</v>
      </c>
      <c r="B46" s="998" t="s">
        <v>13</v>
      </c>
      <c r="C46" s="278" t="s">
        <v>13</v>
      </c>
      <c r="D46" s="977" t="s">
        <v>1106</v>
      </c>
      <c r="E46" s="275" t="s">
        <v>1069</v>
      </c>
      <c r="F46" s="658" t="s">
        <v>996</v>
      </c>
      <c r="G46" s="276">
        <v>660</v>
      </c>
      <c r="H46" s="277" t="s">
        <v>1019</v>
      </c>
      <c r="I46" s="658" t="s">
        <v>1020</v>
      </c>
      <c r="J46" s="275" t="s">
        <v>1021</v>
      </c>
      <c r="K46" s="984">
        <v>4053.1</v>
      </c>
      <c r="L46" s="983" t="s">
        <v>1026</v>
      </c>
      <c r="M46" s="256">
        <f t="shared" si="0"/>
        <v>2022</v>
      </c>
      <c r="N46" s="255">
        <f t="shared" si="1"/>
        <v>2023</v>
      </c>
    </row>
    <row r="47" spans="1:14" ht="20.85" customHeight="1">
      <c r="A47" s="975"/>
      <c r="B47" s="998"/>
      <c r="C47" s="258" t="s">
        <v>13</v>
      </c>
      <c r="D47" s="977"/>
      <c r="E47" s="275" t="s">
        <v>1069</v>
      </c>
      <c r="F47" s="658" t="s">
        <v>1001</v>
      </c>
      <c r="G47" s="276">
        <v>660</v>
      </c>
      <c r="H47" s="277" t="s">
        <v>1059</v>
      </c>
      <c r="I47" s="658" t="s">
        <v>1008</v>
      </c>
      <c r="J47" s="275" t="s">
        <v>1038</v>
      </c>
      <c r="K47" s="984"/>
      <c r="L47" s="983"/>
      <c r="M47" s="256">
        <f t="shared" si="0"/>
        <v>2022</v>
      </c>
      <c r="N47" s="255">
        <f t="shared" si="1"/>
        <v>2023</v>
      </c>
    </row>
    <row r="48" spans="1:14" ht="25.5" customHeight="1">
      <c r="A48" s="649">
        <v>9</v>
      </c>
      <c r="B48" s="653" t="s">
        <v>13</v>
      </c>
      <c r="C48" s="278" t="s">
        <v>13</v>
      </c>
      <c r="D48" s="650" t="s">
        <v>1107</v>
      </c>
      <c r="E48" s="275" t="s">
        <v>1108</v>
      </c>
      <c r="F48" s="658" t="s">
        <v>996</v>
      </c>
      <c r="G48" s="276">
        <v>800</v>
      </c>
      <c r="H48" s="277" t="s">
        <v>1072</v>
      </c>
      <c r="I48" s="658" t="s">
        <v>999</v>
      </c>
      <c r="J48" s="275" t="s">
        <v>1018</v>
      </c>
      <c r="K48" s="651">
        <v>5304.14</v>
      </c>
      <c r="L48" s="658" t="s">
        <v>1065</v>
      </c>
      <c r="M48" s="256">
        <f t="shared" si="0"/>
        <v>2021</v>
      </c>
      <c r="N48" s="255">
        <f t="shared" si="1"/>
        <v>2022</v>
      </c>
    </row>
    <row r="49" spans="1:14" ht="15" customHeight="1">
      <c r="A49" s="975">
        <v>10</v>
      </c>
      <c r="B49" s="998" t="s">
        <v>13</v>
      </c>
      <c r="C49" s="278" t="s">
        <v>13</v>
      </c>
      <c r="D49" s="977" t="s">
        <v>1109</v>
      </c>
      <c r="E49" s="1006" t="s">
        <v>1105</v>
      </c>
      <c r="F49" s="658" t="s">
        <v>996</v>
      </c>
      <c r="G49" s="276">
        <v>660</v>
      </c>
      <c r="H49" s="277" t="s">
        <v>1014</v>
      </c>
      <c r="I49" s="658" t="s">
        <v>1110</v>
      </c>
      <c r="J49" s="275" t="s">
        <v>1073</v>
      </c>
      <c r="K49" s="982">
        <v>993.26</v>
      </c>
      <c r="L49" s="983" t="s">
        <v>1026</v>
      </c>
      <c r="M49" s="256">
        <f t="shared" si="0"/>
        <v>2023</v>
      </c>
      <c r="N49" s="255">
        <f t="shared" si="1"/>
        <v>2024</v>
      </c>
    </row>
    <row r="50" spans="1:14" ht="15" customHeight="1">
      <c r="A50" s="975"/>
      <c r="B50" s="998"/>
      <c r="C50" s="258" t="s">
        <v>13</v>
      </c>
      <c r="D50" s="977"/>
      <c r="E50" s="1006"/>
      <c r="F50" s="658" t="s">
        <v>1001</v>
      </c>
      <c r="G50" s="276">
        <v>660</v>
      </c>
      <c r="H50" s="277" t="s">
        <v>1014</v>
      </c>
      <c r="I50" s="658" t="s">
        <v>1024</v>
      </c>
      <c r="J50" s="275" t="s">
        <v>1075</v>
      </c>
      <c r="K50" s="982"/>
      <c r="L50" s="983"/>
      <c r="M50" s="256">
        <f t="shared" si="0"/>
        <v>2024</v>
      </c>
      <c r="N50" s="255">
        <f t="shared" si="1"/>
        <v>2025</v>
      </c>
    </row>
    <row r="51" spans="1:14" ht="15" customHeight="1">
      <c r="A51" s="975">
        <v>11</v>
      </c>
      <c r="B51" s="998" t="s">
        <v>13</v>
      </c>
      <c r="C51" s="278" t="s">
        <v>13</v>
      </c>
      <c r="D51" s="977" t="s">
        <v>1111</v>
      </c>
      <c r="E51" s="275" t="s">
        <v>1055</v>
      </c>
      <c r="F51" s="658" t="s">
        <v>996</v>
      </c>
      <c r="G51" s="276">
        <v>800</v>
      </c>
      <c r="H51" s="277" t="s">
        <v>1072</v>
      </c>
      <c r="I51" s="658" t="s">
        <v>1110</v>
      </c>
      <c r="J51" s="275" t="s">
        <v>1073</v>
      </c>
      <c r="K51" s="984">
        <v>2761.83</v>
      </c>
      <c r="L51" s="983" t="s">
        <v>1026</v>
      </c>
      <c r="M51" s="256">
        <f t="shared" si="0"/>
        <v>2023</v>
      </c>
      <c r="N51" s="255">
        <f t="shared" si="1"/>
        <v>2024</v>
      </c>
    </row>
    <row r="52" spans="1:14" ht="16.7" customHeight="1">
      <c r="A52" s="975"/>
      <c r="B52" s="998"/>
      <c r="C52" s="258" t="s">
        <v>13</v>
      </c>
      <c r="D52" s="977"/>
      <c r="E52" s="275" t="s">
        <v>1055</v>
      </c>
      <c r="F52" s="658" t="s">
        <v>1001</v>
      </c>
      <c r="G52" s="276">
        <v>800</v>
      </c>
      <c r="H52" s="277" t="s">
        <v>1112</v>
      </c>
      <c r="I52" s="658" t="s">
        <v>1024</v>
      </c>
      <c r="J52" s="275" t="s">
        <v>1075</v>
      </c>
      <c r="K52" s="984"/>
      <c r="L52" s="983"/>
      <c r="M52" s="256">
        <f t="shared" si="0"/>
        <v>2024</v>
      </c>
      <c r="N52" s="255">
        <f t="shared" si="1"/>
        <v>2025</v>
      </c>
    </row>
    <row r="53" spans="1:14" ht="25.5" customHeight="1">
      <c r="A53" s="662">
        <v>12</v>
      </c>
      <c r="B53" s="261" t="s">
        <v>0</v>
      </c>
      <c r="C53" s="262" t="s">
        <v>0</v>
      </c>
      <c r="D53" s="663" t="s">
        <v>1113</v>
      </c>
      <c r="E53" s="288" t="s">
        <v>1114</v>
      </c>
      <c r="F53" s="263" t="s">
        <v>996</v>
      </c>
      <c r="G53" s="264">
        <v>660</v>
      </c>
      <c r="H53" s="265" t="s">
        <v>1023</v>
      </c>
      <c r="I53" s="263" t="s">
        <v>1100</v>
      </c>
      <c r="J53" s="288" t="s">
        <v>1115</v>
      </c>
      <c r="K53" s="289">
        <v>3063.61</v>
      </c>
      <c r="L53" s="263" t="s">
        <v>1116</v>
      </c>
      <c r="M53" s="256">
        <f t="shared" si="0"/>
        <v>2021</v>
      </c>
      <c r="N53" s="255">
        <f t="shared" si="1"/>
        <v>2022</v>
      </c>
    </row>
    <row r="54" spans="1:14" ht="12.75" customHeight="1">
      <c r="A54" s="985">
        <v>13</v>
      </c>
      <c r="B54" s="986" t="s">
        <v>73</v>
      </c>
      <c r="C54" s="260" t="s">
        <v>15</v>
      </c>
      <c r="D54" s="987" t="s">
        <v>1117</v>
      </c>
      <c r="E54" s="1004" t="s">
        <v>1118</v>
      </c>
      <c r="F54" s="271" t="s">
        <v>996</v>
      </c>
      <c r="G54" s="272">
        <v>800</v>
      </c>
      <c r="H54" s="664" t="s">
        <v>948</v>
      </c>
      <c r="I54" s="270" t="s">
        <v>1078</v>
      </c>
      <c r="J54" s="271" t="s">
        <v>1119</v>
      </c>
      <c r="K54" s="1005">
        <v>6535.5</v>
      </c>
      <c r="L54" s="1002" t="s">
        <v>1026</v>
      </c>
      <c r="M54" s="256">
        <f t="shared" si="0"/>
        <v>2024</v>
      </c>
      <c r="N54" s="255">
        <f t="shared" si="1"/>
        <v>2025</v>
      </c>
    </row>
    <row r="55" spans="1:14" ht="12.75" customHeight="1">
      <c r="A55" s="985"/>
      <c r="B55" s="986"/>
      <c r="C55" s="259" t="s">
        <v>15</v>
      </c>
      <c r="D55" s="987"/>
      <c r="E55" s="1004"/>
      <c r="F55" s="658" t="s">
        <v>1001</v>
      </c>
      <c r="G55" s="276">
        <v>800</v>
      </c>
      <c r="H55" s="652" t="s">
        <v>998</v>
      </c>
      <c r="I55" s="275" t="s">
        <v>1075</v>
      </c>
      <c r="J55" s="658" t="s">
        <v>1119</v>
      </c>
      <c r="K55" s="1005"/>
      <c r="L55" s="1002"/>
      <c r="M55" s="256">
        <f t="shared" si="0"/>
        <v>2024</v>
      </c>
      <c r="N55" s="255">
        <f t="shared" si="1"/>
        <v>2025</v>
      </c>
    </row>
    <row r="56" spans="1:14" ht="12.75" customHeight="1">
      <c r="A56" s="985"/>
      <c r="B56" s="986"/>
      <c r="C56" s="259" t="s">
        <v>15</v>
      </c>
      <c r="D56" s="987"/>
      <c r="E56" s="1004"/>
      <c r="F56" s="658" t="s">
        <v>1005</v>
      </c>
      <c r="G56" s="276">
        <v>800</v>
      </c>
      <c r="H56" s="652" t="s">
        <v>1008</v>
      </c>
      <c r="I56" s="275" t="s">
        <v>1120</v>
      </c>
      <c r="J56" s="658" t="s">
        <v>1025</v>
      </c>
      <c r="K56" s="1005"/>
      <c r="L56" s="1002"/>
      <c r="M56" s="256">
        <f t="shared" si="0"/>
        <v>2024</v>
      </c>
      <c r="N56" s="255">
        <f t="shared" si="1"/>
        <v>2025</v>
      </c>
    </row>
    <row r="57" spans="1:14" ht="12.75" customHeight="1">
      <c r="A57" s="985"/>
      <c r="B57" s="986"/>
      <c r="C57" s="259" t="s">
        <v>15</v>
      </c>
      <c r="D57" s="987"/>
      <c r="E57" s="1004"/>
      <c r="F57" s="658" t="s">
        <v>1011</v>
      </c>
      <c r="G57" s="276">
        <v>800</v>
      </c>
      <c r="H57" s="652" t="s">
        <v>1008</v>
      </c>
      <c r="I57" s="275" t="s">
        <v>1120</v>
      </c>
      <c r="J57" s="658" t="s">
        <v>1025</v>
      </c>
      <c r="K57" s="1005"/>
      <c r="L57" s="1002"/>
      <c r="M57" s="256">
        <f t="shared" si="0"/>
        <v>2024</v>
      </c>
      <c r="N57" s="255">
        <f t="shared" si="1"/>
        <v>2025</v>
      </c>
    </row>
    <row r="58" spans="1:14" ht="12.75" customHeight="1">
      <c r="A58" s="985"/>
      <c r="B58" s="986"/>
      <c r="C58" s="259" t="s">
        <v>15</v>
      </c>
      <c r="D58" s="987"/>
      <c r="E58" s="1004"/>
      <c r="F58" s="658" t="s">
        <v>1121</v>
      </c>
      <c r="G58" s="276">
        <v>800</v>
      </c>
      <c r="H58" s="652" t="s">
        <v>1008</v>
      </c>
      <c r="I58" s="275" t="s">
        <v>1075</v>
      </c>
      <c r="J58" s="658" t="s">
        <v>1119</v>
      </c>
      <c r="K58" s="1005"/>
      <c r="L58" s="1002"/>
      <c r="M58" s="256">
        <f t="shared" si="0"/>
        <v>2024</v>
      </c>
      <c r="N58" s="255">
        <f t="shared" si="1"/>
        <v>2025</v>
      </c>
    </row>
    <row r="59" spans="1:14" ht="12.75" customHeight="1">
      <c r="A59" s="975">
        <v>14</v>
      </c>
      <c r="B59" s="998" t="s">
        <v>0</v>
      </c>
      <c r="C59" s="278" t="s">
        <v>0</v>
      </c>
      <c r="D59" s="977" t="s">
        <v>1122</v>
      </c>
      <c r="E59" s="658" t="s">
        <v>1062</v>
      </c>
      <c r="F59" s="658" t="s">
        <v>996</v>
      </c>
      <c r="G59" s="276">
        <v>660</v>
      </c>
      <c r="H59" s="652" t="s">
        <v>1046</v>
      </c>
      <c r="I59" s="275" t="s">
        <v>1021</v>
      </c>
      <c r="J59" s="658" t="s">
        <v>1008</v>
      </c>
      <c r="K59" s="1003">
        <v>3986.3</v>
      </c>
      <c r="L59" s="979" t="s">
        <v>1026</v>
      </c>
      <c r="M59" s="256">
        <f t="shared" si="0"/>
        <v>2022</v>
      </c>
      <c r="N59" s="255">
        <f t="shared" si="1"/>
        <v>2023</v>
      </c>
    </row>
    <row r="60" spans="1:14" ht="12.75" customHeight="1">
      <c r="A60" s="975"/>
      <c r="B60" s="998"/>
      <c r="C60" s="258" t="s">
        <v>0</v>
      </c>
      <c r="D60" s="977"/>
      <c r="E60" s="658" t="s">
        <v>1062</v>
      </c>
      <c r="F60" s="658" t="s">
        <v>1001</v>
      </c>
      <c r="G60" s="276">
        <v>660</v>
      </c>
      <c r="H60" s="652" t="s">
        <v>1018</v>
      </c>
      <c r="I60" s="275" t="s">
        <v>1039</v>
      </c>
      <c r="J60" s="658" t="s">
        <v>1066</v>
      </c>
      <c r="K60" s="1003"/>
      <c r="L60" s="979"/>
      <c r="M60" s="256">
        <f t="shared" si="0"/>
        <v>2022</v>
      </c>
      <c r="N60" s="255">
        <f t="shared" si="1"/>
        <v>2023</v>
      </c>
    </row>
    <row r="61" spans="1:14" ht="12.75" customHeight="1">
      <c r="A61" s="649">
        <v>15</v>
      </c>
      <c r="B61" s="653" t="s">
        <v>0</v>
      </c>
      <c r="C61" s="278" t="s">
        <v>0</v>
      </c>
      <c r="D61" s="650" t="s">
        <v>1123</v>
      </c>
      <c r="E61" s="658" t="s">
        <v>1059</v>
      </c>
      <c r="F61" s="658" t="s">
        <v>996</v>
      </c>
      <c r="G61" s="276">
        <v>660</v>
      </c>
      <c r="H61" s="652" t="s">
        <v>1039</v>
      </c>
      <c r="I61" s="275" t="s">
        <v>1039</v>
      </c>
      <c r="J61" s="658" t="s">
        <v>1066</v>
      </c>
      <c r="K61" s="276">
        <v>16</v>
      </c>
      <c r="L61" s="658" t="s">
        <v>1124</v>
      </c>
      <c r="M61" s="256">
        <f t="shared" si="0"/>
        <v>2022</v>
      </c>
      <c r="N61" s="255">
        <f t="shared" si="1"/>
        <v>2023</v>
      </c>
    </row>
    <row r="62" spans="1:14" ht="12.75" customHeight="1">
      <c r="A62" s="975">
        <v>16</v>
      </c>
      <c r="B62" s="998" t="s">
        <v>0</v>
      </c>
      <c r="C62" s="278" t="s">
        <v>0</v>
      </c>
      <c r="D62" s="977" t="s">
        <v>1125</v>
      </c>
      <c r="E62" s="658" t="s">
        <v>1062</v>
      </c>
      <c r="F62" s="658" t="s">
        <v>996</v>
      </c>
      <c r="G62" s="276">
        <v>660</v>
      </c>
      <c r="H62" s="652" t="s">
        <v>1046</v>
      </c>
      <c r="I62" s="275" t="s">
        <v>1004</v>
      </c>
      <c r="J62" s="658" t="s">
        <v>1036</v>
      </c>
      <c r="K62" s="980">
        <v>3018.19</v>
      </c>
      <c r="L62" s="979" t="s">
        <v>1126</v>
      </c>
      <c r="M62" s="256">
        <f t="shared" si="0"/>
        <v>2022</v>
      </c>
      <c r="N62" s="255">
        <f t="shared" si="1"/>
        <v>2023</v>
      </c>
    </row>
    <row r="63" spans="1:14" ht="12.75" customHeight="1">
      <c r="A63" s="975"/>
      <c r="B63" s="998"/>
      <c r="C63" s="258" t="s">
        <v>0</v>
      </c>
      <c r="D63" s="977"/>
      <c r="E63" s="658" t="s">
        <v>1062</v>
      </c>
      <c r="F63" s="658" t="s">
        <v>1001</v>
      </c>
      <c r="G63" s="276">
        <v>660</v>
      </c>
      <c r="H63" s="652" t="s">
        <v>1013</v>
      </c>
      <c r="I63" s="275" t="s">
        <v>1020</v>
      </c>
      <c r="J63" s="658" t="s">
        <v>1038</v>
      </c>
      <c r="K63" s="980"/>
      <c r="L63" s="979"/>
      <c r="M63" s="256">
        <f t="shared" si="0"/>
        <v>2022</v>
      </c>
      <c r="N63" s="255">
        <f t="shared" si="1"/>
        <v>2023</v>
      </c>
    </row>
    <row r="64" spans="1:14" ht="12.75" customHeight="1">
      <c r="A64" s="975">
        <v>1</v>
      </c>
      <c r="B64" s="998" t="s">
        <v>14</v>
      </c>
      <c r="C64" s="278" t="s">
        <v>14</v>
      </c>
      <c r="D64" s="977" t="s">
        <v>1127</v>
      </c>
      <c r="E64" s="658" t="s">
        <v>1128</v>
      </c>
      <c r="F64" s="658" t="s">
        <v>996</v>
      </c>
      <c r="G64" s="276">
        <v>660</v>
      </c>
      <c r="H64" s="652" t="s">
        <v>1129</v>
      </c>
      <c r="I64" s="652" t="s">
        <v>1130</v>
      </c>
      <c r="J64" s="658" t="s">
        <v>1130</v>
      </c>
      <c r="K64" s="990">
        <v>3785.6</v>
      </c>
      <c r="L64" s="983" t="s">
        <v>1108</v>
      </c>
      <c r="M64" s="256" t="e">
        <f t="shared" si="0"/>
        <v>#VALUE!</v>
      </c>
      <c r="N64" s="255" t="str">
        <f t="shared" si="1"/>
        <v>UNCERTAIN</v>
      </c>
    </row>
    <row r="65" spans="1:14" ht="20.85" customHeight="1">
      <c r="A65" s="975"/>
      <c r="B65" s="998"/>
      <c r="C65" s="258" t="s">
        <v>14</v>
      </c>
      <c r="D65" s="977"/>
      <c r="E65" s="658" t="s">
        <v>1128</v>
      </c>
      <c r="F65" s="658" t="s">
        <v>1001</v>
      </c>
      <c r="G65" s="276">
        <v>660</v>
      </c>
      <c r="H65" s="652" t="s">
        <v>1131</v>
      </c>
      <c r="I65" s="652" t="s">
        <v>1130</v>
      </c>
      <c r="J65" s="658" t="s">
        <v>1130</v>
      </c>
      <c r="K65" s="990"/>
      <c r="L65" s="983"/>
      <c r="M65" s="256" t="e">
        <f t="shared" si="0"/>
        <v>#VALUE!</v>
      </c>
      <c r="N65" s="255" t="str">
        <f t="shared" si="1"/>
        <v>UNCERTAIN</v>
      </c>
    </row>
    <row r="66" spans="1:14" ht="12.75" customHeight="1">
      <c r="A66" s="975">
        <v>2</v>
      </c>
      <c r="B66" s="998" t="s">
        <v>14</v>
      </c>
      <c r="C66" s="278" t="s">
        <v>14</v>
      </c>
      <c r="D66" s="977" t="s">
        <v>1132</v>
      </c>
      <c r="E66" s="658" t="s">
        <v>1133</v>
      </c>
      <c r="F66" s="658" t="s">
        <v>1005</v>
      </c>
      <c r="G66" s="276">
        <v>350</v>
      </c>
      <c r="H66" s="652" t="s">
        <v>1134</v>
      </c>
      <c r="I66" s="275" t="s">
        <v>1135</v>
      </c>
      <c r="J66" s="658" t="s">
        <v>1135</v>
      </c>
      <c r="K66" s="990">
        <v>5414.4</v>
      </c>
      <c r="L66" s="983" t="s">
        <v>1040</v>
      </c>
      <c r="M66" s="256" t="e">
        <f t="shared" si="0"/>
        <v>#VALUE!</v>
      </c>
      <c r="N66" s="255" t="str">
        <f t="shared" si="1"/>
        <v>UNCERTAIN</v>
      </c>
    </row>
    <row r="67" spans="1:14" ht="30.95" customHeight="1">
      <c r="A67" s="975"/>
      <c r="B67" s="998"/>
      <c r="C67" s="258" t="s">
        <v>14</v>
      </c>
      <c r="D67" s="977"/>
      <c r="E67" s="659" t="s">
        <v>1133</v>
      </c>
      <c r="F67" s="659" t="s">
        <v>1011</v>
      </c>
      <c r="G67" s="279">
        <v>350</v>
      </c>
      <c r="H67" s="655" t="s">
        <v>1136</v>
      </c>
      <c r="I67" s="654" t="s">
        <v>1135</v>
      </c>
      <c r="J67" s="659" t="s">
        <v>1135</v>
      </c>
      <c r="K67" s="990"/>
      <c r="L67" s="983"/>
      <c r="M67" s="256" t="e">
        <f t="shared" si="0"/>
        <v>#VALUE!</v>
      </c>
      <c r="N67" s="255" t="str">
        <f t="shared" si="1"/>
        <v>UNCERTAIN</v>
      </c>
    </row>
    <row r="68" spans="1:14" ht="12.75" customHeight="1">
      <c r="A68" s="975">
        <v>3</v>
      </c>
      <c r="B68" s="999" t="s">
        <v>485</v>
      </c>
      <c r="C68" s="278" t="s">
        <v>19</v>
      </c>
      <c r="D68" s="977" t="s">
        <v>1137</v>
      </c>
      <c r="E68" s="658" t="s">
        <v>1138</v>
      </c>
      <c r="F68" s="658" t="s">
        <v>996</v>
      </c>
      <c r="G68" s="276">
        <v>660</v>
      </c>
      <c r="H68" s="652" t="s">
        <v>1139</v>
      </c>
      <c r="I68" s="652" t="s">
        <v>1130</v>
      </c>
      <c r="J68" s="658" t="s">
        <v>1130</v>
      </c>
      <c r="K68" s="1000" t="s">
        <v>434</v>
      </c>
      <c r="L68" s="1001"/>
      <c r="M68" s="256" t="e">
        <f t="shared" si="0"/>
        <v>#VALUE!</v>
      </c>
      <c r="N68" s="255" t="str">
        <f t="shared" si="1"/>
        <v>UNCERTAIN</v>
      </c>
    </row>
    <row r="69" spans="1:14" ht="12.75" customHeight="1">
      <c r="A69" s="975"/>
      <c r="B69" s="999"/>
      <c r="C69" s="257" t="s">
        <v>19</v>
      </c>
      <c r="D69" s="977"/>
      <c r="E69" s="658" t="s">
        <v>1138</v>
      </c>
      <c r="F69" s="658" t="s">
        <v>1001</v>
      </c>
      <c r="G69" s="276">
        <v>660</v>
      </c>
      <c r="H69" s="652" t="s">
        <v>1140</v>
      </c>
      <c r="I69" s="652" t="s">
        <v>1130</v>
      </c>
      <c r="J69" s="658" t="s">
        <v>1130</v>
      </c>
      <c r="K69" s="1000"/>
      <c r="L69" s="1001"/>
      <c r="M69" s="256" t="e">
        <f t="shared" si="0"/>
        <v>#VALUE!</v>
      </c>
      <c r="N69" s="255" t="str">
        <f t="shared" si="1"/>
        <v>UNCERTAIN</v>
      </c>
    </row>
    <row r="70" spans="1:14" ht="12.75" customHeight="1">
      <c r="A70" s="975"/>
      <c r="B70" s="999"/>
      <c r="C70" s="257" t="s">
        <v>19</v>
      </c>
      <c r="D70" s="977"/>
      <c r="E70" s="658" t="s">
        <v>1138</v>
      </c>
      <c r="F70" s="658" t="s">
        <v>1005</v>
      </c>
      <c r="G70" s="276">
        <v>660</v>
      </c>
      <c r="H70" s="652" t="s">
        <v>1141</v>
      </c>
      <c r="I70" s="652" t="s">
        <v>1130</v>
      </c>
      <c r="J70" s="658" t="s">
        <v>1130</v>
      </c>
      <c r="K70" s="1000"/>
      <c r="L70" s="1001"/>
      <c r="M70" s="256" t="e">
        <f t="shared" ref="M70:M133" si="2">IF(ISBLANK(J70),"",IF(MONTH(J70)&gt;3,YEAR(J70)+1,YEAR(J70)))</f>
        <v>#VALUE!</v>
      </c>
      <c r="N70" s="255" t="str">
        <f t="shared" ref="N70:N133" si="3">IF(ISNUMBER(M70),M70+1,IF(OR(J70="PERMITTED",J70="PRE-PERMIT"),J70,"UNCERTAIN"))</f>
        <v>UNCERTAIN</v>
      </c>
    </row>
    <row r="71" spans="1:14" ht="12.75" customHeight="1">
      <c r="A71" s="975"/>
      <c r="B71" s="999"/>
      <c r="C71" s="258" t="s">
        <v>19</v>
      </c>
      <c r="D71" s="977"/>
      <c r="E71" s="658" t="s">
        <v>1138</v>
      </c>
      <c r="F71" s="658" t="s">
        <v>1011</v>
      </c>
      <c r="G71" s="276">
        <v>660</v>
      </c>
      <c r="H71" s="652" t="s">
        <v>1142</v>
      </c>
      <c r="I71" s="652" t="s">
        <v>1130</v>
      </c>
      <c r="J71" s="658" t="s">
        <v>1130</v>
      </c>
      <c r="K71" s="1000"/>
      <c r="L71" s="1001"/>
      <c r="M71" s="256" t="e">
        <f t="shared" si="2"/>
        <v>#VALUE!</v>
      </c>
      <c r="N71" s="255" t="str">
        <f t="shared" si="3"/>
        <v>UNCERTAIN</v>
      </c>
    </row>
    <row r="72" spans="1:14" ht="12.75" customHeight="1">
      <c r="A72" s="975">
        <v>4</v>
      </c>
      <c r="B72" s="981" t="s">
        <v>624</v>
      </c>
      <c r="C72" s="290" t="s">
        <v>18</v>
      </c>
      <c r="D72" s="977" t="s">
        <v>1143</v>
      </c>
      <c r="E72" s="658" t="s">
        <v>1144</v>
      </c>
      <c r="F72" s="658" t="s">
        <v>1011</v>
      </c>
      <c r="G72" s="276">
        <v>600</v>
      </c>
      <c r="H72" s="652" t="s">
        <v>1145</v>
      </c>
      <c r="I72" s="275" t="s">
        <v>1135</v>
      </c>
      <c r="J72" s="658" t="s">
        <v>1135</v>
      </c>
      <c r="K72" s="984">
        <v>18730</v>
      </c>
      <c r="L72" s="983" t="s">
        <v>1062</v>
      </c>
      <c r="M72" s="256" t="e">
        <f t="shared" si="2"/>
        <v>#VALUE!</v>
      </c>
      <c r="N72" s="255" t="str">
        <f t="shared" si="3"/>
        <v>UNCERTAIN</v>
      </c>
    </row>
    <row r="73" spans="1:14" ht="12.75" customHeight="1">
      <c r="A73" s="975"/>
      <c r="B73" s="981"/>
      <c r="C73" s="291" t="s">
        <v>18</v>
      </c>
      <c r="D73" s="977"/>
      <c r="E73" s="658" t="s">
        <v>1144</v>
      </c>
      <c r="F73" s="658" t="s">
        <v>1121</v>
      </c>
      <c r="G73" s="276">
        <v>600</v>
      </c>
      <c r="H73" s="652" t="s">
        <v>1146</v>
      </c>
      <c r="I73" s="275" t="s">
        <v>1147</v>
      </c>
      <c r="J73" s="658" t="s">
        <v>1147</v>
      </c>
      <c r="K73" s="984"/>
      <c r="L73" s="983"/>
      <c r="M73" s="256" t="e">
        <f t="shared" si="2"/>
        <v>#VALUE!</v>
      </c>
      <c r="N73" s="255" t="str">
        <f t="shared" si="3"/>
        <v>UNCERTAIN</v>
      </c>
    </row>
    <row r="74" spans="1:14" ht="12.75" customHeight="1">
      <c r="A74" s="975"/>
      <c r="B74" s="981"/>
      <c r="C74" s="292" t="s">
        <v>18</v>
      </c>
      <c r="D74" s="977"/>
      <c r="E74" s="658" t="s">
        <v>1144</v>
      </c>
      <c r="F74" s="658" t="s">
        <v>1070</v>
      </c>
      <c r="G74" s="276">
        <v>600</v>
      </c>
      <c r="H74" s="652" t="s">
        <v>1058</v>
      </c>
      <c r="I74" s="275" t="s">
        <v>1147</v>
      </c>
      <c r="J74" s="658" t="s">
        <v>1147</v>
      </c>
      <c r="K74" s="984"/>
      <c r="L74" s="983"/>
      <c r="M74" s="256" t="e">
        <f t="shared" si="2"/>
        <v>#VALUE!</v>
      </c>
      <c r="N74" s="255" t="str">
        <f t="shared" si="3"/>
        <v>UNCERTAIN</v>
      </c>
    </row>
    <row r="75" spans="1:14" ht="12.75" customHeight="1">
      <c r="A75" s="975">
        <v>5</v>
      </c>
      <c r="B75" s="981" t="s">
        <v>624</v>
      </c>
      <c r="C75" s="290" t="s">
        <v>18</v>
      </c>
      <c r="D75" s="977" t="s">
        <v>1148</v>
      </c>
      <c r="E75" s="658" t="s">
        <v>1138</v>
      </c>
      <c r="F75" s="658" t="s">
        <v>1005</v>
      </c>
      <c r="G75" s="276">
        <v>300</v>
      </c>
      <c r="H75" s="652" t="s">
        <v>1131</v>
      </c>
      <c r="I75" s="275" t="s">
        <v>1147</v>
      </c>
      <c r="J75" s="658" t="s">
        <v>1147</v>
      </c>
      <c r="K75" s="992">
        <v>3828</v>
      </c>
      <c r="L75" s="983" t="s">
        <v>1149</v>
      </c>
      <c r="M75" s="256" t="e">
        <f t="shared" si="2"/>
        <v>#VALUE!</v>
      </c>
      <c r="N75" s="255" t="str">
        <f t="shared" si="3"/>
        <v>UNCERTAIN</v>
      </c>
    </row>
    <row r="76" spans="1:14" ht="30.95" customHeight="1">
      <c r="A76" s="975"/>
      <c r="B76" s="981"/>
      <c r="C76" s="292" t="s">
        <v>18</v>
      </c>
      <c r="D76" s="977"/>
      <c r="E76" s="659" t="s">
        <v>1138</v>
      </c>
      <c r="F76" s="659" t="s">
        <v>1011</v>
      </c>
      <c r="G76" s="279">
        <v>300</v>
      </c>
      <c r="H76" s="655" t="s">
        <v>1150</v>
      </c>
      <c r="I76" s="654" t="s">
        <v>1147</v>
      </c>
      <c r="J76" s="659" t="s">
        <v>1147</v>
      </c>
      <c r="K76" s="992"/>
      <c r="L76" s="983"/>
      <c r="M76" s="256" t="e">
        <f t="shared" si="2"/>
        <v>#VALUE!</v>
      </c>
      <c r="N76" s="255" t="str">
        <f t="shared" si="3"/>
        <v>UNCERTAIN</v>
      </c>
    </row>
    <row r="77" spans="1:14" ht="12.75" customHeight="1">
      <c r="A77" s="975">
        <v>6</v>
      </c>
      <c r="B77" s="981" t="s">
        <v>624</v>
      </c>
      <c r="C77" s="290" t="s">
        <v>18</v>
      </c>
      <c r="D77" s="977" t="s">
        <v>1151</v>
      </c>
      <c r="E77" s="658" t="s">
        <v>1152</v>
      </c>
      <c r="F77" s="658" t="s">
        <v>1005</v>
      </c>
      <c r="G77" s="276">
        <v>660</v>
      </c>
      <c r="H77" s="652" t="s">
        <v>1153</v>
      </c>
      <c r="I77" s="275" t="s">
        <v>1147</v>
      </c>
      <c r="J77" s="658" t="s">
        <v>1147</v>
      </c>
      <c r="K77" s="980">
        <v>9537.7900000000009</v>
      </c>
      <c r="L77" s="979" t="s">
        <v>1062</v>
      </c>
      <c r="M77" s="256" t="e">
        <f t="shared" si="2"/>
        <v>#VALUE!</v>
      </c>
      <c r="N77" s="255" t="str">
        <f t="shared" si="3"/>
        <v>UNCERTAIN</v>
      </c>
    </row>
    <row r="78" spans="1:14" ht="12.75" customHeight="1">
      <c r="A78" s="975"/>
      <c r="B78" s="981"/>
      <c r="C78" s="290" t="s">
        <v>18</v>
      </c>
      <c r="D78" s="977"/>
      <c r="E78" s="658" t="s">
        <v>1152</v>
      </c>
      <c r="F78" s="658" t="s">
        <v>1011</v>
      </c>
      <c r="G78" s="276">
        <v>660</v>
      </c>
      <c r="H78" s="652" t="s">
        <v>1154</v>
      </c>
      <c r="I78" s="275" t="s">
        <v>1147</v>
      </c>
      <c r="J78" s="658" t="s">
        <v>1147</v>
      </c>
      <c r="K78" s="980"/>
      <c r="L78" s="979"/>
      <c r="M78" s="256" t="e">
        <f t="shared" si="2"/>
        <v>#VALUE!</v>
      </c>
      <c r="N78" s="255" t="str">
        <f t="shared" si="3"/>
        <v>UNCERTAIN</v>
      </c>
    </row>
    <row r="79" spans="1:14" ht="12.75" customHeight="1">
      <c r="A79" s="975">
        <v>7</v>
      </c>
      <c r="B79" s="981" t="s">
        <v>624</v>
      </c>
      <c r="C79" s="290" t="s">
        <v>18</v>
      </c>
      <c r="D79" s="977" t="s">
        <v>1155</v>
      </c>
      <c r="E79" s="658" t="s">
        <v>1133</v>
      </c>
      <c r="F79" s="658" t="s">
        <v>996</v>
      </c>
      <c r="G79" s="276">
        <v>600</v>
      </c>
      <c r="H79" s="652" t="s">
        <v>1156</v>
      </c>
      <c r="I79" s="275" t="s">
        <v>1147</v>
      </c>
      <c r="J79" s="658" t="s">
        <v>1147</v>
      </c>
      <c r="K79" s="984">
        <v>6408.47</v>
      </c>
      <c r="L79" s="983" t="s">
        <v>997</v>
      </c>
      <c r="M79" s="256" t="e">
        <f t="shared" si="2"/>
        <v>#VALUE!</v>
      </c>
      <c r="N79" s="255" t="str">
        <f t="shared" si="3"/>
        <v>UNCERTAIN</v>
      </c>
    </row>
    <row r="80" spans="1:14" ht="20.85" customHeight="1">
      <c r="A80" s="975"/>
      <c r="B80" s="981"/>
      <c r="C80" s="290" t="s">
        <v>18</v>
      </c>
      <c r="D80" s="977"/>
      <c r="E80" s="658" t="s">
        <v>1133</v>
      </c>
      <c r="F80" s="658" t="s">
        <v>1001</v>
      </c>
      <c r="G80" s="276">
        <v>600</v>
      </c>
      <c r="H80" s="652" t="s">
        <v>1157</v>
      </c>
      <c r="I80" s="275" t="s">
        <v>1147</v>
      </c>
      <c r="J80" s="658" t="s">
        <v>1147</v>
      </c>
      <c r="K80" s="984"/>
      <c r="L80" s="983"/>
      <c r="M80" s="256" t="e">
        <f t="shared" si="2"/>
        <v>#VALUE!</v>
      </c>
      <c r="N80" s="255" t="str">
        <f t="shared" si="3"/>
        <v>UNCERTAIN</v>
      </c>
    </row>
    <row r="81" spans="1:14" ht="25.5" customHeight="1">
      <c r="A81" s="649">
        <v>8</v>
      </c>
      <c r="B81" s="660" t="s">
        <v>624</v>
      </c>
      <c r="C81" s="290" t="s">
        <v>18</v>
      </c>
      <c r="D81" s="650" t="s">
        <v>1158</v>
      </c>
      <c r="E81" s="658" t="s">
        <v>1128</v>
      </c>
      <c r="F81" s="658" t="s">
        <v>1001</v>
      </c>
      <c r="G81" s="276">
        <v>135</v>
      </c>
      <c r="H81" s="652" t="s">
        <v>1159</v>
      </c>
      <c r="I81" s="652" t="s">
        <v>1130</v>
      </c>
      <c r="J81" s="658" t="s">
        <v>1130</v>
      </c>
      <c r="K81" s="293">
        <v>2386.89</v>
      </c>
      <c r="L81" s="658" t="s">
        <v>1098</v>
      </c>
      <c r="M81" s="256" t="e">
        <f t="shared" si="2"/>
        <v>#VALUE!</v>
      </c>
      <c r="N81" s="255" t="str">
        <f t="shared" si="3"/>
        <v>UNCERTAIN</v>
      </c>
    </row>
    <row r="82" spans="1:14" ht="25.5" customHeight="1">
      <c r="A82" s="294">
        <v>9</v>
      </c>
      <c r="B82" s="295" t="s">
        <v>624</v>
      </c>
      <c r="C82" s="290" t="s">
        <v>18</v>
      </c>
      <c r="D82" s="650" t="s">
        <v>1160</v>
      </c>
      <c r="E82" s="658" t="s">
        <v>1161</v>
      </c>
      <c r="F82" s="658" t="s">
        <v>996</v>
      </c>
      <c r="G82" s="276">
        <v>600</v>
      </c>
      <c r="H82" s="652" t="s">
        <v>1146</v>
      </c>
      <c r="I82" s="652" t="s">
        <v>1130</v>
      </c>
      <c r="J82" s="658" t="s">
        <v>1130</v>
      </c>
      <c r="K82" s="293">
        <v>2077.23</v>
      </c>
      <c r="L82" s="658" t="s">
        <v>1087</v>
      </c>
      <c r="M82" s="256" t="e">
        <f t="shared" si="2"/>
        <v>#VALUE!</v>
      </c>
      <c r="N82" s="255" t="str">
        <f t="shared" si="3"/>
        <v>UNCERTAIN</v>
      </c>
    </row>
    <row r="83" spans="1:14" ht="12.75" customHeight="1">
      <c r="A83" s="975">
        <v>10</v>
      </c>
      <c r="B83" s="991" t="s">
        <v>59</v>
      </c>
      <c r="C83" s="274" t="s">
        <v>20</v>
      </c>
      <c r="D83" s="977" t="s">
        <v>1162</v>
      </c>
      <c r="E83" s="658" t="s">
        <v>1133</v>
      </c>
      <c r="F83" s="658" t="s">
        <v>996</v>
      </c>
      <c r="G83" s="276">
        <v>270</v>
      </c>
      <c r="H83" s="652" t="s">
        <v>1061</v>
      </c>
      <c r="I83" s="652" t="s">
        <v>1130</v>
      </c>
      <c r="J83" s="658" t="s">
        <v>1130</v>
      </c>
      <c r="K83" s="992">
        <v>3120</v>
      </c>
      <c r="L83" s="983" t="s">
        <v>1163</v>
      </c>
      <c r="M83" s="256" t="e">
        <f t="shared" si="2"/>
        <v>#VALUE!</v>
      </c>
      <c r="N83" s="255" t="str">
        <f t="shared" si="3"/>
        <v>UNCERTAIN</v>
      </c>
    </row>
    <row r="84" spans="1:14" ht="20.85" customHeight="1">
      <c r="A84" s="975"/>
      <c r="B84" s="991"/>
      <c r="C84" s="274" t="s">
        <v>20</v>
      </c>
      <c r="D84" s="977"/>
      <c r="E84" s="658" t="s">
        <v>1133</v>
      </c>
      <c r="F84" s="658" t="s">
        <v>1001</v>
      </c>
      <c r="G84" s="276">
        <v>270</v>
      </c>
      <c r="H84" s="652" t="s">
        <v>1134</v>
      </c>
      <c r="I84" s="652" t="s">
        <v>1130</v>
      </c>
      <c r="J84" s="658" t="s">
        <v>1130</v>
      </c>
      <c r="K84" s="992"/>
      <c r="L84" s="983"/>
      <c r="M84" s="256" t="e">
        <f t="shared" si="2"/>
        <v>#VALUE!</v>
      </c>
      <c r="N84" s="255" t="str">
        <f t="shared" si="3"/>
        <v>UNCERTAIN</v>
      </c>
    </row>
    <row r="85" spans="1:14" ht="12.75" customHeight="1">
      <c r="A85" s="993">
        <v>11</v>
      </c>
      <c r="B85" s="994" t="s">
        <v>59</v>
      </c>
      <c r="C85" s="274" t="s">
        <v>20</v>
      </c>
      <c r="D85" s="995" t="s">
        <v>1164</v>
      </c>
      <c r="E85" s="658" t="s">
        <v>1138</v>
      </c>
      <c r="F85" s="658" t="s">
        <v>1005</v>
      </c>
      <c r="G85" s="276">
        <v>270</v>
      </c>
      <c r="H85" s="652" t="s">
        <v>1165</v>
      </c>
      <c r="I85" s="652" t="s">
        <v>1130</v>
      </c>
      <c r="J85" s="658" t="s">
        <v>1130</v>
      </c>
      <c r="K85" s="996">
        <v>2207</v>
      </c>
      <c r="L85" s="997" t="s">
        <v>1166</v>
      </c>
      <c r="M85" s="256" t="e">
        <f t="shared" si="2"/>
        <v>#VALUE!</v>
      </c>
      <c r="N85" s="255" t="str">
        <f t="shared" si="3"/>
        <v>UNCERTAIN</v>
      </c>
    </row>
    <row r="86" spans="1:14" ht="20.85" customHeight="1">
      <c r="A86" s="993"/>
      <c r="B86" s="994"/>
      <c r="C86" s="274" t="s">
        <v>20</v>
      </c>
      <c r="D86" s="995"/>
      <c r="E86" s="263" t="s">
        <v>1138</v>
      </c>
      <c r="F86" s="263" t="s">
        <v>1011</v>
      </c>
      <c r="G86" s="264">
        <v>270</v>
      </c>
      <c r="H86" s="296" t="s">
        <v>1016</v>
      </c>
      <c r="I86" s="296" t="s">
        <v>1130</v>
      </c>
      <c r="J86" s="263" t="s">
        <v>1130</v>
      </c>
      <c r="K86" s="996"/>
      <c r="L86" s="997"/>
      <c r="M86" s="256" t="e">
        <f t="shared" si="2"/>
        <v>#VALUE!</v>
      </c>
      <c r="N86" s="255" t="str">
        <f t="shared" si="3"/>
        <v>UNCERTAIN</v>
      </c>
    </row>
    <row r="87" spans="1:14" ht="12.75" customHeight="1">
      <c r="A87" s="985">
        <v>12</v>
      </c>
      <c r="B87" s="986" t="s">
        <v>59</v>
      </c>
      <c r="C87" s="274" t="s">
        <v>20</v>
      </c>
      <c r="D87" s="987" t="s">
        <v>1167</v>
      </c>
      <c r="E87" s="270" t="s">
        <v>1168</v>
      </c>
      <c r="F87" s="271" t="s">
        <v>996</v>
      </c>
      <c r="G87" s="272">
        <v>600</v>
      </c>
      <c r="H87" s="273" t="s">
        <v>1169</v>
      </c>
      <c r="I87" s="271" t="s">
        <v>1130</v>
      </c>
      <c r="J87" s="271" t="s">
        <v>1130</v>
      </c>
      <c r="K87" s="988">
        <v>4757.92</v>
      </c>
      <c r="L87" s="989" t="s">
        <v>1170</v>
      </c>
      <c r="M87" s="256" t="e">
        <f t="shared" si="2"/>
        <v>#VALUE!</v>
      </c>
      <c r="N87" s="255" t="str">
        <f t="shared" si="3"/>
        <v>UNCERTAIN</v>
      </c>
    </row>
    <row r="88" spans="1:14" ht="12.75" customHeight="1">
      <c r="A88" s="985"/>
      <c r="B88" s="986"/>
      <c r="C88" s="274" t="s">
        <v>20</v>
      </c>
      <c r="D88" s="987"/>
      <c r="E88" s="275" t="s">
        <v>1168</v>
      </c>
      <c r="F88" s="658" t="s">
        <v>1001</v>
      </c>
      <c r="G88" s="276">
        <v>600</v>
      </c>
      <c r="H88" s="277" t="s">
        <v>1166</v>
      </c>
      <c r="I88" s="658" t="s">
        <v>1130</v>
      </c>
      <c r="J88" s="658" t="s">
        <v>1130</v>
      </c>
      <c r="K88" s="988"/>
      <c r="L88" s="989"/>
      <c r="M88" s="256" t="e">
        <f t="shared" si="2"/>
        <v>#VALUE!</v>
      </c>
      <c r="N88" s="255" t="str">
        <f t="shared" si="3"/>
        <v>UNCERTAIN</v>
      </c>
    </row>
    <row r="89" spans="1:14" ht="22.5" customHeight="1">
      <c r="A89" s="649">
        <v>13</v>
      </c>
      <c r="B89" s="653" t="s">
        <v>59</v>
      </c>
      <c r="C89" s="274" t="s">
        <v>20</v>
      </c>
      <c r="D89" s="650" t="s">
        <v>1171</v>
      </c>
      <c r="E89" s="287"/>
      <c r="F89" s="658" t="s">
        <v>1005</v>
      </c>
      <c r="G89" s="276">
        <v>600</v>
      </c>
      <c r="H89" s="277" t="s">
        <v>1172</v>
      </c>
      <c r="I89" s="658" t="s">
        <v>1130</v>
      </c>
      <c r="J89" s="658" t="s">
        <v>1130</v>
      </c>
      <c r="K89" s="297">
        <v>246.65</v>
      </c>
      <c r="L89" s="658" t="s">
        <v>1098</v>
      </c>
      <c r="M89" s="256" t="e">
        <f t="shared" si="2"/>
        <v>#VALUE!</v>
      </c>
      <c r="N89" s="255" t="str">
        <f t="shared" si="3"/>
        <v>UNCERTAIN</v>
      </c>
    </row>
    <row r="90" spans="1:14" ht="12.75" customHeight="1">
      <c r="A90" s="975">
        <v>14</v>
      </c>
      <c r="B90" s="981" t="s">
        <v>63</v>
      </c>
      <c r="C90" s="290" t="s">
        <v>10</v>
      </c>
      <c r="D90" s="977" t="s">
        <v>1173</v>
      </c>
      <c r="E90" s="275" t="s">
        <v>1174</v>
      </c>
      <c r="F90" s="658" t="s">
        <v>996</v>
      </c>
      <c r="G90" s="276">
        <v>270</v>
      </c>
      <c r="H90" s="277" t="s">
        <v>1175</v>
      </c>
      <c r="I90" s="658" t="s">
        <v>1130</v>
      </c>
      <c r="J90" s="658" t="s">
        <v>1130</v>
      </c>
      <c r="K90" s="990">
        <v>763.8</v>
      </c>
      <c r="L90" s="983" t="s">
        <v>1098</v>
      </c>
      <c r="M90" s="256" t="e">
        <f t="shared" si="2"/>
        <v>#VALUE!</v>
      </c>
      <c r="N90" s="255" t="str">
        <f t="shared" si="3"/>
        <v>UNCERTAIN</v>
      </c>
    </row>
    <row r="91" spans="1:14" ht="12.75" customHeight="1">
      <c r="A91" s="975"/>
      <c r="B91" s="981"/>
      <c r="C91" s="290" t="s">
        <v>10</v>
      </c>
      <c r="D91" s="977"/>
      <c r="E91" s="275" t="s">
        <v>1174</v>
      </c>
      <c r="F91" s="658" t="s">
        <v>1001</v>
      </c>
      <c r="G91" s="276">
        <v>270</v>
      </c>
      <c r="H91" s="277" t="s">
        <v>1069</v>
      </c>
      <c r="I91" s="658" t="s">
        <v>1130</v>
      </c>
      <c r="J91" s="658" t="s">
        <v>1130</v>
      </c>
      <c r="K91" s="990"/>
      <c r="L91" s="983"/>
      <c r="M91" s="256" t="e">
        <f t="shared" si="2"/>
        <v>#VALUE!</v>
      </c>
      <c r="N91" s="255" t="str">
        <f t="shared" si="3"/>
        <v>UNCERTAIN</v>
      </c>
    </row>
    <row r="92" spans="1:14" ht="12.75" customHeight="1">
      <c r="A92" s="975"/>
      <c r="B92" s="981"/>
      <c r="C92" s="290" t="s">
        <v>10</v>
      </c>
      <c r="D92" s="977"/>
      <c r="E92" s="275" t="s">
        <v>1174</v>
      </c>
      <c r="F92" s="658" t="s">
        <v>1005</v>
      </c>
      <c r="G92" s="276">
        <v>270</v>
      </c>
      <c r="H92" s="277" t="s">
        <v>1156</v>
      </c>
      <c r="I92" s="658" t="s">
        <v>1130</v>
      </c>
      <c r="J92" s="658" t="s">
        <v>1130</v>
      </c>
      <c r="K92" s="990"/>
      <c r="L92" s="983"/>
      <c r="M92" s="256" t="e">
        <f t="shared" si="2"/>
        <v>#VALUE!</v>
      </c>
      <c r="N92" s="255" t="str">
        <f t="shared" si="3"/>
        <v>UNCERTAIN</v>
      </c>
    </row>
    <row r="93" spans="1:14" ht="12.75" customHeight="1">
      <c r="A93" s="975"/>
      <c r="B93" s="981"/>
      <c r="C93" s="290" t="s">
        <v>10</v>
      </c>
      <c r="D93" s="977"/>
      <c r="E93" s="275" t="s">
        <v>1174</v>
      </c>
      <c r="F93" s="658" t="s">
        <v>1011</v>
      </c>
      <c r="G93" s="276">
        <v>270</v>
      </c>
      <c r="H93" s="277" t="s">
        <v>1176</v>
      </c>
      <c r="I93" s="658" t="s">
        <v>1130</v>
      </c>
      <c r="J93" s="658" t="s">
        <v>1130</v>
      </c>
      <c r="K93" s="990"/>
      <c r="L93" s="983"/>
      <c r="M93" s="256" t="e">
        <f t="shared" si="2"/>
        <v>#VALUE!</v>
      </c>
      <c r="N93" s="255" t="str">
        <f t="shared" si="3"/>
        <v>UNCERTAIN</v>
      </c>
    </row>
    <row r="94" spans="1:14" ht="12.75" customHeight="1">
      <c r="A94" s="975"/>
      <c r="B94" s="981"/>
      <c r="C94" s="290" t="s">
        <v>10</v>
      </c>
      <c r="D94" s="977"/>
      <c r="E94" s="275" t="s">
        <v>1174</v>
      </c>
      <c r="F94" s="658" t="s">
        <v>1121</v>
      </c>
      <c r="G94" s="276">
        <v>270</v>
      </c>
      <c r="H94" s="277" t="s">
        <v>1098</v>
      </c>
      <c r="I94" s="658" t="s">
        <v>1130</v>
      </c>
      <c r="J94" s="658" t="s">
        <v>1130</v>
      </c>
      <c r="K94" s="990"/>
      <c r="L94" s="983"/>
      <c r="M94" s="256" t="e">
        <f t="shared" si="2"/>
        <v>#VALUE!</v>
      </c>
      <c r="N94" s="255" t="str">
        <f t="shared" si="3"/>
        <v>UNCERTAIN</v>
      </c>
    </row>
    <row r="95" spans="1:14" ht="12.75" customHeight="1">
      <c r="A95" s="975">
        <v>15</v>
      </c>
      <c r="B95" s="981" t="s">
        <v>63</v>
      </c>
      <c r="C95" s="290" t="s">
        <v>10</v>
      </c>
      <c r="D95" s="977" t="s">
        <v>1177</v>
      </c>
      <c r="E95" s="275" t="s">
        <v>1152</v>
      </c>
      <c r="F95" s="658" t="s">
        <v>996</v>
      </c>
      <c r="G95" s="276">
        <v>660</v>
      </c>
      <c r="H95" s="277" t="s">
        <v>1175</v>
      </c>
      <c r="I95" s="658" t="s">
        <v>1130</v>
      </c>
      <c r="J95" s="658" t="s">
        <v>1130</v>
      </c>
      <c r="K95" s="978">
        <v>5338</v>
      </c>
      <c r="L95" s="979" t="s">
        <v>1178</v>
      </c>
      <c r="M95" s="256" t="e">
        <f t="shared" si="2"/>
        <v>#VALUE!</v>
      </c>
      <c r="N95" s="255" t="str">
        <f t="shared" si="3"/>
        <v>UNCERTAIN</v>
      </c>
    </row>
    <row r="96" spans="1:14" ht="12.75" customHeight="1">
      <c r="A96" s="975"/>
      <c r="B96" s="981"/>
      <c r="C96" s="290" t="s">
        <v>10</v>
      </c>
      <c r="D96" s="977"/>
      <c r="E96" s="275" t="s">
        <v>1152</v>
      </c>
      <c r="F96" s="658" t="s">
        <v>1001</v>
      </c>
      <c r="G96" s="276">
        <v>660</v>
      </c>
      <c r="H96" s="277" t="s">
        <v>1156</v>
      </c>
      <c r="I96" s="658" t="s">
        <v>1130</v>
      </c>
      <c r="J96" s="658" t="s">
        <v>1130</v>
      </c>
      <c r="K96" s="978"/>
      <c r="L96" s="979"/>
      <c r="M96" s="256" t="e">
        <f t="shared" si="2"/>
        <v>#VALUE!</v>
      </c>
      <c r="N96" s="255" t="str">
        <f t="shared" si="3"/>
        <v>UNCERTAIN</v>
      </c>
    </row>
    <row r="97" spans="1:14" ht="12.75" customHeight="1">
      <c r="A97" s="975">
        <v>16</v>
      </c>
      <c r="B97" s="981" t="s">
        <v>63</v>
      </c>
      <c r="C97" s="290" t="s">
        <v>10</v>
      </c>
      <c r="D97" s="977" t="s">
        <v>1179</v>
      </c>
      <c r="E97" s="275" t="s">
        <v>1152</v>
      </c>
      <c r="F97" s="658" t="s">
        <v>996</v>
      </c>
      <c r="G97" s="276">
        <v>270</v>
      </c>
      <c r="H97" s="277" t="s">
        <v>1145</v>
      </c>
      <c r="I97" s="658" t="s">
        <v>1147</v>
      </c>
      <c r="J97" s="658" t="s">
        <v>1147</v>
      </c>
      <c r="K97" s="982">
        <v>711.81</v>
      </c>
      <c r="L97" s="983" t="s">
        <v>1098</v>
      </c>
      <c r="M97" s="256" t="e">
        <f t="shared" si="2"/>
        <v>#VALUE!</v>
      </c>
      <c r="N97" s="255" t="str">
        <f t="shared" si="3"/>
        <v>UNCERTAIN</v>
      </c>
    </row>
    <row r="98" spans="1:14" ht="12.75" customHeight="1">
      <c r="A98" s="975"/>
      <c r="B98" s="981"/>
      <c r="C98" s="290" t="s">
        <v>10</v>
      </c>
      <c r="D98" s="977"/>
      <c r="E98" s="275" t="s">
        <v>1152</v>
      </c>
      <c r="F98" s="658" t="s">
        <v>1001</v>
      </c>
      <c r="G98" s="276">
        <v>270</v>
      </c>
      <c r="H98" s="277" t="s">
        <v>1180</v>
      </c>
      <c r="I98" s="658" t="s">
        <v>1147</v>
      </c>
      <c r="J98" s="658" t="s">
        <v>1147</v>
      </c>
      <c r="K98" s="982"/>
      <c r="L98" s="983"/>
      <c r="M98" s="256" t="e">
        <f t="shared" si="2"/>
        <v>#VALUE!</v>
      </c>
      <c r="N98" s="255" t="str">
        <f t="shared" si="3"/>
        <v>UNCERTAIN</v>
      </c>
    </row>
    <row r="99" spans="1:14" ht="12.75" customHeight="1">
      <c r="A99" s="975"/>
      <c r="B99" s="981"/>
      <c r="C99" s="290" t="s">
        <v>10</v>
      </c>
      <c r="D99" s="977"/>
      <c r="E99" s="275" t="s">
        <v>1152</v>
      </c>
      <c r="F99" s="658" t="s">
        <v>1005</v>
      </c>
      <c r="G99" s="276">
        <v>270</v>
      </c>
      <c r="H99" s="277" t="s">
        <v>1146</v>
      </c>
      <c r="I99" s="658" t="s">
        <v>1147</v>
      </c>
      <c r="J99" s="658" t="s">
        <v>1147</v>
      </c>
      <c r="K99" s="982"/>
      <c r="L99" s="983"/>
      <c r="M99" s="256" t="e">
        <f t="shared" si="2"/>
        <v>#VALUE!</v>
      </c>
      <c r="N99" s="255" t="str">
        <f t="shared" si="3"/>
        <v>UNCERTAIN</v>
      </c>
    </row>
    <row r="100" spans="1:14" ht="12.75" customHeight="1">
      <c r="A100" s="975"/>
      <c r="B100" s="981"/>
      <c r="C100" s="290" t="s">
        <v>10</v>
      </c>
      <c r="D100" s="977"/>
      <c r="E100" s="275" t="s">
        <v>1152</v>
      </c>
      <c r="F100" s="658" t="s">
        <v>1011</v>
      </c>
      <c r="G100" s="276">
        <v>270</v>
      </c>
      <c r="H100" s="277" t="s">
        <v>1129</v>
      </c>
      <c r="I100" s="658" t="s">
        <v>1147</v>
      </c>
      <c r="J100" s="658" t="s">
        <v>1147</v>
      </c>
      <c r="K100" s="982"/>
      <c r="L100" s="983"/>
      <c r="M100" s="256" t="e">
        <f t="shared" si="2"/>
        <v>#VALUE!</v>
      </c>
      <c r="N100" s="255" t="str">
        <f t="shared" si="3"/>
        <v>UNCERTAIN</v>
      </c>
    </row>
    <row r="101" spans="1:14" ht="12.75" customHeight="1">
      <c r="A101" s="975"/>
      <c r="B101" s="981"/>
      <c r="C101" s="290" t="s">
        <v>10</v>
      </c>
      <c r="D101" s="977"/>
      <c r="E101" s="275" t="s">
        <v>1152</v>
      </c>
      <c r="F101" s="658" t="s">
        <v>1121</v>
      </c>
      <c r="G101" s="276">
        <v>270</v>
      </c>
      <c r="H101" s="277" t="s">
        <v>1058</v>
      </c>
      <c r="I101" s="658" t="s">
        <v>1147</v>
      </c>
      <c r="J101" s="658" t="s">
        <v>1147</v>
      </c>
      <c r="K101" s="982"/>
      <c r="L101" s="983"/>
      <c r="M101" s="256" t="e">
        <f t="shared" si="2"/>
        <v>#VALUE!</v>
      </c>
      <c r="N101" s="255" t="str">
        <f t="shared" si="3"/>
        <v>UNCERTAIN</v>
      </c>
    </row>
    <row r="102" spans="1:14" ht="12.75" customHeight="1">
      <c r="A102" s="975">
        <v>17</v>
      </c>
      <c r="B102" s="981" t="s">
        <v>63</v>
      </c>
      <c r="C102" s="290" t="s">
        <v>10</v>
      </c>
      <c r="D102" s="977" t="s">
        <v>1181</v>
      </c>
      <c r="E102" s="275" t="s">
        <v>1159</v>
      </c>
      <c r="F102" s="658" t="s">
        <v>996</v>
      </c>
      <c r="G102" s="276">
        <v>300</v>
      </c>
      <c r="H102" s="277" t="s">
        <v>1062</v>
      </c>
      <c r="I102" s="658" t="s">
        <v>1147</v>
      </c>
      <c r="J102" s="658" t="s">
        <v>1147</v>
      </c>
      <c r="K102" s="982">
        <v>422.27</v>
      </c>
      <c r="L102" s="983" t="s">
        <v>1098</v>
      </c>
      <c r="M102" s="256" t="e">
        <f t="shared" si="2"/>
        <v>#VALUE!</v>
      </c>
      <c r="N102" s="255" t="str">
        <f t="shared" si="3"/>
        <v>UNCERTAIN</v>
      </c>
    </row>
    <row r="103" spans="1:14" ht="20.85" customHeight="1">
      <c r="A103" s="975"/>
      <c r="B103" s="981"/>
      <c r="C103" s="290" t="s">
        <v>10</v>
      </c>
      <c r="D103" s="977"/>
      <c r="E103" s="275" t="s">
        <v>1159</v>
      </c>
      <c r="F103" s="658" t="s">
        <v>1001</v>
      </c>
      <c r="G103" s="276">
        <v>300</v>
      </c>
      <c r="H103" s="277" t="s">
        <v>1099</v>
      </c>
      <c r="I103" s="658" t="s">
        <v>1147</v>
      </c>
      <c r="J103" s="658" t="s">
        <v>1147</v>
      </c>
      <c r="K103" s="982"/>
      <c r="L103" s="983"/>
      <c r="M103" s="256" t="e">
        <f t="shared" si="2"/>
        <v>#VALUE!</v>
      </c>
      <c r="N103" s="255" t="str">
        <f t="shared" si="3"/>
        <v>UNCERTAIN</v>
      </c>
    </row>
    <row r="104" spans="1:14" ht="25.5" customHeight="1">
      <c r="A104" s="649">
        <v>18</v>
      </c>
      <c r="B104" s="653" t="s">
        <v>63</v>
      </c>
      <c r="C104" s="290" t="s">
        <v>10</v>
      </c>
      <c r="D104" s="650" t="s">
        <v>1182</v>
      </c>
      <c r="E104" s="275" t="s">
        <v>1183</v>
      </c>
      <c r="F104" s="658" t="s">
        <v>1001</v>
      </c>
      <c r="G104" s="276">
        <v>150</v>
      </c>
      <c r="H104" s="277" t="s">
        <v>1141</v>
      </c>
      <c r="I104" s="658" t="s">
        <v>1147</v>
      </c>
      <c r="J104" s="658" t="s">
        <v>1147</v>
      </c>
      <c r="K104" s="298">
        <v>2277.94</v>
      </c>
      <c r="L104" s="658" t="s">
        <v>1178</v>
      </c>
      <c r="M104" s="256" t="e">
        <f t="shared" si="2"/>
        <v>#VALUE!</v>
      </c>
      <c r="N104" s="255" t="str">
        <f t="shared" si="3"/>
        <v>UNCERTAIN</v>
      </c>
    </row>
    <row r="105" spans="1:14" ht="25.5" customHeight="1">
      <c r="A105" s="649">
        <v>19</v>
      </c>
      <c r="B105" s="653" t="s">
        <v>9</v>
      </c>
      <c r="C105" s="278" t="s">
        <v>9</v>
      </c>
      <c r="D105" s="650" t="s">
        <v>1184</v>
      </c>
      <c r="E105" s="275" t="s">
        <v>1138</v>
      </c>
      <c r="F105" s="658" t="s">
        <v>996</v>
      </c>
      <c r="G105" s="276">
        <v>660</v>
      </c>
      <c r="H105" s="277" t="s">
        <v>1180</v>
      </c>
      <c r="I105" s="658" t="s">
        <v>1147</v>
      </c>
      <c r="J105" s="658" t="s">
        <v>1147</v>
      </c>
      <c r="K105" s="297">
        <v>475.79</v>
      </c>
      <c r="L105" s="658" t="s">
        <v>1114</v>
      </c>
      <c r="M105" s="256" t="e">
        <f t="shared" si="2"/>
        <v>#VALUE!</v>
      </c>
      <c r="N105" s="255" t="str">
        <f t="shared" si="3"/>
        <v>UNCERTAIN</v>
      </c>
    </row>
    <row r="106" spans="1:14" ht="31.5" customHeight="1">
      <c r="A106" s="649">
        <v>20</v>
      </c>
      <c r="B106" s="653" t="s">
        <v>68</v>
      </c>
      <c r="C106" s="278" t="s">
        <v>16</v>
      </c>
      <c r="D106" s="650" t="s">
        <v>1185</v>
      </c>
      <c r="E106" s="280" t="s">
        <v>1186</v>
      </c>
      <c r="F106" s="659" t="s">
        <v>1001</v>
      </c>
      <c r="G106" s="279">
        <v>350</v>
      </c>
      <c r="H106" s="280" t="s">
        <v>1187</v>
      </c>
      <c r="I106" s="659" t="s">
        <v>1147</v>
      </c>
      <c r="J106" s="659" t="s">
        <v>1147</v>
      </c>
      <c r="K106" s="661">
        <v>4254</v>
      </c>
      <c r="L106" s="659" t="s">
        <v>1178</v>
      </c>
      <c r="M106" s="256" t="e">
        <f t="shared" si="2"/>
        <v>#VALUE!</v>
      </c>
      <c r="N106" s="255" t="str">
        <f t="shared" si="3"/>
        <v>UNCERTAIN</v>
      </c>
    </row>
    <row r="107" spans="1:14" ht="12.75" customHeight="1">
      <c r="A107" s="975">
        <v>21</v>
      </c>
      <c r="B107" s="976" t="s">
        <v>68</v>
      </c>
      <c r="C107" s="278" t="s">
        <v>16</v>
      </c>
      <c r="D107" s="977" t="s">
        <v>1188</v>
      </c>
      <c r="E107" s="275" t="s">
        <v>1152</v>
      </c>
      <c r="F107" s="658" t="s">
        <v>996</v>
      </c>
      <c r="G107" s="276">
        <v>350</v>
      </c>
      <c r="H107" s="277" t="s">
        <v>1187</v>
      </c>
      <c r="I107" s="658" t="s">
        <v>1130</v>
      </c>
      <c r="J107" s="658" t="s">
        <v>1130</v>
      </c>
      <c r="K107" s="984">
        <v>1708.36</v>
      </c>
      <c r="L107" s="983" t="s">
        <v>1098</v>
      </c>
      <c r="M107" s="256" t="e">
        <f t="shared" si="2"/>
        <v>#VALUE!</v>
      </c>
      <c r="N107" s="255" t="str">
        <f t="shared" si="3"/>
        <v>UNCERTAIN</v>
      </c>
    </row>
    <row r="108" spans="1:14" ht="12.75" customHeight="1">
      <c r="A108" s="975"/>
      <c r="B108" s="976"/>
      <c r="C108" s="278" t="s">
        <v>16</v>
      </c>
      <c r="D108" s="977"/>
      <c r="E108" s="275" t="s">
        <v>1152</v>
      </c>
      <c r="F108" s="658" t="s">
        <v>1001</v>
      </c>
      <c r="G108" s="276">
        <v>350</v>
      </c>
      <c r="H108" s="277" t="s">
        <v>1189</v>
      </c>
      <c r="I108" s="658" t="s">
        <v>1130</v>
      </c>
      <c r="J108" s="658" t="s">
        <v>1130</v>
      </c>
      <c r="K108" s="984"/>
      <c r="L108" s="983"/>
      <c r="M108" s="256" t="e">
        <f t="shared" si="2"/>
        <v>#VALUE!</v>
      </c>
      <c r="N108" s="255" t="str">
        <f t="shared" si="3"/>
        <v>UNCERTAIN</v>
      </c>
    </row>
    <row r="109" spans="1:14" ht="12.75" customHeight="1">
      <c r="A109" s="975"/>
      <c r="B109" s="976"/>
      <c r="C109" s="278" t="s">
        <v>16</v>
      </c>
      <c r="D109" s="977"/>
      <c r="E109" s="275" t="s">
        <v>1152</v>
      </c>
      <c r="F109" s="658" t="s">
        <v>1005</v>
      </c>
      <c r="G109" s="276">
        <v>350</v>
      </c>
      <c r="H109" s="277" t="s">
        <v>1189</v>
      </c>
      <c r="I109" s="658" t="s">
        <v>1130</v>
      </c>
      <c r="J109" s="658" t="s">
        <v>1130</v>
      </c>
      <c r="K109" s="984"/>
      <c r="L109" s="983"/>
      <c r="M109" s="256" t="e">
        <f t="shared" si="2"/>
        <v>#VALUE!</v>
      </c>
      <c r="N109" s="255" t="str">
        <f t="shared" si="3"/>
        <v>UNCERTAIN</v>
      </c>
    </row>
    <row r="110" spans="1:14" ht="12.75" customHeight="1">
      <c r="A110" s="975">
        <v>22</v>
      </c>
      <c r="B110" s="976" t="s">
        <v>68</v>
      </c>
      <c r="C110" s="278" t="s">
        <v>16</v>
      </c>
      <c r="D110" s="977" t="s">
        <v>1190</v>
      </c>
      <c r="E110" s="275" t="s">
        <v>1152</v>
      </c>
      <c r="F110" s="658" t="s">
        <v>996</v>
      </c>
      <c r="G110" s="276">
        <v>660</v>
      </c>
      <c r="H110" s="277" t="s">
        <v>1145</v>
      </c>
      <c r="I110" s="658" t="s">
        <v>1130</v>
      </c>
      <c r="J110" s="658" t="s">
        <v>1130</v>
      </c>
      <c r="K110" s="978">
        <v>7615</v>
      </c>
      <c r="L110" s="979" t="s">
        <v>1099</v>
      </c>
      <c r="M110" s="256" t="e">
        <f t="shared" si="2"/>
        <v>#VALUE!</v>
      </c>
      <c r="N110" s="255" t="str">
        <f t="shared" si="3"/>
        <v>UNCERTAIN</v>
      </c>
    </row>
    <row r="111" spans="1:14" ht="12.75" customHeight="1">
      <c r="A111" s="975"/>
      <c r="B111" s="976"/>
      <c r="C111" s="278" t="s">
        <v>16</v>
      </c>
      <c r="D111" s="977"/>
      <c r="E111" s="275" t="s">
        <v>1152</v>
      </c>
      <c r="F111" s="658" t="s">
        <v>1001</v>
      </c>
      <c r="G111" s="276">
        <v>660</v>
      </c>
      <c r="H111" s="277" t="s">
        <v>1146</v>
      </c>
      <c r="I111" s="658" t="s">
        <v>1130</v>
      </c>
      <c r="J111" s="658" t="s">
        <v>1130</v>
      </c>
      <c r="K111" s="978"/>
      <c r="L111" s="979"/>
      <c r="M111" s="256" t="e">
        <f t="shared" si="2"/>
        <v>#VALUE!</v>
      </c>
      <c r="N111" s="255" t="str">
        <f t="shared" si="3"/>
        <v>UNCERTAIN</v>
      </c>
    </row>
    <row r="112" spans="1:14" ht="12.75" customHeight="1">
      <c r="A112" s="975">
        <v>23</v>
      </c>
      <c r="B112" s="976" t="s">
        <v>68</v>
      </c>
      <c r="C112" s="278" t="s">
        <v>16</v>
      </c>
      <c r="D112" s="977" t="s">
        <v>1191</v>
      </c>
      <c r="E112" s="275" t="s">
        <v>1161</v>
      </c>
      <c r="F112" s="658" t="s">
        <v>996</v>
      </c>
      <c r="G112" s="276">
        <v>525</v>
      </c>
      <c r="H112" s="277" t="s">
        <v>1029</v>
      </c>
      <c r="I112" s="658" t="s">
        <v>1130</v>
      </c>
      <c r="J112" s="658" t="s">
        <v>1130</v>
      </c>
      <c r="K112" s="980">
        <v>5329.75</v>
      </c>
      <c r="L112" s="979" t="s">
        <v>1140</v>
      </c>
      <c r="M112" s="256" t="e">
        <f t="shared" si="2"/>
        <v>#VALUE!</v>
      </c>
      <c r="N112" s="255" t="str">
        <f t="shared" si="3"/>
        <v>UNCERTAIN</v>
      </c>
    </row>
    <row r="113" spans="1:14" ht="12.75" customHeight="1">
      <c r="A113" s="975"/>
      <c r="B113" s="976"/>
      <c r="C113" s="278" t="s">
        <v>16</v>
      </c>
      <c r="D113" s="977"/>
      <c r="E113" s="275" t="s">
        <v>1161</v>
      </c>
      <c r="F113" s="658" t="s">
        <v>1001</v>
      </c>
      <c r="G113" s="276">
        <v>525</v>
      </c>
      <c r="H113" s="277" t="s">
        <v>1192</v>
      </c>
      <c r="I113" s="658" t="s">
        <v>1130</v>
      </c>
      <c r="J113" s="658" t="s">
        <v>1130</v>
      </c>
      <c r="K113" s="980"/>
      <c r="L113" s="979"/>
      <c r="M113" s="256" t="e">
        <f t="shared" si="2"/>
        <v>#VALUE!</v>
      </c>
      <c r="N113" s="255" t="str">
        <f t="shared" si="3"/>
        <v>UNCERTAIN</v>
      </c>
    </row>
    <row r="114" spans="1:14" ht="25.5" customHeight="1">
      <c r="A114" s="649">
        <v>24</v>
      </c>
      <c r="B114" s="653" t="s">
        <v>13</v>
      </c>
      <c r="C114" s="278" t="s">
        <v>13</v>
      </c>
      <c r="D114" s="650" t="s">
        <v>1193</v>
      </c>
      <c r="E114" s="275" t="s">
        <v>1194</v>
      </c>
      <c r="F114" s="658" t="s">
        <v>996</v>
      </c>
      <c r="G114" s="276">
        <v>660</v>
      </c>
      <c r="H114" s="277" t="s">
        <v>1134</v>
      </c>
      <c r="I114" s="658" t="s">
        <v>1130</v>
      </c>
      <c r="J114" s="658" t="s">
        <v>1130</v>
      </c>
      <c r="K114" s="665">
        <v>2000</v>
      </c>
      <c r="L114" s="658" t="s">
        <v>1195</v>
      </c>
      <c r="M114" s="256" t="e">
        <f t="shared" si="2"/>
        <v>#VALUE!</v>
      </c>
      <c r="N114" s="255" t="str">
        <f t="shared" si="3"/>
        <v>UNCERTAIN</v>
      </c>
    </row>
    <row r="115" spans="1:14" ht="25.5" customHeight="1">
      <c r="A115" s="649">
        <v>25</v>
      </c>
      <c r="B115" s="653" t="s">
        <v>13</v>
      </c>
      <c r="C115" s="278" t="s">
        <v>13</v>
      </c>
      <c r="D115" s="650" t="s">
        <v>1196</v>
      </c>
      <c r="E115" s="275" t="s">
        <v>1197</v>
      </c>
      <c r="F115" s="658" t="s">
        <v>996</v>
      </c>
      <c r="G115" s="276">
        <v>525</v>
      </c>
      <c r="H115" s="277" t="s">
        <v>1198</v>
      </c>
      <c r="I115" s="658" t="s">
        <v>999</v>
      </c>
      <c r="J115" s="658" t="s">
        <v>1018</v>
      </c>
      <c r="K115" s="298">
        <v>3175.72</v>
      </c>
      <c r="L115" s="658" t="s">
        <v>1065</v>
      </c>
      <c r="M115" s="256">
        <f t="shared" si="2"/>
        <v>2021</v>
      </c>
      <c r="N115" s="255">
        <f t="shared" si="3"/>
        <v>2022</v>
      </c>
    </row>
    <row r="116" spans="1:14" ht="42" customHeight="1">
      <c r="A116" s="649">
        <v>26</v>
      </c>
      <c r="B116" s="653" t="s">
        <v>17</v>
      </c>
      <c r="C116" s="278" t="s">
        <v>17</v>
      </c>
      <c r="D116" s="650" t="s">
        <v>1199</v>
      </c>
      <c r="E116" s="654" t="s">
        <v>1200</v>
      </c>
      <c r="F116" s="659" t="s">
        <v>1005</v>
      </c>
      <c r="G116" s="279">
        <v>150</v>
      </c>
      <c r="H116" s="280" t="s">
        <v>1080</v>
      </c>
      <c r="I116" s="659" t="s">
        <v>1130</v>
      </c>
      <c r="J116" s="659" t="s">
        <v>1130</v>
      </c>
      <c r="K116" s="299">
        <v>3263.05</v>
      </c>
      <c r="L116" s="659" t="s">
        <v>1118</v>
      </c>
      <c r="M116" s="256" t="e">
        <f t="shared" si="2"/>
        <v>#VALUE!</v>
      </c>
      <c r="N116" s="255" t="str">
        <f t="shared" si="3"/>
        <v>UNCERTAIN</v>
      </c>
    </row>
    <row r="117" spans="1:14" ht="42" customHeight="1">
      <c r="A117" s="973" t="s">
        <v>1201</v>
      </c>
      <c r="B117" s="300" t="s">
        <v>920</v>
      </c>
      <c r="C117" s="278" t="s">
        <v>20</v>
      </c>
      <c r="D117" s="301" t="s">
        <v>1202</v>
      </c>
      <c r="F117" s="302">
        <v>3</v>
      </c>
      <c r="G117" s="302">
        <v>800</v>
      </c>
      <c r="H117" s="280"/>
      <c r="I117" s="659"/>
      <c r="J117" s="300" t="s">
        <v>1203</v>
      </c>
      <c r="K117" s="299"/>
      <c r="L117" s="659"/>
      <c r="M117" s="256" t="e">
        <f t="shared" si="2"/>
        <v>#VALUE!</v>
      </c>
      <c r="N117" s="255" t="str">
        <f t="shared" si="3"/>
        <v>PERMITTED</v>
      </c>
    </row>
    <row r="118" spans="1:14" ht="42" customHeight="1">
      <c r="A118" s="973"/>
      <c r="B118" s="303" t="s">
        <v>919</v>
      </c>
      <c r="C118" s="278" t="s">
        <v>16</v>
      </c>
      <c r="D118" s="304" t="s">
        <v>1204</v>
      </c>
      <c r="F118" s="305">
        <v>1</v>
      </c>
      <c r="G118" s="305">
        <v>660</v>
      </c>
      <c r="H118" s="280"/>
      <c r="I118" s="659"/>
      <c r="J118" s="303" t="s">
        <v>1203</v>
      </c>
      <c r="K118" s="299"/>
      <c r="L118" s="659"/>
      <c r="M118" s="256" t="e">
        <f t="shared" si="2"/>
        <v>#VALUE!</v>
      </c>
      <c r="N118" s="255" t="str">
        <f t="shared" si="3"/>
        <v>PERMITTED</v>
      </c>
    </row>
    <row r="119" spans="1:14" ht="42" customHeight="1">
      <c r="A119" s="973"/>
      <c r="B119" s="303" t="s">
        <v>919</v>
      </c>
      <c r="C119" s="278" t="s">
        <v>16</v>
      </c>
      <c r="D119" s="304" t="s">
        <v>1204</v>
      </c>
      <c r="F119" s="305">
        <v>2</v>
      </c>
      <c r="G119" s="305">
        <v>660</v>
      </c>
      <c r="H119" s="280"/>
      <c r="I119" s="659"/>
      <c r="J119" s="303" t="s">
        <v>1203</v>
      </c>
      <c r="K119" s="299"/>
      <c r="L119" s="659"/>
      <c r="M119" s="256" t="e">
        <f t="shared" si="2"/>
        <v>#VALUE!</v>
      </c>
      <c r="N119" s="255" t="str">
        <f t="shared" si="3"/>
        <v>PERMITTED</v>
      </c>
    </row>
    <row r="120" spans="1:14" ht="42" customHeight="1">
      <c r="A120" s="973"/>
      <c r="B120" s="303" t="s">
        <v>917</v>
      </c>
      <c r="C120" s="278" t="s">
        <v>17</v>
      </c>
      <c r="D120" s="304" t="s">
        <v>1205</v>
      </c>
      <c r="F120" s="305">
        <v>1</v>
      </c>
      <c r="G120" s="305">
        <v>800</v>
      </c>
      <c r="H120" s="280"/>
      <c r="I120" s="659"/>
      <c r="J120" s="303" t="s">
        <v>1206</v>
      </c>
      <c r="K120" s="299"/>
      <c r="L120" s="659"/>
      <c r="M120" s="256" t="e">
        <f t="shared" si="2"/>
        <v>#VALUE!</v>
      </c>
      <c r="N120" s="255" t="str">
        <f t="shared" si="3"/>
        <v>PRE-PERMIT</v>
      </c>
    </row>
    <row r="121" spans="1:14" ht="42" customHeight="1">
      <c r="A121" s="973"/>
      <c r="B121" s="303" t="s">
        <v>917</v>
      </c>
      <c r="C121" s="278" t="s">
        <v>17</v>
      </c>
      <c r="D121" s="304" t="s">
        <v>1205</v>
      </c>
      <c r="F121" s="305">
        <v>2</v>
      </c>
      <c r="G121" s="305">
        <v>800</v>
      </c>
      <c r="H121" s="280"/>
      <c r="I121" s="659"/>
      <c r="J121" s="303" t="s">
        <v>1206</v>
      </c>
      <c r="K121" s="299"/>
      <c r="L121" s="659"/>
      <c r="M121" s="256" t="e">
        <f t="shared" si="2"/>
        <v>#VALUE!</v>
      </c>
      <c r="N121" s="255" t="str">
        <f t="shared" si="3"/>
        <v>PRE-PERMIT</v>
      </c>
    </row>
    <row r="122" spans="1:14" ht="42" customHeight="1">
      <c r="A122" s="973"/>
      <c r="B122" s="303" t="s">
        <v>967</v>
      </c>
      <c r="C122" s="278" t="s">
        <v>18</v>
      </c>
      <c r="D122" s="304" t="s">
        <v>1207</v>
      </c>
      <c r="F122" s="305">
        <v>3</v>
      </c>
      <c r="G122" s="305">
        <v>800</v>
      </c>
      <c r="H122" s="280"/>
      <c r="I122" s="659"/>
      <c r="J122" s="303" t="s">
        <v>1206</v>
      </c>
      <c r="K122" s="299"/>
      <c r="L122" s="659"/>
      <c r="M122" s="256" t="e">
        <f t="shared" si="2"/>
        <v>#VALUE!</v>
      </c>
      <c r="N122" s="255" t="str">
        <f t="shared" si="3"/>
        <v>PRE-PERMIT</v>
      </c>
    </row>
    <row r="123" spans="1:14" ht="42" customHeight="1">
      <c r="A123" s="973"/>
      <c r="B123" s="303" t="s">
        <v>967</v>
      </c>
      <c r="C123" s="278" t="s">
        <v>18</v>
      </c>
      <c r="D123" s="304" t="s">
        <v>1207</v>
      </c>
      <c r="F123" s="305">
        <v>4</v>
      </c>
      <c r="G123" s="305">
        <v>800</v>
      </c>
      <c r="H123" s="280"/>
      <c r="I123" s="659"/>
      <c r="J123" s="303" t="s">
        <v>1206</v>
      </c>
      <c r="K123" s="299"/>
      <c r="L123" s="659"/>
      <c r="M123" s="256" t="e">
        <f t="shared" si="2"/>
        <v>#VALUE!</v>
      </c>
      <c r="N123" s="255" t="str">
        <f t="shared" si="3"/>
        <v>PRE-PERMIT</v>
      </c>
    </row>
    <row r="124" spans="1:14" ht="42" customHeight="1">
      <c r="A124" s="973"/>
      <c r="B124" s="303" t="s">
        <v>933</v>
      </c>
      <c r="C124" s="278" t="s">
        <v>0</v>
      </c>
      <c r="D124" s="304" t="s">
        <v>1208</v>
      </c>
      <c r="F124" s="305">
        <v>8</v>
      </c>
      <c r="G124" s="305">
        <v>660</v>
      </c>
      <c r="H124" s="280"/>
      <c r="I124" s="659"/>
      <c r="J124" s="303" t="s">
        <v>1206</v>
      </c>
      <c r="K124" s="299"/>
      <c r="L124" s="659"/>
      <c r="M124" s="256" t="e">
        <f t="shared" si="2"/>
        <v>#VALUE!</v>
      </c>
      <c r="N124" s="255" t="str">
        <f t="shared" si="3"/>
        <v>PRE-PERMIT</v>
      </c>
    </row>
    <row r="125" spans="1:14" ht="42" customHeight="1">
      <c r="A125" s="973"/>
      <c r="B125" s="303" t="s">
        <v>933</v>
      </c>
      <c r="C125" s="278" t="s">
        <v>0</v>
      </c>
      <c r="D125" s="304" t="s">
        <v>1208</v>
      </c>
      <c r="F125" s="305">
        <v>9</v>
      </c>
      <c r="G125" s="305">
        <v>660</v>
      </c>
      <c r="H125" s="280"/>
      <c r="I125" s="659"/>
      <c r="J125" s="303" t="s">
        <v>1206</v>
      </c>
      <c r="K125" s="299"/>
      <c r="L125" s="659"/>
      <c r="M125" s="256" t="e">
        <f t="shared" si="2"/>
        <v>#VALUE!</v>
      </c>
      <c r="N125" s="255" t="str">
        <f t="shared" si="3"/>
        <v>PRE-PERMIT</v>
      </c>
    </row>
    <row r="126" spans="1:14" ht="42" customHeight="1">
      <c r="A126" s="973"/>
      <c r="B126" s="303" t="s">
        <v>967</v>
      </c>
      <c r="C126" s="278" t="s">
        <v>18</v>
      </c>
      <c r="D126" s="304" t="s">
        <v>1209</v>
      </c>
      <c r="F126" s="305">
        <v>6</v>
      </c>
      <c r="G126" s="305">
        <v>800</v>
      </c>
      <c r="H126" s="280"/>
      <c r="I126" s="659"/>
      <c r="J126" s="303" t="s">
        <v>1206</v>
      </c>
      <c r="K126" s="299"/>
      <c r="L126" s="659"/>
      <c r="M126" s="256" t="e">
        <f t="shared" si="2"/>
        <v>#VALUE!</v>
      </c>
      <c r="N126" s="255" t="str">
        <f t="shared" si="3"/>
        <v>PRE-PERMIT</v>
      </c>
    </row>
    <row r="127" spans="1:14" ht="42" customHeight="1">
      <c r="A127" s="973"/>
      <c r="B127" s="306" t="s">
        <v>923</v>
      </c>
      <c r="C127" s="278" t="s">
        <v>13</v>
      </c>
      <c r="D127" s="307" t="s">
        <v>1210</v>
      </c>
      <c r="F127" s="308">
        <v>10</v>
      </c>
      <c r="G127" s="308">
        <v>660</v>
      </c>
      <c r="H127" s="280"/>
      <c r="I127" s="659"/>
      <c r="J127" s="306" t="s">
        <v>1203</v>
      </c>
      <c r="K127" s="299"/>
      <c r="L127" s="659"/>
      <c r="M127" s="256" t="e">
        <f t="shared" si="2"/>
        <v>#VALUE!</v>
      </c>
      <c r="N127" s="255" t="str">
        <f t="shared" si="3"/>
        <v>PERMITTED</v>
      </c>
    </row>
    <row r="128" spans="1:14" ht="42" customHeight="1">
      <c r="A128" s="973"/>
      <c r="B128" s="306" t="s">
        <v>923</v>
      </c>
      <c r="C128" s="278" t="s">
        <v>13</v>
      </c>
      <c r="D128" s="307" t="s">
        <v>1210</v>
      </c>
      <c r="F128" s="308">
        <v>11</v>
      </c>
      <c r="G128" s="308">
        <v>660</v>
      </c>
      <c r="H128" s="280"/>
      <c r="I128" s="659"/>
      <c r="J128" s="306" t="s">
        <v>1203</v>
      </c>
      <c r="K128" s="299"/>
      <c r="L128" s="659"/>
      <c r="M128" s="256" t="e">
        <f t="shared" si="2"/>
        <v>#VALUE!</v>
      </c>
      <c r="N128" s="255" t="str">
        <f t="shared" si="3"/>
        <v>PERMITTED</v>
      </c>
    </row>
    <row r="129" spans="1:14" ht="42" customHeight="1">
      <c r="A129" s="973"/>
      <c r="B129" s="306" t="s">
        <v>933</v>
      </c>
      <c r="C129" s="278" t="s">
        <v>0</v>
      </c>
      <c r="D129" s="307" t="s">
        <v>1211</v>
      </c>
      <c r="F129" s="308">
        <v>5</v>
      </c>
      <c r="G129" s="308">
        <v>660</v>
      </c>
      <c r="H129" s="280"/>
      <c r="I129" s="659"/>
      <c r="J129" s="306" t="s">
        <v>1203</v>
      </c>
      <c r="K129" s="299"/>
      <c r="L129" s="659"/>
      <c r="M129" s="256" t="e">
        <f t="shared" si="2"/>
        <v>#VALUE!</v>
      </c>
      <c r="N129" s="255" t="str">
        <f t="shared" si="3"/>
        <v>PERMITTED</v>
      </c>
    </row>
    <row r="130" spans="1:14" ht="42" customHeight="1">
      <c r="A130" s="973"/>
      <c r="B130" s="306" t="s">
        <v>929</v>
      </c>
      <c r="C130" s="278" t="s">
        <v>9</v>
      </c>
      <c r="D130" s="307" t="s">
        <v>1212</v>
      </c>
      <c r="F130" s="308">
        <v>6</v>
      </c>
      <c r="G130" s="308">
        <v>660</v>
      </c>
      <c r="H130" s="280"/>
      <c r="I130" s="659"/>
      <c r="J130" s="306" t="s">
        <v>1206</v>
      </c>
      <c r="K130" s="299"/>
      <c r="L130" s="659"/>
      <c r="M130" s="256" t="e">
        <f t="shared" si="2"/>
        <v>#VALUE!</v>
      </c>
      <c r="N130" s="255" t="str">
        <f t="shared" si="3"/>
        <v>PRE-PERMIT</v>
      </c>
    </row>
    <row r="131" spans="1:14" ht="42" customHeight="1">
      <c r="A131" s="973"/>
      <c r="B131" s="306" t="s">
        <v>921</v>
      </c>
      <c r="C131" s="278" t="s">
        <v>19</v>
      </c>
      <c r="D131" s="307" t="s">
        <v>1213</v>
      </c>
      <c r="F131" s="308">
        <v>1</v>
      </c>
      <c r="G131" s="308">
        <v>660</v>
      </c>
      <c r="H131" s="280"/>
      <c r="I131" s="659"/>
      <c r="J131" s="306" t="s">
        <v>1203</v>
      </c>
      <c r="K131" s="299"/>
      <c r="L131" s="659"/>
      <c r="M131" s="256" t="e">
        <f t="shared" si="2"/>
        <v>#VALUE!</v>
      </c>
      <c r="N131" s="255" t="str">
        <f t="shared" si="3"/>
        <v>PERMITTED</v>
      </c>
    </row>
    <row r="132" spans="1:14" ht="42" customHeight="1">
      <c r="A132" s="973"/>
      <c r="B132" s="306" t="s">
        <v>921</v>
      </c>
      <c r="C132" s="278" t="s">
        <v>19</v>
      </c>
      <c r="D132" s="307" t="s">
        <v>1213</v>
      </c>
      <c r="F132" s="308">
        <v>2</v>
      </c>
      <c r="G132" s="308">
        <v>660</v>
      </c>
      <c r="H132" s="280"/>
      <c r="I132" s="659"/>
      <c r="J132" s="306" t="s">
        <v>1203</v>
      </c>
      <c r="K132" s="299"/>
      <c r="L132" s="659"/>
      <c r="M132" s="256" t="e">
        <f t="shared" si="2"/>
        <v>#VALUE!</v>
      </c>
      <c r="N132" s="255" t="str">
        <f t="shared" si="3"/>
        <v>PERMITTED</v>
      </c>
    </row>
    <row r="133" spans="1:14" ht="42" customHeight="1">
      <c r="A133" s="973"/>
      <c r="B133" s="303" t="s">
        <v>935</v>
      </c>
      <c r="C133" s="278" t="s">
        <v>6</v>
      </c>
      <c r="D133" s="304" t="s">
        <v>1214</v>
      </c>
      <c r="F133" s="305">
        <v>9</v>
      </c>
      <c r="G133" s="305">
        <v>540</v>
      </c>
      <c r="H133" s="280"/>
      <c r="I133" s="659"/>
      <c r="J133" s="303" t="s">
        <v>1206</v>
      </c>
      <c r="K133" s="299"/>
      <c r="L133" s="659"/>
      <c r="M133" s="256" t="e">
        <f t="shared" si="2"/>
        <v>#VALUE!</v>
      </c>
      <c r="N133" s="255" t="str">
        <f t="shared" si="3"/>
        <v>PRE-PERMIT</v>
      </c>
    </row>
    <row r="134" spans="1:14" ht="42" customHeight="1">
      <c r="A134" s="973"/>
      <c r="B134" s="303" t="s">
        <v>935</v>
      </c>
      <c r="C134" s="278" t="s">
        <v>6</v>
      </c>
      <c r="D134" s="304" t="s">
        <v>1214</v>
      </c>
      <c r="F134" s="305">
        <v>10</v>
      </c>
      <c r="G134" s="305">
        <v>540</v>
      </c>
      <c r="H134" s="280"/>
      <c r="I134" s="659"/>
      <c r="J134" s="303" t="s">
        <v>1206</v>
      </c>
      <c r="K134" s="299"/>
      <c r="L134" s="659"/>
      <c r="M134" s="256" t="e">
        <f t="shared" ref="M134:M152" si="4">IF(ISBLANK(J134),"",IF(MONTH(J134)&gt;3,YEAR(J134)+1,YEAR(J134)))</f>
        <v>#VALUE!</v>
      </c>
      <c r="N134" s="255" t="str">
        <f t="shared" ref="N134:N152" si="5">IF(ISNUMBER(M134),M134+1,IF(OR(J134="PERMITTED",J134="PRE-PERMIT"),J134,"UNCERTAIN"))</f>
        <v>PRE-PERMIT</v>
      </c>
    </row>
    <row r="135" spans="1:14" ht="42" customHeight="1">
      <c r="A135" s="973"/>
      <c r="B135" s="306" t="s">
        <v>931</v>
      </c>
      <c r="C135" s="278" t="s">
        <v>8</v>
      </c>
      <c r="D135" s="307" t="s">
        <v>930</v>
      </c>
      <c r="F135" s="308">
        <v>7</v>
      </c>
      <c r="G135" s="308">
        <v>800</v>
      </c>
      <c r="H135" s="280"/>
      <c r="I135" s="659"/>
      <c r="J135" s="306" t="s">
        <v>1206</v>
      </c>
      <c r="K135" s="299"/>
      <c r="L135" s="659"/>
      <c r="M135" s="256" t="e">
        <f t="shared" si="4"/>
        <v>#VALUE!</v>
      </c>
      <c r="N135" s="255" t="str">
        <f t="shared" si="5"/>
        <v>PRE-PERMIT</v>
      </c>
    </row>
    <row r="136" spans="1:14" ht="42" customHeight="1">
      <c r="A136" s="973"/>
      <c r="B136" s="306" t="s">
        <v>917</v>
      </c>
      <c r="C136" s="278" t="s">
        <v>17</v>
      </c>
      <c r="D136" s="307" t="s">
        <v>916</v>
      </c>
      <c r="F136" s="308">
        <v>5</v>
      </c>
      <c r="G136" s="308">
        <v>660</v>
      </c>
      <c r="H136" s="280"/>
      <c r="I136" s="659"/>
      <c r="J136" s="306" t="s">
        <v>1206</v>
      </c>
      <c r="K136" s="299"/>
      <c r="L136" s="659"/>
      <c r="M136" s="256" t="e">
        <f t="shared" si="4"/>
        <v>#VALUE!</v>
      </c>
      <c r="N136" s="255" t="str">
        <f t="shared" si="5"/>
        <v>PRE-PERMIT</v>
      </c>
    </row>
    <row r="137" spans="1:14" ht="42" customHeight="1">
      <c r="A137" s="973"/>
      <c r="B137" s="306" t="s">
        <v>919</v>
      </c>
      <c r="C137" s="278" t="s">
        <v>16</v>
      </c>
      <c r="D137" s="307" t="s">
        <v>1215</v>
      </c>
      <c r="F137" s="308">
        <v>1</v>
      </c>
      <c r="G137" s="308">
        <v>68</v>
      </c>
      <c r="H137" s="280"/>
      <c r="I137" s="659"/>
      <c r="J137" s="306" t="s">
        <v>1203</v>
      </c>
      <c r="K137" s="299"/>
      <c r="L137" s="659"/>
      <c r="M137" s="256" t="e">
        <f t="shared" si="4"/>
        <v>#VALUE!</v>
      </c>
      <c r="N137" s="255" t="str">
        <f t="shared" si="5"/>
        <v>PERMITTED</v>
      </c>
    </row>
    <row r="138" spans="1:14" ht="42" customHeight="1">
      <c r="A138" s="973"/>
      <c r="B138" s="306" t="s">
        <v>919</v>
      </c>
      <c r="C138" s="278" t="s">
        <v>16</v>
      </c>
      <c r="D138" s="307" t="s">
        <v>1215</v>
      </c>
      <c r="F138" s="308">
        <v>2</v>
      </c>
      <c r="G138" s="308">
        <v>68</v>
      </c>
      <c r="H138" s="280"/>
      <c r="I138" s="659"/>
      <c r="J138" s="306" t="s">
        <v>1203</v>
      </c>
      <c r="K138" s="299"/>
      <c r="L138" s="659"/>
      <c r="M138" s="256" t="e">
        <f t="shared" si="4"/>
        <v>#VALUE!</v>
      </c>
      <c r="N138" s="255" t="str">
        <f t="shared" si="5"/>
        <v>PERMITTED</v>
      </c>
    </row>
    <row r="139" spans="1:14" ht="42" customHeight="1">
      <c r="A139" s="973"/>
      <c r="B139" s="309" t="s">
        <v>14</v>
      </c>
      <c r="C139" s="278" t="s">
        <v>14</v>
      </c>
      <c r="D139" s="310" t="s">
        <v>1216</v>
      </c>
      <c r="F139" s="659">
        <v>1</v>
      </c>
      <c r="G139" s="722">
        <v>30</v>
      </c>
      <c r="H139" s="280"/>
      <c r="I139" s="659"/>
      <c r="J139" s="306" t="s">
        <v>1203</v>
      </c>
      <c r="K139" s="299"/>
      <c r="L139" s="659"/>
      <c r="M139" s="256" t="e">
        <f t="shared" si="4"/>
        <v>#VALUE!</v>
      </c>
      <c r="N139" s="255" t="str">
        <f t="shared" si="5"/>
        <v>PERMITTED</v>
      </c>
    </row>
    <row r="140" spans="1:14" ht="42" customHeight="1">
      <c r="A140" s="973"/>
      <c r="B140" s="309" t="s">
        <v>14</v>
      </c>
      <c r="C140" s="278" t="s">
        <v>14</v>
      </c>
      <c r="D140" s="310" t="s">
        <v>1216</v>
      </c>
      <c r="F140" s="723">
        <v>2</v>
      </c>
      <c r="G140" s="722">
        <v>30</v>
      </c>
      <c r="H140" s="280"/>
      <c r="I140" s="659"/>
      <c r="J140" s="306" t="s">
        <v>1203</v>
      </c>
      <c r="K140" s="299"/>
      <c r="L140" s="659"/>
      <c r="M140" s="256" t="e">
        <f t="shared" si="4"/>
        <v>#VALUE!</v>
      </c>
      <c r="N140" s="255" t="str">
        <f t="shared" si="5"/>
        <v>PERMITTED</v>
      </c>
    </row>
    <row r="141" spans="1:14" ht="42" customHeight="1">
      <c r="A141" s="973"/>
      <c r="B141" s="309" t="s">
        <v>60</v>
      </c>
      <c r="C141" s="278" t="s">
        <v>11</v>
      </c>
      <c r="D141" s="310" t="s">
        <v>1217</v>
      </c>
      <c r="F141" s="659">
        <v>3</v>
      </c>
      <c r="G141" s="722">
        <v>800</v>
      </c>
      <c r="H141" s="280"/>
      <c r="I141" s="659"/>
      <c r="J141" s="723" t="s">
        <v>1206</v>
      </c>
      <c r="K141" s="299"/>
      <c r="L141" s="723"/>
      <c r="M141" s="256" t="e">
        <f t="shared" si="4"/>
        <v>#VALUE!</v>
      </c>
      <c r="N141" s="255" t="str">
        <f t="shared" si="5"/>
        <v>PRE-PERMIT</v>
      </c>
    </row>
    <row r="142" spans="1:14" ht="42" customHeight="1">
      <c r="A142" s="973"/>
      <c r="B142" s="309" t="s">
        <v>60</v>
      </c>
      <c r="C142" s="278" t="s">
        <v>11</v>
      </c>
      <c r="D142" s="310" t="s">
        <v>1217</v>
      </c>
      <c r="F142" s="723">
        <v>4</v>
      </c>
      <c r="G142" s="722">
        <v>800</v>
      </c>
      <c r="H142" s="724"/>
      <c r="I142" s="723"/>
      <c r="J142" s="723" t="s">
        <v>1206</v>
      </c>
      <c r="K142" s="299"/>
      <c r="L142" s="723"/>
      <c r="M142" s="256" t="e">
        <f t="shared" si="4"/>
        <v>#VALUE!</v>
      </c>
      <c r="N142" s="255" t="str">
        <f t="shared" si="5"/>
        <v>PRE-PERMIT</v>
      </c>
    </row>
    <row r="143" spans="1:14" ht="42" customHeight="1">
      <c r="A143" s="973"/>
      <c r="B143" s="309" t="s">
        <v>919</v>
      </c>
      <c r="C143" s="278" t="s">
        <v>16</v>
      </c>
      <c r="D143" s="310" t="s">
        <v>1218</v>
      </c>
      <c r="F143" s="723">
        <v>1</v>
      </c>
      <c r="G143" s="722">
        <v>800</v>
      </c>
      <c r="H143" s="280"/>
      <c r="I143" s="723"/>
      <c r="J143" s="723" t="s">
        <v>1203</v>
      </c>
      <c r="K143" s="299"/>
      <c r="L143" s="723"/>
      <c r="M143" s="256" t="e">
        <f t="shared" si="4"/>
        <v>#VALUE!</v>
      </c>
      <c r="N143" s="255" t="str">
        <f t="shared" si="5"/>
        <v>PERMITTED</v>
      </c>
    </row>
    <row r="144" spans="1:14" ht="42" customHeight="1">
      <c r="A144" s="973"/>
      <c r="B144" s="309" t="s">
        <v>919</v>
      </c>
      <c r="C144" s="278" t="s">
        <v>16</v>
      </c>
      <c r="D144" s="310" t="s">
        <v>1218</v>
      </c>
      <c r="F144" s="723">
        <v>2</v>
      </c>
      <c r="G144" s="722">
        <v>800</v>
      </c>
      <c r="H144" s="724"/>
      <c r="I144" s="723"/>
      <c r="J144" s="723" t="s">
        <v>1203</v>
      </c>
      <c r="K144" s="299"/>
      <c r="L144" s="723"/>
      <c r="M144" s="256" t="e">
        <f t="shared" si="4"/>
        <v>#VALUE!</v>
      </c>
      <c r="N144" s="255" t="str">
        <f t="shared" si="5"/>
        <v>PERMITTED</v>
      </c>
    </row>
    <row r="145" spans="1:14" ht="42" customHeight="1">
      <c r="A145" s="973"/>
      <c r="B145" s="309" t="s">
        <v>919</v>
      </c>
      <c r="C145" s="278" t="s">
        <v>16</v>
      </c>
      <c r="D145" s="310" t="s">
        <v>1218</v>
      </c>
      <c r="F145" s="723">
        <v>3</v>
      </c>
      <c r="G145" s="722">
        <v>800</v>
      </c>
      <c r="H145" s="724"/>
      <c r="I145" s="723"/>
      <c r="J145" s="723" t="s">
        <v>1203</v>
      </c>
      <c r="K145" s="299"/>
      <c r="L145" s="723"/>
      <c r="M145" s="256" t="e">
        <f t="shared" si="4"/>
        <v>#VALUE!</v>
      </c>
      <c r="N145" s="255" t="str">
        <f t="shared" si="5"/>
        <v>PERMITTED</v>
      </c>
    </row>
    <row r="146" spans="1:14" ht="42" customHeight="1">
      <c r="A146" s="973"/>
      <c r="B146" s="309" t="s">
        <v>919</v>
      </c>
      <c r="C146" s="278" t="s">
        <v>16</v>
      </c>
      <c r="D146" s="310" t="s">
        <v>1219</v>
      </c>
      <c r="F146" s="723">
        <v>2</v>
      </c>
      <c r="G146" s="722">
        <v>350</v>
      </c>
      <c r="H146" s="724"/>
      <c r="I146" s="723"/>
      <c r="J146" s="723" t="s">
        <v>1203</v>
      </c>
      <c r="K146" s="299"/>
      <c r="L146" s="723"/>
      <c r="M146" s="256" t="e">
        <f t="shared" si="4"/>
        <v>#VALUE!</v>
      </c>
      <c r="N146" s="255" t="str">
        <f t="shared" si="5"/>
        <v>PERMITTED</v>
      </c>
    </row>
    <row r="147" spans="1:14" ht="42" customHeight="1">
      <c r="A147" s="973"/>
      <c r="B147" s="309" t="s">
        <v>935</v>
      </c>
      <c r="C147" s="278" t="s">
        <v>6</v>
      </c>
      <c r="D147" s="310" t="s">
        <v>1220</v>
      </c>
      <c r="F147" s="723">
        <v>1</v>
      </c>
      <c r="G147" s="722">
        <v>141</v>
      </c>
      <c r="H147" s="724"/>
      <c r="I147" s="723"/>
      <c r="J147" s="723" t="s">
        <v>1203</v>
      </c>
      <c r="K147" s="299"/>
      <c r="L147" s="723"/>
      <c r="M147" s="256" t="e">
        <f t="shared" si="4"/>
        <v>#VALUE!</v>
      </c>
      <c r="N147" s="255" t="str">
        <f t="shared" si="5"/>
        <v>PERMITTED</v>
      </c>
    </row>
    <row r="148" spans="1:14" ht="42" customHeight="1">
      <c r="A148" s="973"/>
      <c r="B148" s="309" t="s">
        <v>73</v>
      </c>
      <c r="C148" s="278" t="s">
        <v>15</v>
      </c>
      <c r="D148" s="310" t="s">
        <v>1221</v>
      </c>
      <c r="F148" s="723">
        <v>1</v>
      </c>
      <c r="G148" s="722">
        <v>800</v>
      </c>
      <c r="H148" s="724"/>
      <c r="I148" s="723"/>
      <c r="J148" s="723" t="s">
        <v>1203</v>
      </c>
      <c r="K148" s="299"/>
      <c r="L148" s="723"/>
      <c r="M148" s="256" t="e">
        <f t="shared" si="4"/>
        <v>#VALUE!</v>
      </c>
      <c r="N148" s="255" t="str">
        <f t="shared" si="5"/>
        <v>PERMITTED</v>
      </c>
    </row>
    <row r="149" spans="1:14" ht="42" customHeight="1">
      <c r="A149" s="973"/>
      <c r="B149" s="309" t="s">
        <v>73</v>
      </c>
      <c r="C149" s="278" t="s">
        <v>15</v>
      </c>
      <c r="D149" s="310" t="s">
        <v>1222</v>
      </c>
      <c r="F149" s="723">
        <v>1</v>
      </c>
      <c r="G149" s="722">
        <v>135</v>
      </c>
      <c r="H149" s="724"/>
      <c r="I149" s="723"/>
      <c r="J149" s="723" t="s">
        <v>1203</v>
      </c>
      <c r="K149" s="299"/>
      <c r="L149" s="723"/>
      <c r="M149" s="256" t="e">
        <f t="shared" si="4"/>
        <v>#VALUE!</v>
      </c>
      <c r="N149" s="255" t="str">
        <f t="shared" si="5"/>
        <v>PERMITTED</v>
      </c>
    </row>
    <row r="150" spans="1:14" ht="42" customHeight="1">
      <c r="A150" s="973"/>
      <c r="B150" s="309" t="s">
        <v>73</v>
      </c>
      <c r="C150" s="278" t="s">
        <v>15</v>
      </c>
      <c r="D150" s="310" t="s">
        <v>1222</v>
      </c>
      <c r="F150" s="723">
        <v>2</v>
      </c>
      <c r="G150" s="722">
        <v>65</v>
      </c>
      <c r="H150" s="724"/>
      <c r="I150" s="723"/>
      <c r="J150" s="723" t="s">
        <v>1203</v>
      </c>
      <c r="K150" s="299"/>
      <c r="L150" s="723"/>
      <c r="M150" s="256" t="e">
        <f t="shared" si="4"/>
        <v>#VALUE!</v>
      </c>
      <c r="N150" s="255" t="str">
        <f t="shared" si="5"/>
        <v>PERMITTED</v>
      </c>
    </row>
    <row r="151" spans="1:14" ht="42" customHeight="1">
      <c r="A151" s="973"/>
      <c r="B151" s="309" t="s">
        <v>933</v>
      </c>
      <c r="C151" s="278" t="s">
        <v>0</v>
      </c>
      <c r="D151" s="310" t="s">
        <v>1223</v>
      </c>
      <c r="F151" s="723">
        <v>1</v>
      </c>
      <c r="G151" s="722">
        <v>660</v>
      </c>
      <c r="H151" s="724"/>
      <c r="I151" s="723"/>
      <c r="J151" s="723" t="s">
        <v>1203</v>
      </c>
      <c r="K151" s="299"/>
      <c r="L151" s="723"/>
      <c r="M151" s="256" t="e">
        <f t="shared" si="4"/>
        <v>#VALUE!</v>
      </c>
      <c r="N151" s="255" t="str">
        <f t="shared" si="5"/>
        <v>PERMITTED</v>
      </c>
    </row>
    <row r="152" spans="1:14" ht="42" customHeight="1">
      <c r="A152" s="973"/>
      <c r="B152" s="309" t="s">
        <v>933</v>
      </c>
      <c r="C152" s="278" t="s">
        <v>0</v>
      </c>
      <c r="D152" s="310" t="s">
        <v>1223</v>
      </c>
      <c r="F152" s="723">
        <v>2</v>
      </c>
      <c r="G152" s="722">
        <v>660</v>
      </c>
      <c r="H152" s="724"/>
      <c r="I152" s="723"/>
      <c r="J152" s="723" t="s">
        <v>1203</v>
      </c>
      <c r="K152" s="299"/>
      <c r="L152" s="723"/>
      <c r="M152" s="256" t="e">
        <f t="shared" si="4"/>
        <v>#VALUE!</v>
      </c>
      <c r="N152" s="255" t="str">
        <f t="shared" si="5"/>
        <v>PERMITTED</v>
      </c>
    </row>
    <row r="153" spans="1:14" ht="42" customHeight="1">
      <c r="A153" s="311"/>
      <c r="B153" s="312"/>
      <c r="C153" s="313"/>
      <c r="D153" s="314"/>
      <c r="E153" s="315"/>
      <c r="F153" s="316"/>
      <c r="G153" s="317"/>
      <c r="H153" s="318"/>
      <c r="I153" s="316"/>
      <c r="J153" s="316"/>
      <c r="K153" s="319"/>
      <c r="L153" s="316"/>
      <c r="M153" s="256"/>
    </row>
    <row r="154" spans="1:14" ht="17.25" customHeight="1">
      <c r="A154" s="974" t="s">
        <v>1224</v>
      </c>
      <c r="B154" s="974"/>
      <c r="C154" s="974"/>
      <c r="D154" s="974"/>
      <c r="E154" s="974"/>
      <c r="F154" s="974"/>
      <c r="G154" s="974"/>
      <c r="H154" s="974"/>
      <c r="I154" s="974"/>
      <c r="J154" s="974"/>
      <c r="K154" s="974"/>
      <c r="L154" s="974"/>
      <c r="M154" s="974"/>
    </row>
  </sheetData>
  <autoFilter ref="A5:N152"/>
  <mergeCells count="160">
    <mergeCell ref="A4:M4"/>
    <mergeCell ref="A6:A8"/>
    <mergeCell ref="B6:B8"/>
    <mergeCell ref="D6:D8"/>
    <mergeCell ref="K6:K8"/>
    <mergeCell ref="L6:L8"/>
    <mergeCell ref="A10:A11"/>
    <mergeCell ref="B10:B11"/>
    <mergeCell ref="D10:D11"/>
    <mergeCell ref="K10:K11"/>
    <mergeCell ref="L10:L11"/>
    <mergeCell ref="A12:A13"/>
    <mergeCell ref="B12:B13"/>
    <mergeCell ref="D12:D13"/>
    <mergeCell ref="K12:K13"/>
    <mergeCell ref="L12:L13"/>
    <mergeCell ref="A15:A17"/>
    <mergeCell ref="B15:B17"/>
    <mergeCell ref="D15:D17"/>
    <mergeCell ref="K15:K17"/>
    <mergeCell ref="L15:L17"/>
    <mergeCell ref="A22:A23"/>
    <mergeCell ref="B22:B23"/>
    <mergeCell ref="D22:D23"/>
    <mergeCell ref="K22:K23"/>
    <mergeCell ref="L22:L23"/>
    <mergeCell ref="A26:A28"/>
    <mergeCell ref="B26:B28"/>
    <mergeCell ref="D26:D28"/>
    <mergeCell ref="K26:K28"/>
    <mergeCell ref="L26:L28"/>
    <mergeCell ref="A32:A34"/>
    <mergeCell ref="B32:B34"/>
    <mergeCell ref="D32:D34"/>
    <mergeCell ref="K32:K34"/>
    <mergeCell ref="L32:L34"/>
    <mergeCell ref="A49:A50"/>
    <mergeCell ref="B49:B50"/>
    <mergeCell ref="D49:D50"/>
    <mergeCell ref="E49:E50"/>
    <mergeCell ref="K49:K50"/>
    <mergeCell ref="L49:L50"/>
    <mergeCell ref="A41:A44"/>
    <mergeCell ref="B41:B44"/>
    <mergeCell ref="D41:D44"/>
    <mergeCell ref="K41:K44"/>
    <mergeCell ref="L41:L44"/>
    <mergeCell ref="A46:A47"/>
    <mergeCell ref="B46:B47"/>
    <mergeCell ref="D46:D47"/>
    <mergeCell ref="K46:K47"/>
    <mergeCell ref="L46:L47"/>
    <mergeCell ref="L54:L58"/>
    <mergeCell ref="A59:A60"/>
    <mergeCell ref="B59:B60"/>
    <mergeCell ref="D59:D60"/>
    <mergeCell ref="K59:K60"/>
    <mergeCell ref="L59:L60"/>
    <mergeCell ref="A51:A52"/>
    <mergeCell ref="B51:B52"/>
    <mergeCell ref="D51:D52"/>
    <mergeCell ref="K51:K52"/>
    <mergeCell ref="L51:L52"/>
    <mergeCell ref="A54:A58"/>
    <mergeCell ref="B54:B58"/>
    <mergeCell ref="D54:D58"/>
    <mergeCell ref="E54:E58"/>
    <mergeCell ref="K54:K58"/>
    <mergeCell ref="A62:A63"/>
    <mergeCell ref="B62:B63"/>
    <mergeCell ref="D62:D63"/>
    <mergeCell ref="K62:K63"/>
    <mergeCell ref="L62:L63"/>
    <mergeCell ref="A64:A65"/>
    <mergeCell ref="B64:B65"/>
    <mergeCell ref="D64:D65"/>
    <mergeCell ref="K64:K65"/>
    <mergeCell ref="L64:L65"/>
    <mergeCell ref="A66:A67"/>
    <mergeCell ref="B66:B67"/>
    <mergeCell ref="D66:D67"/>
    <mergeCell ref="K66:K67"/>
    <mergeCell ref="L66:L67"/>
    <mergeCell ref="A68:A71"/>
    <mergeCell ref="B68:B71"/>
    <mergeCell ref="D68:D71"/>
    <mergeCell ref="K68:K71"/>
    <mergeCell ref="L68:L71"/>
    <mergeCell ref="A72:A74"/>
    <mergeCell ref="B72:B74"/>
    <mergeCell ref="D72:D74"/>
    <mergeCell ref="K72:K74"/>
    <mergeCell ref="L72:L74"/>
    <mergeCell ref="A75:A76"/>
    <mergeCell ref="B75:B76"/>
    <mergeCell ref="D75:D76"/>
    <mergeCell ref="K75:K76"/>
    <mergeCell ref="L75:L76"/>
    <mergeCell ref="A77:A78"/>
    <mergeCell ref="B77:B78"/>
    <mergeCell ref="D77:D78"/>
    <mergeCell ref="K77:K78"/>
    <mergeCell ref="L77:L78"/>
    <mergeCell ref="A79:A80"/>
    <mergeCell ref="B79:B80"/>
    <mergeCell ref="D79:D80"/>
    <mergeCell ref="K79:K80"/>
    <mergeCell ref="L79:L80"/>
    <mergeCell ref="A83:A84"/>
    <mergeCell ref="B83:B84"/>
    <mergeCell ref="D83:D84"/>
    <mergeCell ref="K83:K84"/>
    <mergeCell ref="L83:L84"/>
    <mergeCell ref="A85:A86"/>
    <mergeCell ref="B85:B86"/>
    <mergeCell ref="D85:D86"/>
    <mergeCell ref="K85:K86"/>
    <mergeCell ref="L85:L86"/>
    <mergeCell ref="A87:A88"/>
    <mergeCell ref="B87:B88"/>
    <mergeCell ref="D87:D88"/>
    <mergeCell ref="K87:K88"/>
    <mergeCell ref="L87:L88"/>
    <mergeCell ref="A90:A94"/>
    <mergeCell ref="B90:B94"/>
    <mergeCell ref="D90:D94"/>
    <mergeCell ref="K90:K94"/>
    <mergeCell ref="L90:L94"/>
    <mergeCell ref="A95:A96"/>
    <mergeCell ref="B95:B96"/>
    <mergeCell ref="D95:D96"/>
    <mergeCell ref="K95:K96"/>
    <mergeCell ref="L95:L96"/>
    <mergeCell ref="A97:A101"/>
    <mergeCell ref="B97:B101"/>
    <mergeCell ref="D97:D101"/>
    <mergeCell ref="K97:K101"/>
    <mergeCell ref="L97:L101"/>
    <mergeCell ref="A102:A103"/>
    <mergeCell ref="B102:B103"/>
    <mergeCell ref="D102:D103"/>
    <mergeCell ref="K102:K103"/>
    <mergeCell ref="L102:L103"/>
    <mergeCell ref="A107:A109"/>
    <mergeCell ref="B107:B109"/>
    <mergeCell ref="D107:D109"/>
    <mergeCell ref="K107:K109"/>
    <mergeCell ref="L107:L109"/>
    <mergeCell ref="A117:A152"/>
    <mergeCell ref="A154:M154"/>
    <mergeCell ref="A110:A111"/>
    <mergeCell ref="B110:B111"/>
    <mergeCell ref="D110:D111"/>
    <mergeCell ref="K110:K111"/>
    <mergeCell ref="L110:L111"/>
    <mergeCell ref="A112:A113"/>
    <mergeCell ref="B112:B113"/>
    <mergeCell ref="D112:D113"/>
    <mergeCell ref="K112:K113"/>
    <mergeCell ref="L112:L11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heetViews>
  <sheetFormatPr defaultRowHeight="15"/>
  <cols>
    <col min="1" max="16384" width="9.140625" style="416"/>
  </cols>
  <sheetData>
    <row r="1" spans="1:6">
      <c r="A1" s="416" t="s">
        <v>1233</v>
      </c>
      <c r="B1" s="416" t="s">
        <v>1234</v>
      </c>
      <c r="C1" s="416" t="s">
        <v>621</v>
      </c>
      <c r="F1" s="416" t="s">
        <v>1381</v>
      </c>
    </row>
    <row r="2" spans="1:6">
      <c r="A2" s="416" t="s">
        <v>1235</v>
      </c>
      <c r="B2" s="332" t="s">
        <v>963</v>
      </c>
      <c r="C2" s="241" t="s">
        <v>19</v>
      </c>
    </row>
    <row r="3" spans="1:6">
      <c r="A3" s="416" t="s">
        <v>1235</v>
      </c>
      <c r="B3" s="333" t="s">
        <v>963</v>
      </c>
      <c r="C3" s="240" t="s">
        <v>20</v>
      </c>
      <c r="F3" s="39"/>
    </row>
    <row r="4" spans="1:6">
      <c r="A4" s="416" t="s">
        <v>1235</v>
      </c>
      <c r="B4" s="334" t="s">
        <v>963</v>
      </c>
      <c r="C4" s="241" t="s">
        <v>16</v>
      </c>
      <c r="F4" s="230"/>
    </row>
    <row r="5" spans="1:6">
      <c r="A5" s="416" t="s">
        <v>1235</v>
      </c>
      <c r="B5" s="333" t="s">
        <v>963</v>
      </c>
      <c r="C5" s="240" t="s">
        <v>17</v>
      </c>
    </row>
    <row r="6" spans="1:6">
      <c r="A6" s="416" t="s">
        <v>1235</v>
      </c>
      <c r="B6" s="334" t="s">
        <v>626</v>
      </c>
      <c r="C6" s="241" t="s">
        <v>18</v>
      </c>
    </row>
    <row r="7" spans="1:6">
      <c r="A7" s="416" t="s">
        <v>1235</v>
      </c>
      <c r="B7" s="333" t="s">
        <v>626</v>
      </c>
      <c r="C7" s="240" t="s">
        <v>8</v>
      </c>
    </row>
    <row r="8" spans="1:6">
      <c r="A8" s="416" t="s">
        <v>1235</v>
      </c>
      <c r="B8" s="334" t="s">
        <v>626</v>
      </c>
      <c r="C8" s="241" t="s">
        <v>9</v>
      </c>
    </row>
    <row r="9" spans="1:6">
      <c r="A9" s="416" t="s">
        <v>1235</v>
      </c>
      <c r="B9" s="333" t="s">
        <v>626</v>
      </c>
      <c r="C9" s="240" t="s">
        <v>10</v>
      </c>
    </row>
    <row r="10" spans="1:6">
      <c r="A10" s="416" t="s">
        <v>1235</v>
      </c>
      <c r="B10" s="334" t="s">
        <v>626</v>
      </c>
      <c r="C10" s="241" t="s">
        <v>91</v>
      </c>
    </row>
    <row r="11" spans="1:6">
      <c r="A11" s="416" t="s">
        <v>1235</v>
      </c>
      <c r="B11" s="231" t="s">
        <v>626</v>
      </c>
      <c r="C11" s="240" t="s">
        <v>92</v>
      </c>
    </row>
    <row r="12" spans="1:6">
      <c r="A12" s="416" t="s">
        <v>1235</v>
      </c>
      <c r="B12" s="232" t="s">
        <v>630</v>
      </c>
      <c r="C12" s="241" t="s">
        <v>29</v>
      </c>
    </row>
    <row r="13" spans="1:6">
      <c r="A13" s="416" t="s">
        <v>1235</v>
      </c>
      <c r="B13" s="231" t="s">
        <v>630</v>
      </c>
      <c r="C13" s="240" t="s">
        <v>90</v>
      </c>
    </row>
    <row r="14" spans="1:6">
      <c r="A14" s="416" t="s">
        <v>1235</v>
      </c>
      <c r="B14" s="232" t="s">
        <v>627</v>
      </c>
      <c r="C14" s="241" t="s">
        <v>14</v>
      </c>
    </row>
    <row r="15" spans="1:6">
      <c r="A15" s="416" t="s">
        <v>1235</v>
      </c>
      <c r="B15" s="231" t="s">
        <v>627</v>
      </c>
      <c r="C15" s="240" t="s">
        <v>11</v>
      </c>
    </row>
    <row r="16" spans="1:6">
      <c r="A16" s="416" t="s">
        <v>1235</v>
      </c>
      <c r="B16" s="232" t="s">
        <v>627</v>
      </c>
      <c r="C16" s="241" t="s">
        <v>12</v>
      </c>
    </row>
    <row r="17" spans="1:3">
      <c r="A17" s="416" t="s">
        <v>1235</v>
      </c>
      <c r="B17" s="231" t="s">
        <v>627</v>
      </c>
      <c r="C17" s="240" t="s">
        <v>13</v>
      </c>
    </row>
    <row r="18" spans="1:3">
      <c r="A18" s="416" t="s">
        <v>1235</v>
      </c>
      <c r="B18" s="232" t="s">
        <v>627</v>
      </c>
      <c r="C18" s="241" t="s">
        <v>15</v>
      </c>
    </row>
    <row r="19" spans="1:3">
      <c r="A19" s="416" t="s">
        <v>1235</v>
      </c>
      <c r="B19" s="231" t="s">
        <v>625</v>
      </c>
      <c r="C19" s="240" t="s">
        <v>93</v>
      </c>
    </row>
    <row r="20" spans="1:3">
      <c r="A20" s="416" t="s">
        <v>1235</v>
      </c>
      <c r="B20" s="232" t="s">
        <v>625</v>
      </c>
      <c r="C20" s="241" t="s">
        <v>5</v>
      </c>
    </row>
    <row r="21" spans="1:3">
      <c r="A21" s="416" t="s">
        <v>1235</v>
      </c>
      <c r="B21" s="231" t="s">
        <v>625</v>
      </c>
      <c r="C21" s="240" t="s">
        <v>88</v>
      </c>
    </row>
    <row r="22" spans="1:3">
      <c r="A22" s="416" t="s">
        <v>1235</v>
      </c>
      <c r="B22" s="232" t="s">
        <v>625</v>
      </c>
      <c r="C22" s="241" t="s">
        <v>89</v>
      </c>
    </row>
    <row r="23" spans="1:3">
      <c r="A23" s="416" t="s">
        <v>1235</v>
      </c>
      <c r="B23" s="231" t="s">
        <v>625</v>
      </c>
      <c r="C23" s="240" t="s">
        <v>1</v>
      </c>
    </row>
    <row r="24" spans="1:3">
      <c r="A24" s="416" t="s">
        <v>1235</v>
      </c>
      <c r="B24" s="232" t="s">
        <v>625</v>
      </c>
      <c r="C24" s="241" t="s">
        <v>6</v>
      </c>
    </row>
    <row r="25" spans="1:3">
      <c r="A25" s="416" t="s">
        <v>1235</v>
      </c>
      <c r="B25" s="231" t="s">
        <v>625</v>
      </c>
      <c r="C25" s="240" t="s">
        <v>0</v>
      </c>
    </row>
    <row r="26" spans="1:3">
      <c r="A26" s="416" t="s">
        <v>1235</v>
      </c>
      <c r="B26" s="232" t="s">
        <v>625</v>
      </c>
      <c r="C26" s="241" t="s">
        <v>4</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B65"/>
  <sheetViews>
    <sheetView zoomScaleNormal="100" workbookViewId="0"/>
  </sheetViews>
  <sheetFormatPr defaultColWidth="11.5703125" defaultRowHeight="15"/>
  <cols>
    <col min="1" max="1" width="16.5703125" style="416" customWidth="1"/>
    <col min="2" max="6" width="11.5703125" style="416"/>
    <col min="7" max="7" width="11.28515625" style="416" customWidth="1"/>
    <col min="8" max="14" width="11.5703125" style="416"/>
    <col min="15" max="15" width="27.7109375" style="416" bestFit="1" customWidth="1"/>
    <col min="16" max="16384" width="11.5703125" style="416"/>
  </cols>
  <sheetData>
    <row r="1" spans="1:10">
      <c r="A1" s="416" t="s">
        <v>1225</v>
      </c>
      <c r="B1" s="416" t="s">
        <v>1226</v>
      </c>
      <c r="I1" s="321"/>
    </row>
    <row r="2" spans="1:10">
      <c r="A2" s="416" t="s">
        <v>982</v>
      </c>
      <c r="B2" s="416">
        <v>2021</v>
      </c>
      <c r="C2" s="416">
        <v>2022</v>
      </c>
      <c r="D2" s="416">
        <v>2023</v>
      </c>
      <c r="E2" s="416">
        <v>2024</v>
      </c>
      <c r="F2" s="416">
        <v>2025</v>
      </c>
      <c r="G2" s="416" t="s">
        <v>1203</v>
      </c>
      <c r="H2" s="416" t="s">
        <v>1206</v>
      </c>
      <c r="I2" s="416" t="s">
        <v>1227</v>
      </c>
      <c r="J2" s="322"/>
    </row>
    <row r="3" spans="1:10">
      <c r="A3" s="328" t="s">
        <v>14</v>
      </c>
      <c r="C3" s="323">
        <f>SUMIFS('COAL_CEA BSM Apr 2020'!$G$6:$G$152,'COAL_CEA BSM Apr 2020'!$C$6:$C$152,COAL!$A3,'COAL_CEA BSM Apr 2020'!$N$6:$N$152,COAL!C$2)</f>
        <v>1600</v>
      </c>
      <c r="D3" s="323">
        <f>SUMIFS('COAL_CEA BSM Apr 2020'!$G$6:$G$152,'COAL_CEA BSM Apr 2020'!$C$6:$C$152,COAL!$A3,'COAL_CEA BSM Apr 2020'!$N$6:$N$152,COAL!D$2)</f>
        <v>0</v>
      </c>
      <c r="E3" s="323">
        <f>SUMIFS('COAL_CEA BSM Apr 2020'!$G$6:$G$152,'COAL_CEA BSM Apr 2020'!$C$6:$C$152,COAL!$A3,'COAL_CEA BSM Apr 2020'!$N$6:$N$152,COAL!E$2)</f>
        <v>0</v>
      </c>
      <c r="F3" s="323">
        <f>SUMIFS('COAL_CEA BSM Apr 2020'!$G$6:$G$152,'COAL_CEA BSM Apr 2020'!$C$6:$C$152,COAL!$A3,'COAL_CEA BSM Apr 2020'!$N$6:$N$152,COAL!F$2)</f>
        <v>0</v>
      </c>
      <c r="G3" s="323">
        <f>SUMIFS('COAL_CEA BSM Apr 2020'!$G$6:$G$152,'COAL_CEA BSM Apr 2020'!$C$6:$C$152,COAL!$A3,'COAL_CEA BSM Apr 2020'!$N$6:$N$152,COAL!G$2)</f>
        <v>60</v>
      </c>
      <c r="H3" s="323">
        <f>SUMIFS('COAL_CEA BSM Apr 2020'!$G$6:$G$152,'COAL_CEA BSM Apr 2020'!$C$6:$C$152,COAL!$A3,'COAL_CEA BSM Apr 2020'!$N$6:$N$152,COAL!H$2)</f>
        <v>0</v>
      </c>
      <c r="I3" s="323">
        <f>SUMIFS('COAL_CEA BSM Apr 2020'!$G$6:$G$152,'COAL_CEA BSM Apr 2020'!$C$6:$C$152,COAL!$A3,'COAL_CEA BSM Apr 2020'!$N$6:$N$152,COAL!I$2)</f>
        <v>2020</v>
      </c>
      <c r="J3" s="324">
        <f>SUM(B3:I3)</f>
        <v>3680</v>
      </c>
    </row>
    <row r="4" spans="1:10">
      <c r="A4" s="329" t="s">
        <v>90</v>
      </c>
      <c r="C4" s="323">
        <f>SUMIFS('COAL_CEA BSM Apr 2020'!$G$6:$G$152,'COAL_CEA BSM Apr 2020'!$C$6:$C$152,COAL!$A4,'COAL_CEA BSM Apr 2020'!$N$6:$N$152,COAL!C$2)</f>
        <v>0</v>
      </c>
      <c r="D4" s="323">
        <f>SUMIFS('COAL_CEA BSM Apr 2020'!$G$6:$G$152,'COAL_CEA BSM Apr 2020'!$C$6:$C$152,COAL!$A4,'COAL_CEA BSM Apr 2020'!$N$6:$N$152,COAL!D$2)</f>
        <v>0</v>
      </c>
      <c r="E4" s="323">
        <f>SUMIFS('COAL_CEA BSM Apr 2020'!$G$6:$G$152,'COAL_CEA BSM Apr 2020'!$C$6:$C$152,COAL!$A4,'COAL_CEA BSM Apr 2020'!$N$6:$N$152,COAL!E$2)</f>
        <v>0</v>
      </c>
      <c r="F4" s="323">
        <f>SUMIFS('COAL_CEA BSM Apr 2020'!$G$6:$G$152,'COAL_CEA BSM Apr 2020'!$C$6:$C$152,COAL!$A4,'COAL_CEA BSM Apr 2020'!$N$6:$N$152,COAL!F$2)</f>
        <v>0</v>
      </c>
      <c r="G4" s="323">
        <f>SUMIFS('COAL_CEA BSM Apr 2020'!$G$6:$G$152,'COAL_CEA BSM Apr 2020'!$C$6:$C$152,COAL!$A4,'COAL_CEA BSM Apr 2020'!$N$6:$N$152,COAL!G$2)</f>
        <v>0</v>
      </c>
      <c r="H4" s="323">
        <f>SUMIFS('COAL_CEA BSM Apr 2020'!$G$6:$G$152,'COAL_CEA BSM Apr 2020'!$C$6:$C$152,COAL!$A4,'COAL_CEA BSM Apr 2020'!$N$6:$N$152,COAL!H$2)</f>
        <v>0</v>
      </c>
      <c r="I4" s="323">
        <f>SUMIFS('COAL_CEA BSM Apr 2020'!$G$6:$G$152,'COAL_CEA BSM Apr 2020'!$C$6:$C$152,COAL!$A4,'COAL_CEA BSM Apr 2020'!$N$6:$N$152,COAL!I$2)</f>
        <v>0</v>
      </c>
      <c r="J4" s="324">
        <f t="shared" ref="J4:J27" si="0">SUM(B4:I4)</f>
        <v>0</v>
      </c>
    </row>
    <row r="5" spans="1:10">
      <c r="A5" s="328" t="s">
        <v>29</v>
      </c>
      <c r="C5" s="323">
        <f>SUMIFS('COAL_CEA BSM Apr 2020'!$G$6:$G$152,'COAL_CEA BSM Apr 2020'!$C$6:$C$152,COAL!$A5,'COAL_CEA BSM Apr 2020'!$N$6:$N$152,COAL!C$2)</f>
        <v>0</v>
      </c>
      <c r="D5" s="323">
        <f>SUMIFS('COAL_CEA BSM Apr 2020'!$G$6:$G$152,'COAL_CEA BSM Apr 2020'!$C$6:$C$152,COAL!$A5,'COAL_CEA BSM Apr 2020'!$N$6:$N$152,COAL!D$2)</f>
        <v>0</v>
      </c>
      <c r="E5" s="323">
        <f>SUMIFS('COAL_CEA BSM Apr 2020'!$G$6:$G$152,'COAL_CEA BSM Apr 2020'!$C$6:$C$152,COAL!$A5,'COAL_CEA BSM Apr 2020'!$N$6:$N$152,COAL!E$2)</f>
        <v>0</v>
      </c>
      <c r="F5" s="323">
        <f>SUMIFS('COAL_CEA BSM Apr 2020'!$G$6:$G$152,'COAL_CEA BSM Apr 2020'!$C$6:$C$152,COAL!$A5,'COAL_CEA BSM Apr 2020'!$N$6:$N$152,COAL!F$2)</f>
        <v>0</v>
      </c>
      <c r="G5" s="323">
        <f>SUMIFS('COAL_CEA BSM Apr 2020'!$G$6:$G$152,'COAL_CEA BSM Apr 2020'!$C$6:$C$152,COAL!$A5,'COAL_CEA BSM Apr 2020'!$N$6:$N$152,COAL!G$2)</f>
        <v>0</v>
      </c>
      <c r="H5" s="323">
        <f>SUMIFS('COAL_CEA BSM Apr 2020'!$G$6:$G$152,'COAL_CEA BSM Apr 2020'!$C$6:$C$152,COAL!$A5,'COAL_CEA BSM Apr 2020'!$N$6:$N$152,COAL!H$2)</f>
        <v>0</v>
      </c>
      <c r="I5" s="323">
        <f>SUMIFS('COAL_CEA BSM Apr 2020'!$G$6:$G$152,'COAL_CEA BSM Apr 2020'!$C$6:$C$152,COAL!$A5,'COAL_CEA BSM Apr 2020'!$N$6:$N$152,COAL!I$2)</f>
        <v>0</v>
      </c>
      <c r="J5" s="324">
        <f t="shared" si="0"/>
        <v>0</v>
      </c>
    </row>
    <row r="6" spans="1:10">
      <c r="A6" s="329" t="s">
        <v>19</v>
      </c>
      <c r="C6" s="323">
        <f>SUMIFS('COAL_CEA BSM Apr 2020'!$G$6:$G$152,'COAL_CEA BSM Apr 2020'!$C$6:$C$152,COAL!$A6,'COAL_CEA BSM Apr 2020'!$N$6:$N$152,COAL!C$2)</f>
        <v>1570</v>
      </c>
      <c r="D6" s="323">
        <f>SUMIFS('COAL_CEA BSM Apr 2020'!$G$6:$G$152,'COAL_CEA BSM Apr 2020'!$C$6:$C$152,COAL!$A6,'COAL_CEA BSM Apr 2020'!$N$6:$N$152,COAL!D$2)</f>
        <v>1980</v>
      </c>
      <c r="E6" s="323">
        <f>SUMIFS('COAL_CEA BSM Apr 2020'!$G$6:$G$152,'COAL_CEA BSM Apr 2020'!$C$6:$C$152,COAL!$A6,'COAL_CEA BSM Apr 2020'!$N$6:$N$152,COAL!E$2)</f>
        <v>0</v>
      </c>
      <c r="F6" s="323">
        <f>SUMIFS('COAL_CEA BSM Apr 2020'!$G$6:$G$152,'COAL_CEA BSM Apr 2020'!$C$6:$C$152,COAL!$A6,'COAL_CEA BSM Apr 2020'!$N$6:$N$152,COAL!F$2)</f>
        <v>1320</v>
      </c>
      <c r="G6" s="323">
        <f>SUMIFS('COAL_CEA BSM Apr 2020'!$G$6:$G$152,'COAL_CEA BSM Apr 2020'!$C$6:$C$152,COAL!$A6,'COAL_CEA BSM Apr 2020'!$N$6:$N$152,COAL!G$2)</f>
        <v>1320</v>
      </c>
      <c r="H6" s="323">
        <f>SUMIFS('COAL_CEA BSM Apr 2020'!$G$6:$G$152,'COAL_CEA BSM Apr 2020'!$C$6:$C$152,COAL!$A6,'COAL_CEA BSM Apr 2020'!$N$6:$N$152,COAL!H$2)</f>
        <v>0</v>
      </c>
      <c r="I6" s="323">
        <f>SUMIFS('COAL_CEA BSM Apr 2020'!$G$6:$G$152,'COAL_CEA BSM Apr 2020'!$C$6:$C$152,COAL!$A6,'COAL_CEA BSM Apr 2020'!$N$6:$N$152,COAL!I$2)</f>
        <v>2640</v>
      </c>
      <c r="J6" s="324">
        <f t="shared" si="0"/>
        <v>8830</v>
      </c>
    </row>
    <row r="7" spans="1:10">
      <c r="A7" s="328" t="s">
        <v>18</v>
      </c>
      <c r="C7" s="323">
        <f>SUMIFS('COAL_CEA BSM Apr 2020'!$G$6:$G$152,'COAL_CEA BSM Apr 2020'!$C$6:$C$152,COAL!$A7,'COAL_CEA BSM Apr 2020'!$N$6:$N$152,COAL!C$2)</f>
        <v>800</v>
      </c>
      <c r="D7" s="323">
        <f>SUMIFS('COAL_CEA BSM Apr 2020'!$G$6:$G$152,'COAL_CEA BSM Apr 2020'!$C$6:$C$152,COAL!$A7,'COAL_CEA BSM Apr 2020'!$N$6:$N$152,COAL!D$2)</f>
        <v>0</v>
      </c>
      <c r="E7" s="323">
        <f>SUMIFS('COAL_CEA BSM Apr 2020'!$G$6:$G$152,'COAL_CEA BSM Apr 2020'!$C$6:$C$152,COAL!$A7,'COAL_CEA BSM Apr 2020'!$N$6:$N$152,COAL!E$2)</f>
        <v>0</v>
      </c>
      <c r="F7" s="323">
        <f>SUMIFS('COAL_CEA BSM Apr 2020'!$G$6:$G$152,'COAL_CEA BSM Apr 2020'!$C$6:$C$152,COAL!$A7,'COAL_CEA BSM Apr 2020'!$N$6:$N$152,COAL!F$2)</f>
        <v>0</v>
      </c>
      <c r="G7" s="323">
        <f>SUMIFS('COAL_CEA BSM Apr 2020'!$G$6:$G$152,'COAL_CEA BSM Apr 2020'!$C$6:$C$152,COAL!$A7,'COAL_CEA BSM Apr 2020'!$N$6:$N$152,COAL!G$2)</f>
        <v>0</v>
      </c>
      <c r="H7" s="323">
        <f>SUMIFS('COAL_CEA BSM Apr 2020'!$G$6:$G$152,'COAL_CEA BSM Apr 2020'!$C$6:$C$152,COAL!$A7,'COAL_CEA BSM Apr 2020'!$N$6:$N$152,COAL!H$2)</f>
        <v>2400</v>
      </c>
      <c r="I7" s="323">
        <f>SUMIFS('COAL_CEA BSM Apr 2020'!$G$6:$G$152,'COAL_CEA BSM Apr 2020'!$C$6:$C$152,COAL!$A7,'COAL_CEA BSM Apr 2020'!$N$6:$N$152,COAL!I$2)</f>
        <v>5655</v>
      </c>
      <c r="J7" s="324">
        <f t="shared" si="0"/>
        <v>8855</v>
      </c>
    </row>
    <row r="8" spans="1:10">
      <c r="A8" s="329" t="s">
        <v>91</v>
      </c>
      <c r="C8" s="323">
        <f>SUMIFS('COAL_CEA BSM Apr 2020'!$G$6:$G$152,'COAL_CEA BSM Apr 2020'!$C$6:$C$152,COAL!$A8,'COAL_CEA BSM Apr 2020'!$N$6:$N$152,COAL!C$2)</f>
        <v>0</v>
      </c>
      <c r="D8" s="323">
        <f>SUMIFS('COAL_CEA BSM Apr 2020'!$G$6:$G$152,'COAL_CEA BSM Apr 2020'!$C$6:$C$152,COAL!$A8,'COAL_CEA BSM Apr 2020'!$N$6:$N$152,COAL!D$2)</f>
        <v>0</v>
      </c>
      <c r="E8" s="323">
        <f>SUMIFS('COAL_CEA BSM Apr 2020'!$G$6:$G$152,'COAL_CEA BSM Apr 2020'!$C$6:$C$152,COAL!$A8,'COAL_CEA BSM Apr 2020'!$N$6:$N$152,COAL!E$2)</f>
        <v>0</v>
      </c>
      <c r="F8" s="323">
        <f>SUMIFS('COAL_CEA BSM Apr 2020'!$G$6:$G$152,'COAL_CEA BSM Apr 2020'!$C$6:$C$152,COAL!$A8,'COAL_CEA BSM Apr 2020'!$N$6:$N$152,COAL!F$2)</f>
        <v>0</v>
      </c>
      <c r="G8" s="323">
        <f>SUMIFS('COAL_CEA BSM Apr 2020'!$G$6:$G$152,'COAL_CEA BSM Apr 2020'!$C$6:$C$152,COAL!$A8,'COAL_CEA BSM Apr 2020'!$N$6:$N$152,COAL!G$2)</f>
        <v>0</v>
      </c>
      <c r="H8" s="323">
        <f>SUMIFS('COAL_CEA BSM Apr 2020'!$G$6:$G$152,'COAL_CEA BSM Apr 2020'!$C$6:$C$152,COAL!$A8,'COAL_CEA BSM Apr 2020'!$N$6:$N$152,COAL!H$2)</f>
        <v>0</v>
      </c>
      <c r="I8" s="323">
        <f>SUMIFS('COAL_CEA BSM Apr 2020'!$G$6:$G$152,'COAL_CEA BSM Apr 2020'!$C$6:$C$152,COAL!$A8,'COAL_CEA BSM Apr 2020'!$N$6:$N$152,COAL!I$2)</f>
        <v>0</v>
      </c>
      <c r="J8" s="324">
        <f t="shared" si="0"/>
        <v>0</v>
      </c>
    </row>
    <row r="9" spans="1:10">
      <c r="A9" s="328" t="s">
        <v>8</v>
      </c>
      <c r="C9" s="323">
        <f>SUMIFS('COAL_CEA BSM Apr 2020'!$G$6:$G$152,'COAL_CEA BSM Apr 2020'!$C$6:$C$152,COAL!$A9,'COAL_CEA BSM Apr 2020'!$N$6:$N$152,COAL!C$2)</f>
        <v>0</v>
      </c>
      <c r="D9" s="323">
        <f>SUMIFS('COAL_CEA BSM Apr 2020'!$G$6:$G$152,'COAL_CEA BSM Apr 2020'!$C$6:$C$152,COAL!$A9,'COAL_CEA BSM Apr 2020'!$N$6:$N$152,COAL!D$2)</f>
        <v>0</v>
      </c>
      <c r="E9" s="323">
        <f>SUMIFS('COAL_CEA BSM Apr 2020'!$G$6:$G$152,'COAL_CEA BSM Apr 2020'!$C$6:$C$152,COAL!$A9,'COAL_CEA BSM Apr 2020'!$N$6:$N$152,COAL!E$2)</f>
        <v>0</v>
      </c>
      <c r="F9" s="323">
        <f>SUMIFS('COAL_CEA BSM Apr 2020'!$G$6:$G$152,'COAL_CEA BSM Apr 2020'!$C$6:$C$152,COAL!$A9,'COAL_CEA BSM Apr 2020'!$N$6:$N$152,COAL!F$2)</f>
        <v>0</v>
      </c>
      <c r="G9" s="323">
        <f>SUMIFS('COAL_CEA BSM Apr 2020'!$G$6:$G$152,'COAL_CEA BSM Apr 2020'!$C$6:$C$152,COAL!$A9,'COAL_CEA BSM Apr 2020'!$N$6:$N$152,COAL!G$2)</f>
        <v>0</v>
      </c>
      <c r="H9" s="323">
        <f>SUMIFS('COAL_CEA BSM Apr 2020'!$G$6:$G$152,'COAL_CEA BSM Apr 2020'!$C$6:$C$152,COAL!$A9,'COAL_CEA BSM Apr 2020'!$N$6:$N$152,COAL!H$2)</f>
        <v>800</v>
      </c>
      <c r="I9" s="323">
        <f>SUMIFS('COAL_CEA BSM Apr 2020'!$G$6:$G$152,'COAL_CEA BSM Apr 2020'!$C$6:$C$152,COAL!$A9,'COAL_CEA BSM Apr 2020'!$N$6:$N$152,COAL!I$2)</f>
        <v>0</v>
      </c>
      <c r="J9" s="324">
        <f t="shared" si="0"/>
        <v>800</v>
      </c>
    </row>
    <row r="10" spans="1:10">
      <c r="A10" s="329" t="s">
        <v>5</v>
      </c>
      <c r="C10" s="323">
        <f>SUMIFS('COAL_CEA BSM Apr 2020'!$G$6:$G$152,'COAL_CEA BSM Apr 2020'!$C$6:$C$152,COAL!$A10,'COAL_CEA BSM Apr 2020'!$N$6:$N$152,COAL!C$2)</f>
        <v>0</v>
      </c>
      <c r="D10" s="323">
        <f>SUMIFS('COAL_CEA BSM Apr 2020'!$G$6:$G$152,'COAL_CEA BSM Apr 2020'!$C$6:$C$152,COAL!$A10,'COAL_CEA BSM Apr 2020'!$N$6:$N$152,COAL!D$2)</f>
        <v>0</v>
      </c>
      <c r="E10" s="323">
        <f>SUMIFS('COAL_CEA BSM Apr 2020'!$G$6:$G$152,'COAL_CEA BSM Apr 2020'!$C$6:$C$152,COAL!$A10,'COAL_CEA BSM Apr 2020'!$N$6:$N$152,COAL!E$2)</f>
        <v>0</v>
      </c>
      <c r="F10" s="323">
        <f>SUMIFS('COAL_CEA BSM Apr 2020'!$G$6:$G$152,'COAL_CEA BSM Apr 2020'!$C$6:$C$152,COAL!$A10,'COAL_CEA BSM Apr 2020'!$N$6:$N$152,COAL!F$2)</f>
        <v>0</v>
      </c>
      <c r="G10" s="323">
        <f>SUMIFS('COAL_CEA BSM Apr 2020'!$G$6:$G$152,'COAL_CEA BSM Apr 2020'!$C$6:$C$152,COAL!$A10,'COAL_CEA BSM Apr 2020'!$N$6:$N$152,COAL!G$2)</f>
        <v>0</v>
      </c>
      <c r="H10" s="323">
        <f>SUMIFS('COAL_CEA BSM Apr 2020'!$G$6:$G$152,'COAL_CEA BSM Apr 2020'!$C$6:$C$152,COAL!$A10,'COAL_CEA BSM Apr 2020'!$N$6:$N$152,COAL!H$2)</f>
        <v>0</v>
      </c>
      <c r="I10" s="323">
        <f>SUMIFS('COAL_CEA BSM Apr 2020'!$G$6:$G$152,'COAL_CEA BSM Apr 2020'!$C$6:$C$152,COAL!$A10,'COAL_CEA BSM Apr 2020'!$N$6:$N$152,COAL!I$2)</f>
        <v>0</v>
      </c>
      <c r="J10" s="324">
        <f t="shared" si="0"/>
        <v>0</v>
      </c>
    </row>
    <row r="11" spans="1:10">
      <c r="A11" s="328" t="s">
        <v>88</v>
      </c>
      <c r="C11" s="323">
        <f>SUMIFS('COAL_CEA BSM Apr 2020'!$G$6:$G$152,'COAL_CEA BSM Apr 2020'!$C$6:$C$152,COAL!$A11,'COAL_CEA BSM Apr 2020'!$N$6:$N$152,COAL!C$2)</f>
        <v>0</v>
      </c>
      <c r="D11" s="323">
        <f>SUMIFS('COAL_CEA BSM Apr 2020'!$G$6:$G$152,'COAL_CEA BSM Apr 2020'!$C$6:$C$152,COAL!$A11,'COAL_CEA BSM Apr 2020'!$N$6:$N$152,COAL!D$2)</f>
        <v>0</v>
      </c>
      <c r="E11" s="323">
        <f>SUMIFS('COAL_CEA BSM Apr 2020'!$G$6:$G$152,'COAL_CEA BSM Apr 2020'!$C$6:$C$152,COAL!$A11,'COAL_CEA BSM Apr 2020'!$N$6:$N$152,COAL!E$2)</f>
        <v>0</v>
      </c>
      <c r="F11" s="323">
        <f>SUMIFS('COAL_CEA BSM Apr 2020'!$G$6:$G$152,'COAL_CEA BSM Apr 2020'!$C$6:$C$152,COAL!$A11,'COAL_CEA BSM Apr 2020'!$N$6:$N$152,COAL!F$2)</f>
        <v>0</v>
      </c>
      <c r="G11" s="323">
        <f>SUMIFS('COAL_CEA BSM Apr 2020'!$G$6:$G$152,'COAL_CEA BSM Apr 2020'!$C$6:$C$152,COAL!$A11,'COAL_CEA BSM Apr 2020'!$N$6:$N$152,COAL!G$2)</f>
        <v>0</v>
      </c>
      <c r="H11" s="323">
        <f>SUMIFS('COAL_CEA BSM Apr 2020'!$G$6:$G$152,'COAL_CEA BSM Apr 2020'!$C$6:$C$152,COAL!$A11,'COAL_CEA BSM Apr 2020'!$N$6:$N$152,COAL!H$2)</f>
        <v>0</v>
      </c>
      <c r="I11" s="323">
        <f>SUMIFS('COAL_CEA BSM Apr 2020'!$G$6:$G$152,'COAL_CEA BSM Apr 2020'!$C$6:$C$152,COAL!$A11,'COAL_CEA BSM Apr 2020'!$N$6:$N$152,COAL!I$2)</f>
        <v>0</v>
      </c>
      <c r="J11" s="324">
        <f t="shared" si="0"/>
        <v>0</v>
      </c>
    </row>
    <row r="12" spans="1:10">
      <c r="A12" s="329" t="s">
        <v>89</v>
      </c>
      <c r="C12" s="323">
        <f>SUMIFS('COAL_CEA BSM Apr 2020'!$G$6:$G$152,'COAL_CEA BSM Apr 2020'!$C$6:$C$152,COAL!$A12,'COAL_CEA BSM Apr 2020'!$N$6:$N$152,COAL!C$2)</f>
        <v>0</v>
      </c>
      <c r="D12" s="323">
        <f>SUMIFS('COAL_CEA BSM Apr 2020'!$G$6:$G$152,'COAL_CEA BSM Apr 2020'!$C$6:$C$152,COAL!$A12,'COAL_CEA BSM Apr 2020'!$N$6:$N$152,COAL!D$2)</f>
        <v>0</v>
      </c>
      <c r="E12" s="323">
        <f>SUMIFS('COAL_CEA BSM Apr 2020'!$G$6:$G$152,'COAL_CEA BSM Apr 2020'!$C$6:$C$152,COAL!$A12,'COAL_CEA BSM Apr 2020'!$N$6:$N$152,COAL!E$2)</f>
        <v>0</v>
      </c>
      <c r="F12" s="323">
        <f>SUMIFS('COAL_CEA BSM Apr 2020'!$G$6:$G$152,'COAL_CEA BSM Apr 2020'!$C$6:$C$152,COAL!$A12,'COAL_CEA BSM Apr 2020'!$N$6:$N$152,COAL!F$2)</f>
        <v>0</v>
      </c>
      <c r="G12" s="323">
        <f>SUMIFS('COAL_CEA BSM Apr 2020'!$G$6:$G$152,'COAL_CEA BSM Apr 2020'!$C$6:$C$152,COAL!$A12,'COAL_CEA BSM Apr 2020'!$N$6:$N$152,COAL!G$2)</f>
        <v>0</v>
      </c>
      <c r="H12" s="323">
        <f>SUMIFS('COAL_CEA BSM Apr 2020'!$G$6:$G$152,'COAL_CEA BSM Apr 2020'!$C$6:$C$152,COAL!$A12,'COAL_CEA BSM Apr 2020'!$N$6:$N$152,COAL!H$2)</f>
        <v>0</v>
      </c>
      <c r="I12" s="323">
        <f>SUMIFS('COAL_CEA BSM Apr 2020'!$G$6:$G$152,'COAL_CEA BSM Apr 2020'!$C$6:$C$152,COAL!$A12,'COAL_CEA BSM Apr 2020'!$N$6:$N$152,COAL!I$2)</f>
        <v>0</v>
      </c>
      <c r="J12" s="324">
        <f t="shared" si="0"/>
        <v>0</v>
      </c>
    </row>
    <row r="13" spans="1:10">
      <c r="A13" s="328" t="s">
        <v>20</v>
      </c>
      <c r="C13" s="323">
        <f>SUMIFS('COAL_CEA BSM Apr 2020'!$G$6:$G$152,'COAL_CEA BSM Apr 2020'!$C$6:$C$152,COAL!$A13,'COAL_CEA BSM Apr 2020'!$N$6:$N$152,COAL!C$2)</f>
        <v>0</v>
      </c>
      <c r="D13" s="323">
        <f>SUMIFS('COAL_CEA BSM Apr 2020'!$G$6:$G$152,'COAL_CEA BSM Apr 2020'!$C$6:$C$152,COAL!$A13,'COAL_CEA BSM Apr 2020'!$N$6:$N$152,COAL!D$2)</f>
        <v>2120</v>
      </c>
      <c r="E13" s="323">
        <f>SUMIFS('COAL_CEA BSM Apr 2020'!$G$6:$G$152,'COAL_CEA BSM Apr 2020'!$C$6:$C$152,COAL!$A13,'COAL_CEA BSM Apr 2020'!$N$6:$N$152,COAL!E$2)</f>
        <v>2260</v>
      </c>
      <c r="F13" s="323">
        <f>SUMIFS('COAL_CEA BSM Apr 2020'!$G$6:$G$152,'COAL_CEA BSM Apr 2020'!$C$6:$C$152,COAL!$A13,'COAL_CEA BSM Apr 2020'!$N$6:$N$152,COAL!F$2)</f>
        <v>0</v>
      </c>
      <c r="G13" s="323">
        <f>SUMIFS('COAL_CEA BSM Apr 2020'!$G$6:$G$152,'COAL_CEA BSM Apr 2020'!$C$6:$C$152,COAL!$A13,'COAL_CEA BSM Apr 2020'!$N$6:$N$152,COAL!G$2)</f>
        <v>800</v>
      </c>
      <c r="H13" s="323">
        <f>SUMIFS('COAL_CEA BSM Apr 2020'!$G$6:$G$152,'COAL_CEA BSM Apr 2020'!$C$6:$C$152,COAL!$A13,'COAL_CEA BSM Apr 2020'!$N$6:$N$152,COAL!H$2)</f>
        <v>0</v>
      </c>
      <c r="I13" s="323">
        <f>SUMIFS('COAL_CEA BSM Apr 2020'!$G$6:$G$152,'COAL_CEA BSM Apr 2020'!$C$6:$C$152,COAL!$A13,'COAL_CEA BSM Apr 2020'!$N$6:$N$152,COAL!I$2)</f>
        <v>2880</v>
      </c>
      <c r="J13" s="324">
        <f t="shared" si="0"/>
        <v>8060</v>
      </c>
    </row>
    <row r="14" spans="1:10">
      <c r="A14" s="329" t="s">
        <v>11</v>
      </c>
      <c r="C14" s="323">
        <f>SUMIFS('COAL_CEA BSM Apr 2020'!$G$6:$G$152,'COAL_CEA BSM Apr 2020'!$C$6:$C$152,COAL!$A14,'COAL_CEA BSM Apr 2020'!$N$6:$N$152,COAL!C$2)</f>
        <v>370</v>
      </c>
      <c r="D14" s="323">
        <f>SUMIFS('COAL_CEA BSM Apr 2020'!$G$6:$G$152,'COAL_CEA BSM Apr 2020'!$C$6:$C$152,COAL!$A14,'COAL_CEA BSM Apr 2020'!$N$6:$N$152,COAL!D$2)</f>
        <v>0</v>
      </c>
      <c r="E14" s="323">
        <f>SUMIFS('COAL_CEA BSM Apr 2020'!$G$6:$G$152,'COAL_CEA BSM Apr 2020'!$C$6:$C$152,COAL!$A14,'COAL_CEA BSM Apr 2020'!$N$6:$N$152,COAL!E$2)</f>
        <v>0</v>
      </c>
      <c r="F14" s="323">
        <f>SUMIFS('COAL_CEA BSM Apr 2020'!$G$6:$G$152,'COAL_CEA BSM Apr 2020'!$C$6:$C$152,COAL!$A14,'COAL_CEA BSM Apr 2020'!$N$6:$N$152,COAL!F$2)</f>
        <v>0</v>
      </c>
      <c r="G14" s="323">
        <f>SUMIFS('COAL_CEA BSM Apr 2020'!$G$6:$G$152,'COAL_CEA BSM Apr 2020'!$C$6:$C$152,COAL!$A14,'COAL_CEA BSM Apr 2020'!$N$6:$N$152,COAL!G$2)</f>
        <v>0</v>
      </c>
      <c r="H14" s="323">
        <f>SUMIFS('COAL_CEA BSM Apr 2020'!$G$6:$G$152,'COAL_CEA BSM Apr 2020'!$C$6:$C$152,COAL!$A14,'COAL_CEA BSM Apr 2020'!$N$6:$N$152,COAL!H$2)</f>
        <v>1600</v>
      </c>
      <c r="I14" s="323">
        <f>SUMIFS('COAL_CEA BSM Apr 2020'!$G$6:$G$152,'COAL_CEA BSM Apr 2020'!$C$6:$C$152,COAL!$A14,'COAL_CEA BSM Apr 2020'!$N$6:$N$152,COAL!I$2)</f>
        <v>0</v>
      </c>
      <c r="J14" s="324">
        <f t="shared" si="0"/>
        <v>1970</v>
      </c>
    </row>
    <row r="15" spans="1:10">
      <c r="A15" s="328" t="s">
        <v>12</v>
      </c>
      <c r="C15" s="323">
        <f>SUMIFS('COAL_CEA BSM Apr 2020'!$G$6:$G$152,'COAL_CEA BSM Apr 2020'!$C$6:$C$152,COAL!$A15,'COAL_CEA BSM Apr 2020'!$N$6:$N$152,COAL!C$2)</f>
        <v>0</v>
      </c>
      <c r="D15" s="323">
        <f>SUMIFS('COAL_CEA BSM Apr 2020'!$G$6:$G$152,'COAL_CEA BSM Apr 2020'!$C$6:$C$152,COAL!$A15,'COAL_CEA BSM Apr 2020'!$N$6:$N$152,COAL!D$2)</f>
        <v>0</v>
      </c>
      <c r="E15" s="323">
        <f>SUMIFS('COAL_CEA BSM Apr 2020'!$G$6:$G$152,'COAL_CEA BSM Apr 2020'!$C$6:$C$152,COAL!$A15,'COAL_CEA BSM Apr 2020'!$N$6:$N$152,COAL!E$2)</f>
        <v>0</v>
      </c>
      <c r="F15" s="323">
        <f>SUMIFS('COAL_CEA BSM Apr 2020'!$G$6:$G$152,'COAL_CEA BSM Apr 2020'!$C$6:$C$152,COAL!$A15,'COAL_CEA BSM Apr 2020'!$N$6:$N$152,COAL!F$2)</f>
        <v>0</v>
      </c>
      <c r="G15" s="323">
        <f>SUMIFS('COAL_CEA BSM Apr 2020'!$G$6:$G$152,'COAL_CEA BSM Apr 2020'!$C$6:$C$152,COAL!$A15,'COAL_CEA BSM Apr 2020'!$N$6:$N$152,COAL!G$2)</f>
        <v>0</v>
      </c>
      <c r="H15" s="323">
        <f>SUMIFS('COAL_CEA BSM Apr 2020'!$G$6:$G$152,'COAL_CEA BSM Apr 2020'!$C$6:$C$152,COAL!$A15,'COAL_CEA BSM Apr 2020'!$N$6:$N$152,COAL!H$2)</f>
        <v>0</v>
      </c>
      <c r="I15" s="323">
        <f>SUMIFS('COAL_CEA BSM Apr 2020'!$G$6:$G$152,'COAL_CEA BSM Apr 2020'!$C$6:$C$152,COAL!$A15,'COAL_CEA BSM Apr 2020'!$N$6:$N$152,COAL!I$2)</f>
        <v>0</v>
      </c>
      <c r="J15" s="324">
        <f t="shared" si="0"/>
        <v>0</v>
      </c>
    </row>
    <row r="16" spans="1:10">
      <c r="A16" s="329" t="s">
        <v>9</v>
      </c>
      <c r="C16" s="323">
        <f>SUMIFS('COAL_CEA BSM Apr 2020'!$G$6:$G$152,'COAL_CEA BSM Apr 2020'!$C$6:$C$152,COAL!$A16,'COAL_CEA BSM Apr 2020'!$N$6:$N$152,COAL!C$2)</f>
        <v>800</v>
      </c>
      <c r="D16" s="323">
        <f>SUMIFS('COAL_CEA BSM Apr 2020'!$G$6:$G$152,'COAL_CEA BSM Apr 2020'!$C$6:$C$152,COAL!$A16,'COAL_CEA BSM Apr 2020'!$N$6:$N$152,COAL!D$2)</f>
        <v>0</v>
      </c>
      <c r="E16" s="323">
        <f>SUMIFS('COAL_CEA BSM Apr 2020'!$G$6:$G$152,'COAL_CEA BSM Apr 2020'!$C$6:$C$152,COAL!$A16,'COAL_CEA BSM Apr 2020'!$N$6:$N$152,COAL!E$2)</f>
        <v>0</v>
      </c>
      <c r="F16" s="323">
        <f>SUMIFS('COAL_CEA BSM Apr 2020'!$G$6:$G$152,'COAL_CEA BSM Apr 2020'!$C$6:$C$152,COAL!$A16,'COAL_CEA BSM Apr 2020'!$N$6:$N$152,COAL!F$2)</f>
        <v>0</v>
      </c>
      <c r="G16" s="323">
        <f>SUMIFS('COAL_CEA BSM Apr 2020'!$G$6:$G$152,'COAL_CEA BSM Apr 2020'!$C$6:$C$152,COAL!$A16,'COAL_CEA BSM Apr 2020'!$N$6:$N$152,COAL!G$2)</f>
        <v>0</v>
      </c>
      <c r="H16" s="323">
        <f>SUMIFS('COAL_CEA BSM Apr 2020'!$G$6:$G$152,'COAL_CEA BSM Apr 2020'!$C$6:$C$152,COAL!$A16,'COAL_CEA BSM Apr 2020'!$N$6:$N$152,COAL!H$2)</f>
        <v>660</v>
      </c>
      <c r="I16" s="323">
        <f>SUMIFS('COAL_CEA BSM Apr 2020'!$G$6:$G$152,'COAL_CEA BSM Apr 2020'!$C$6:$C$152,COAL!$A16,'COAL_CEA BSM Apr 2020'!$N$6:$N$152,COAL!I$2)</f>
        <v>660</v>
      </c>
      <c r="J16" s="324">
        <f t="shared" si="0"/>
        <v>2120</v>
      </c>
    </row>
    <row r="17" spans="1:10">
      <c r="A17" s="328" t="s">
        <v>10</v>
      </c>
      <c r="C17" s="323">
        <f>SUMIFS('COAL_CEA BSM Apr 2020'!$G$6:$G$152,'COAL_CEA BSM Apr 2020'!$C$6:$C$152,COAL!$A17,'COAL_CEA BSM Apr 2020'!$N$6:$N$152,COAL!C$2)</f>
        <v>0</v>
      </c>
      <c r="D17" s="323">
        <f>SUMIFS('COAL_CEA BSM Apr 2020'!$G$6:$G$152,'COAL_CEA BSM Apr 2020'!$C$6:$C$152,COAL!$A17,'COAL_CEA BSM Apr 2020'!$N$6:$N$152,COAL!D$2)</f>
        <v>0</v>
      </c>
      <c r="E17" s="323">
        <f>SUMIFS('COAL_CEA BSM Apr 2020'!$G$6:$G$152,'COAL_CEA BSM Apr 2020'!$C$6:$C$152,COAL!$A17,'COAL_CEA BSM Apr 2020'!$N$6:$N$152,COAL!E$2)</f>
        <v>660</v>
      </c>
      <c r="F17" s="323">
        <f>SUMIFS('COAL_CEA BSM Apr 2020'!$G$6:$G$152,'COAL_CEA BSM Apr 2020'!$C$6:$C$152,COAL!$A17,'COAL_CEA BSM Apr 2020'!$N$6:$N$152,COAL!F$2)</f>
        <v>0</v>
      </c>
      <c r="G17" s="323">
        <f>SUMIFS('COAL_CEA BSM Apr 2020'!$G$6:$G$152,'COAL_CEA BSM Apr 2020'!$C$6:$C$152,COAL!$A17,'COAL_CEA BSM Apr 2020'!$N$6:$N$152,COAL!G$2)</f>
        <v>0</v>
      </c>
      <c r="H17" s="323">
        <f>SUMIFS('COAL_CEA BSM Apr 2020'!$G$6:$G$152,'COAL_CEA BSM Apr 2020'!$C$6:$C$152,COAL!$A17,'COAL_CEA BSM Apr 2020'!$N$6:$N$152,COAL!H$2)</f>
        <v>0</v>
      </c>
      <c r="I17" s="323">
        <f>SUMIFS('COAL_CEA BSM Apr 2020'!$G$6:$G$152,'COAL_CEA BSM Apr 2020'!$C$6:$C$152,COAL!$A17,'COAL_CEA BSM Apr 2020'!$N$6:$N$152,COAL!I$2)</f>
        <v>4770</v>
      </c>
      <c r="J17" s="324">
        <f t="shared" si="0"/>
        <v>5430</v>
      </c>
    </row>
    <row r="18" spans="1:10">
      <c r="A18" s="329" t="s">
        <v>16</v>
      </c>
      <c r="B18" s="331"/>
      <c r="C18" s="323">
        <f>SUMIFS('COAL_CEA BSM Apr 2020'!$G$6:$G$152,'COAL_CEA BSM Apr 2020'!$C$6:$C$152,COAL!$A18,'COAL_CEA BSM Apr 2020'!$N$6:$N$152,COAL!C$2)</f>
        <v>800</v>
      </c>
      <c r="D18" s="323">
        <f>SUMIFS('COAL_CEA BSM Apr 2020'!$G$6:$G$152,'COAL_CEA BSM Apr 2020'!$C$6:$C$152,COAL!$A18,'COAL_CEA BSM Apr 2020'!$N$6:$N$152,COAL!D$2)</f>
        <v>250</v>
      </c>
      <c r="E18" s="323">
        <f>SUMIFS('COAL_CEA BSM Apr 2020'!$G$6:$G$152,'COAL_CEA BSM Apr 2020'!$C$6:$C$152,COAL!$A18,'COAL_CEA BSM Apr 2020'!$N$6:$N$152,COAL!E$2)</f>
        <v>0</v>
      </c>
      <c r="F18" s="323">
        <f>SUMIFS('COAL_CEA BSM Apr 2020'!$G$6:$G$152,'COAL_CEA BSM Apr 2020'!$C$6:$C$152,COAL!$A18,'COAL_CEA BSM Apr 2020'!$N$6:$N$152,COAL!F$2)</f>
        <v>0</v>
      </c>
      <c r="G18" s="323">
        <f>SUMIFS('COAL_CEA BSM Apr 2020'!$G$6:$G$152,'COAL_CEA BSM Apr 2020'!$C$6:$C$152,COAL!$A18,'COAL_CEA BSM Apr 2020'!$N$6:$N$152,COAL!G$2)</f>
        <v>4206</v>
      </c>
      <c r="H18" s="323">
        <f>SUMIFS('COAL_CEA BSM Apr 2020'!$G$6:$G$152,'COAL_CEA BSM Apr 2020'!$C$6:$C$152,COAL!$A18,'COAL_CEA BSM Apr 2020'!$N$6:$N$152,COAL!H$2)</f>
        <v>0</v>
      </c>
      <c r="I18" s="323">
        <f>SUMIFS('COAL_CEA BSM Apr 2020'!$G$6:$G$152,'COAL_CEA BSM Apr 2020'!$C$6:$C$152,COAL!$A18,'COAL_CEA BSM Apr 2020'!$N$6:$N$152,COAL!I$2)</f>
        <v>3770</v>
      </c>
      <c r="J18" s="324">
        <f t="shared" si="0"/>
        <v>9026</v>
      </c>
    </row>
    <row r="19" spans="1:10">
      <c r="A19" s="328" t="s">
        <v>1</v>
      </c>
      <c r="B19" s="331"/>
      <c r="C19" s="323">
        <f>SUMIFS('COAL_CEA BSM Apr 2020'!$G$6:$G$152,'COAL_CEA BSM Apr 2020'!$C$6:$C$152,COAL!$A19,'COAL_CEA BSM Apr 2020'!$N$6:$N$152,COAL!C$2)</f>
        <v>0</v>
      </c>
      <c r="D19" s="323">
        <f>SUMIFS('COAL_CEA BSM Apr 2020'!$G$6:$G$152,'COAL_CEA BSM Apr 2020'!$C$6:$C$152,COAL!$A19,'COAL_CEA BSM Apr 2020'!$N$6:$N$152,COAL!D$2)</f>
        <v>0</v>
      </c>
      <c r="E19" s="323">
        <f>SUMIFS('COAL_CEA BSM Apr 2020'!$G$6:$G$152,'COAL_CEA BSM Apr 2020'!$C$6:$C$152,COAL!$A19,'COAL_CEA BSM Apr 2020'!$N$6:$N$152,COAL!E$2)</f>
        <v>0</v>
      </c>
      <c r="F19" s="323">
        <f>SUMIFS('COAL_CEA BSM Apr 2020'!$G$6:$G$152,'COAL_CEA BSM Apr 2020'!$C$6:$C$152,COAL!$A19,'COAL_CEA BSM Apr 2020'!$N$6:$N$152,COAL!F$2)</f>
        <v>0</v>
      </c>
      <c r="G19" s="323">
        <f>SUMIFS('COAL_CEA BSM Apr 2020'!$G$6:$G$152,'COAL_CEA BSM Apr 2020'!$C$6:$C$152,COAL!$A19,'COAL_CEA BSM Apr 2020'!$N$6:$N$152,COAL!G$2)</f>
        <v>0</v>
      </c>
      <c r="H19" s="323">
        <f>SUMIFS('COAL_CEA BSM Apr 2020'!$G$6:$G$152,'COAL_CEA BSM Apr 2020'!$C$6:$C$152,COAL!$A19,'COAL_CEA BSM Apr 2020'!$N$6:$N$152,COAL!H$2)</f>
        <v>0</v>
      </c>
      <c r="I19" s="323">
        <f>SUMIFS('COAL_CEA BSM Apr 2020'!$G$6:$G$152,'COAL_CEA BSM Apr 2020'!$C$6:$C$152,COAL!$A19,'COAL_CEA BSM Apr 2020'!$N$6:$N$152,COAL!I$2)</f>
        <v>0</v>
      </c>
      <c r="J19" s="324">
        <f t="shared" si="0"/>
        <v>0</v>
      </c>
    </row>
    <row r="20" spans="1:10">
      <c r="A20" s="329" t="s">
        <v>6</v>
      </c>
      <c r="B20" s="331"/>
      <c r="C20" s="323">
        <f>SUMIFS('COAL_CEA BSM Apr 2020'!$G$6:$G$152,'COAL_CEA BSM Apr 2020'!$C$6:$C$152,COAL!$A20,'COAL_CEA BSM Apr 2020'!$N$6:$N$152,COAL!C$2)</f>
        <v>660</v>
      </c>
      <c r="D20" s="323">
        <f>SUMIFS('COAL_CEA BSM Apr 2020'!$G$6:$G$152,'COAL_CEA BSM Apr 2020'!$C$6:$C$152,COAL!$A20,'COAL_CEA BSM Apr 2020'!$N$6:$N$152,COAL!D$2)</f>
        <v>0</v>
      </c>
      <c r="E20" s="323">
        <f>SUMIFS('COAL_CEA BSM Apr 2020'!$G$6:$G$152,'COAL_CEA BSM Apr 2020'!$C$6:$C$152,COAL!$A20,'COAL_CEA BSM Apr 2020'!$N$6:$N$152,COAL!E$2)</f>
        <v>0</v>
      </c>
      <c r="F20" s="323">
        <f>SUMIFS('COAL_CEA BSM Apr 2020'!$G$6:$G$152,'COAL_CEA BSM Apr 2020'!$C$6:$C$152,COAL!$A20,'COAL_CEA BSM Apr 2020'!$N$6:$N$152,COAL!F$2)</f>
        <v>0</v>
      </c>
      <c r="G20" s="323">
        <f>SUMIFS('COAL_CEA BSM Apr 2020'!$G$6:$G$152,'COAL_CEA BSM Apr 2020'!$C$6:$C$152,COAL!$A20,'COAL_CEA BSM Apr 2020'!$N$6:$N$152,COAL!G$2)</f>
        <v>141</v>
      </c>
      <c r="H20" s="323">
        <f>SUMIFS('COAL_CEA BSM Apr 2020'!$G$6:$G$152,'COAL_CEA BSM Apr 2020'!$C$6:$C$152,COAL!$A20,'COAL_CEA BSM Apr 2020'!$N$6:$N$152,COAL!H$2)</f>
        <v>1080</v>
      </c>
      <c r="I20" s="323">
        <f>SUMIFS('COAL_CEA BSM Apr 2020'!$G$6:$G$152,'COAL_CEA BSM Apr 2020'!$C$6:$C$152,COAL!$A20,'COAL_CEA BSM Apr 2020'!$N$6:$N$152,COAL!I$2)</f>
        <v>500</v>
      </c>
      <c r="J20" s="324">
        <f t="shared" si="0"/>
        <v>2381</v>
      </c>
    </row>
    <row r="21" spans="1:10">
      <c r="A21" s="328" t="s">
        <v>13</v>
      </c>
      <c r="B21" s="331"/>
      <c r="C21" s="323">
        <f>SUMIFS('COAL_CEA BSM Apr 2020'!$G$6:$G$152,'COAL_CEA BSM Apr 2020'!$C$6:$C$152,COAL!$A21,'COAL_CEA BSM Apr 2020'!$N$6:$N$152,COAL!C$2)</f>
        <v>1825</v>
      </c>
      <c r="D21" s="323">
        <f>SUMIFS('COAL_CEA BSM Apr 2020'!$G$6:$G$152,'COAL_CEA BSM Apr 2020'!$C$6:$C$152,COAL!$A21,'COAL_CEA BSM Apr 2020'!$N$6:$N$152,COAL!D$2)</f>
        <v>1320</v>
      </c>
      <c r="E21" s="323">
        <f>SUMIFS('COAL_CEA BSM Apr 2020'!$G$6:$G$152,'COAL_CEA BSM Apr 2020'!$C$6:$C$152,COAL!$A21,'COAL_CEA BSM Apr 2020'!$N$6:$N$152,COAL!E$2)</f>
        <v>1460</v>
      </c>
      <c r="F21" s="323">
        <f>SUMIFS('COAL_CEA BSM Apr 2020'!$G$6:$G$152,'COAL_CEA BSM Apr 2020'!$C$6:$C$152,COAL!$A21,'COAL_CEA BSM Apr 2020'!$N$6:$N$152,COAL!F$2)</f>
        <v>1460</v>
      </c>
      <c r="G21" s="323">
        <f>SUMIFS('COAL_CEA BSM Apr 2020'!$G$6:$G$152,'COAL_CEA BSM Apr 2020'!$C$6:$C$152,COAL!$A21,'COAL_CEA BSM Apr 2020'!$N$6:$N$152,COAL!G$2)</f>
        <v>1320</v>
      </c>
      <c r="H21" s="323">
        <f>SUMIFS('COAL_CEA BSM Apr 2020'!$G$6:$G$152,'COAL_CEA BSM Apr 2020'!$C$6:$C$152,COAL!$A21,'COAL_CEA BSM Apr 2020'!$N$6:$N$152,COAL!H$2)</f>
        <v>0</v>
      </c>
      <c r="I21" s="323">
        <f>SUMIFS('COAL_CEA BSM Apr 2020'!$G$6:$G$152,'COAL_CEA BSM Apr 2020'!$C$6:$C$152,COAL!$A21,'COAL_CEA BSM Apr 2020'!$N$6:$N$152,COAL!I$2)</f>
        <v>1320</v>
      </c>
      <c r="J21" s="324">
        <f t="shared" si="0"/>
        <v>8705</v>
      </c>
    </row>
    <row r="22" spans="1:10">
      <c r="A22" s="329" t="s">
        <v>15</v>
      </c>
      <c r="B22" s="331"/>
      <c r="C22" s="323">
        <f>SUMIFS('COAL_CEA BSM Apr 2020'!$G$6:$G$152,'COAL_CEA BSM Apr 2020'!$C$6:$C$152,COAL!$A22,'COAL_CEA BSM Apr 2020'!$N$6:$N$152,COAL!C$2)</f>
        <v>810</v>
      </c>
      <c r="D22" s="323">
        <f>SUMIFS('COAL_CEA BSM Apr 2020'!$G$6:$G$152,'COAL_CEA BSM Apr 2020'!$C$6:$C$152,COAL!$A22,'COAL_CEA BSM Apr 2020'!$N$6:$N$152,COAL!D$2)</f>
        <v>1870</v>
      </c>
      <c r="E22" s="323">
        <f>SUMIFS('COAL_CEA BSM Apr 2020'!$G$6:$G$152,'COAL_CEA BSM Apr 2020'!$C$6:$C$152,COAL!$A22,'COAL_CEA BSM Apr 2020'!$N$6:$N$152,COAL!E$2)</f>
        <v>0</v>
      </c>
      <c r="F22" s="323">
        <f>SUMIFS('COAL_CEA BSM Apr 2020'!$G$6:$G$152,'COAL_CEA BSM Apr 2020'!$C$6:$C$152,COAL!$A22,'COAL_CEA BSM Apr 2020'!$N$6:$N$152,COAL!F$2)</f>
        <v>4000</v>
      </c>
      <c r="G22" s="323">
        <f>SUMIFS('COAL_CEA BSM Apr 2020'!$G$6:$G$152,'COAL_CEA BSM Apr 2020'!$C$6:$C$152,COAL!$A22,'COAL_CEA BSM Apr 2020'!$N$6:$N$152,COAL!G$2)</f>
        <v>1000</v>
      </c>
      <c r="H22" s="323">
        <f>SUMIFS('COAL_CEA BSM Apr 2020'!$G$6:$G$152,'COAL_CEA BSM Apr 2020'!$C$6:$C$152,COAL!$A22,'COAL_CEA BSM Apr 2020'!$N$6:$N$152,COAL!H$2)</f>
        <v>0</v>
      </c>
      <c r="I22" s="323">
        <f>SUMIFS('COAL_CEA BSM Apr 2020'!$G$6:$G$152,'COAL_CEA BSM Apr 2020'!$C$6:$C$152,COAL!$A22,'COAL_CEA BSM Apr 2020'!$N$6:$N$152,COAL!I$2)</f>
        <v>0</v>
      </c>
      <c r="J22" s="324">
        <f t="shared" si="0"/>
        <v>7680</v>
      </c>
    </row>
    <row r="23" spans="1:10">
      <c r="A23" s="328" t="s">
        <v>0</v>
      </c>
      <c r="B23" s="331"/>
      <c r="C23" s="323">
        <f>SUMIFS('COAL_CEA BSM Apr 2020'!$G$6:$G$152,'COAL_CEA BSM Apr 2020'!$C$6:$C$152,COAL!$A23,'COAL_CEA BSM Apr 2020'!$N$6:$N$152,COAL!C$2)</f>
        <v>1980</v>
      </c>
      <c r="D23" s="323">
        <f>SUMIFS('COAL_CEA BSM Apr 2020'!$G$6:$G$152,'COAL_CEA BSM Apr 2020'!$C$6:$C$152,COAL!$A23,'COAL_CEA BSM Apr 2020'!$N$6:$N$152,COAL!D$2)</f>
        <v>5280</v>
      </c>
      <c r="E23" s="323">
        <f>SUMIFS('COAL_CEA BSM Apr 2020'!$G$6:$G$152,'COAL_CEA BSM Apr 2020'!$C$6:$C$152,COAL!$A23,'COAL_CEA BSM Apr 2020'!$N$6:$N$152,COAL!E$2)</f>
        <v>0</v>
      </c>
      <c r="F23" s="323">
        <f>SUMIFS('COAL_CEA BSM Apr 2020'!$G$6:$G$152,'COAL_CEA BSM Apr 2020'!$C$6:$C$152,COAL!$A23,'COAL_CEA BSM Apr 2020'!$N$6:$N$152,COAL!F$2)</f>
        <v>1320</v>
      </c>
      <c r="G23" s="323">
        <f>SUMIFS('COAL_CEA BSM Apr 2020'!$G$6:$G$152,'COAL_CEA BSM Apr 2020'!$C$6:$C$152,COAL!$A23,'COAL_CEA BSM Apr 2020'!$N$6:$N$152,COAL!G$2)</f>
        <v>1980</v>
      </c>
      <c r="H23" s="323">
        <f>SUMIFS('COAL_CEA BSM Apr 2020'!$G$6:$G$152,'COAL_CEA BSM Apr 2020'!$C$6:$C$152,COAL!$A23,'COAL_CEA BSM Apr 2020'!$N$6:$N$152,COAL!H$2)</f>
        <v>1320</v>
      </c>
      <c r="I23" s="323">
        <f>SUMIFS('COAL_CEA BSM Apr 2020'!$G$6:$G$152,'COAL_CEA BSM Apr 2020'!$C$6:$C$152,COAL!$A23,'COAL_CEA BSM Apr 2020'!$N$6:$N$152,COAL!I$2)</f>
        <v>0</v>
      </c>
      <c r="J23" s="324">
        <f t="shared" si="0"/>
        <v>11880</v>
      </c>
    </row>
    <row r="24" spans="1:10">
      <c r="A24" s="329" t="s">
        <v>4</v>
      </c>
      <c r="B24" s="331"/>
      <c r="C24" s="323">
        <f>SUMIFS('COAL_CEA BSM Apr 2020'!$G$6:$G$152,'COAL_CEA BSM Apr 2020'!$C$6:$C$152,COAL!$A24,'COAL_CEA BSM Apr 2020'!$N$6:$N$152,COAL!C$2)</f>
        <v>0</v>
      </c>
      <c r="D24" s="323">
        <f>SUMIFS('COAL_CEA BSM Apr 2020'!$G$6:$G$152,'COAL_CEA BSM Apr 2020'!$C$6:$C$152,COAL!$A24,'COAL_CEA BSM Apr 2020'!$N$6:$N$152,COAL!D$2)</f>
        <v>0</v>
      </c>
      <c r="E24" s="323">
        <f>SUMIFS('COAL_CEA BSM Apr 2020'!$G$6:$G$152,'COAL_CEA BSM Apr 2020'!$C$6:$C$152,COAL!$A24,'COAL_CEA BSM Apr 2020'!$N$6:$N$152,COAL!E$2)</f>
        <v>0</v>
      </c>
      <c r="F24" s="323">
        <f>SUMIFS('COAL_CEA BSM Apr 2020'!$G$6:$G$152,'COAL_CEA BSM Apr 2020'!$C$6:$C$152,COAL!$A24,'COAL_CEA BSM Apr 2020'!$N$6:$N$152,COAL!F$2)</f>
        <v>0</v>
      </c>
      <c r="G24" s="323">
        <f>SUMIFS('COAL_CEA BSM Apr 2020'!$G$6:$G$152,'COAL_CEA BSM Apr 2020'!$C$6:$C$152,COAL!$A24,'COAL_CEA BSM Apr 2020'!$N$6:$N$152,COAL!G$2)</f>
        <v>0</v>
      </c>
      <c r="H24" s="323">
        <f>SUMIFS('COAL_CEA BSM Apr 2020'!$G$6:$G$152,'COAL_CEA BSM Apr 2020'!$C$6:$C$152,COAL!$A24,'COAL_CEA BSM Apr 2020'!$N$6:$N$152,COAL!H$2)</f>
        <v>0</v>
      </c>
      <c r="I24" s="323">
        <f>SUMIFS('COAL_CEA BSM Apr 2020'!$G$6:$G$152,'COAL_CEA BSM Apr 2020'!$C$6:$C$152,COAL!$A24,'COAL_CEA BSM Apr 2020'!$N$6:$N$152,COAL!I$2)</f>
        <v>0</v>
      </c>
      <c r="J24" s="324">
        <f t="shared" si="0"/>
        <v>0</v>
      </c>
    </row>
    <row r="25" spans="1:10">
      <c r="A25" s="328" t="s">
        <v>17</v>
      </c>
      <c r="B25" s="331"/>
      <c r="C25" s="323">
        <f>SUMIFS('COAL_CEA BSM Apr 2020'!$G$6:$G$152,'COAL_CEA BSM Apr 2020'!$C$6:$C$152,COAL!$A25,'COAL_CEA BSM Apr 2020'!$N$6:$N$152,COAL!C$2)</f>
        <v>0</v>
      </c>
      <c r="D25" s="323">
        <f>SUMIFS('COAL_CEA BSM Apr 2020'!$G$6:$G$152,'COAL_CEA BSM Apr 2020'!$C$6:$C$152,COAL!$A25,'COAL_CEA BSM Apr 2020'!$N$6:$N$152,COAL!D$2)</f>
        <v>0</v>
      </c>
      <c r="E25" s="323">
        <f>SUMIFS('COAL_CEA BSM Apr 2020'!$G$6:$G$152,'COAL_CEA BSM Apr 2020'!$C$6:$C$152,COAL!$A25,'COAL_CEA BSM Apr 2020'!$N$6:$N$152,COAL!E$2)</f>
        <v>0</v>
      </c>
      <c r="F25" s="323">
        <f>SUMIFS('COAL_CEA BSM Apr 2020'!$G$6:$G$152,'COAL_CEA BSM Apr 2020'!$C$6:$C$152,COAL!$A25,'COAL_CEA BSM Apr 2020'!$N$6:$N$152,COAL!F$2)</f>
        <v>0</v>
      </c>
      <c r="G25" s="323">
        <f>SUMIFS('COAL_CEA BSM Apr 2020'!$G$6:$G$152,'COAL_CEA BSM Apr 2020'!$C$6:$C$152,COAL!$A25,'COAL_CEA BSM Apr 2020'!$N$6:$N$152,COAL!G$2)</f>
        <v>0</v>
      </c>
      <c r="H25" s="323">
        <f>SUMIFS('COAL_CEA BSM Apr 2020'!$G$6:$G$152,'COAL_CEA BSM Apr 2020'!$C$6:$C$152,COAL!$A25,'COAL_CEA BSM Apr 2020'!$N$6:$N$152,COAL!H$2)</f>
        <v>2260</v>
      </c>
      <c r="I25" s="323">
        <f>SUMIFS('COAL_CEA BSM Apr 2020'!$G$6:$G$152,'COAL_CEA BSM Apr 2020'!$C$6:$C$152,COAL!$A25,'COAL_CEA BSM Apr 2020'!$N$6:$N$152,COAL!I$2)</f>
        <v>150</v>
      </c>
      <c r="J25" s="324">
        <f t="shared" si="0"/>
        <v>2410</v>
      </c>
    </row>
    <row r="26" spans="1:10">
      <c r="A26" s="329" t="s">
        <v>92</v>
      </c>
      <c r="B26" s="331"/>
      <c r="C26" s="323">
        <f>SUMIFS('COAL_CEA BSM Apr 2020'!$G$6:$G$152,'COAL_CEA BSM Apr 2020'!$C$6:$C$152,COAL!$A26,'COAL_CEA BSM Apr 2020'!$N$6:$N$152,COAL!C$2)</f>
        <v>0</v>
      </c>
      <c r="D26" s="323">
        <f>SUMIFS('COAL_CEA BSM Apr 2020'!$G$6:$G$152,'COAL_CEA BSM Apr 2020'!$C$6:$C$152,COAL!$A26,'COAL_CEA BSM Apr 2020'!$N$6:$N$152,COAL!D$2)</f>
        <v>0</v>
      </c>
      <c r="E26" s="323">
        <f>SUMIFS('COAL_CEA BSM Apr 2020'!$G$6:$G$152,'COAL_CEA BSM Apr 2020'!$C$6:$C$152,COAL!$A26,'COAL_CEA BSM Apr 2020'!$N$6:$N$152,COAL!E$2)</f>
        <v>0</v>
      </c>
      <c r="F26" s="323">
        <f>SUMIFS('COAL_CEA BSM Apr 2020'!$G$6:$G$152,'COAL_CEA BSM Apr 2020'!$C$6:$C$152,COAL!$A26,'COAL_CEA BSM Apr 2020'!$N$6:$N$152,COAL!F$2)</f>
        <v>0</v>
      </c>
      <c r="G26" s="323">
        <f>SUMIFS('COAL_CEA BSM Apr 2020'!$G$6:$G$152,'COAL_CEA BSM Apr 2020'!$C$6:$C$152,COAL!$A26,'COAL_CEA BSM Apr 2020'!$N$6:$N$152,COAL!G$2)</f>
        <v>0</v>
      </c>
      <c r="H26" s="323">
        <f>SUMIFS('COAL_CEA BSM Apr 2020'!$G$6:$G$152,'COAL_CEA BSM Apr 2020'!$C$6:$C$152,COAL!$A26,'COAL_CEA BSM Apr 2020'!$N$6:$N$152,COAL!H$2)</f>
        <v>0</v>
      </c>
      <c r="I26" s="323">
        <f>SUMIFS('COAL_CEA BSM Apr 2020'!$G$6:$G$152,'COAL_CEA BSM Apr 2020'!$C$6:$C$152,COAL!$A26,'COAL_CEA BSM Apr 2020'!$N$6:$N$152,COAL!I$2)</f>
        <v>0</v>
      </c>
      <c r="J26" s="324">
        <f t="shared" si="0"/>
        <v>0</v>
      </c>
    </row>
    <row r="27" spans="1:10">
      <c r="A27" s="328" t="s">
        <v>93</v>
      </c>
      <c r="B27" s="331"/>
      <c r="C27" s="323">
        <f>SUMIFS('COAL_CEA BSM Apr 2020'!$G$6:$G$152,'COAL_CEA BSM Apr 2020'!$C$6:$C$152,COAL!$A27,'COAL_CEA BSM Apr 2020'!$N$6:$N$152,COAL!C$2)</f>
        <v>0</v>
      </c>
      <c r="D27" s="323">
        <f>SUMIFS('COAL_CEA BSM Apr 2020'!$G$6:$G$152,'COAL_CEA BSM Apr 2020'!$C$6:$C$152,COAL!$A27,'COAL_CEA BSM Apr 2020'!$N$6:$N$152,COAL!D$2)</f>
        <v>0</v>
      </c>
      <c r="E27" s="323">
        <f>SUMIFS('COAL_CEA BSM Apr 2020'!$G$6:$G$152,'COAL_CEA BSM Apr 2020'!$C$6:$C$152,COAL!$A27,'COAL_CEA BSM Apr 2020'!$N$6:$N$152,COAL!E$2)</f>
        <v>0</v>
      </c>
      <c r="F27" s="323">
        <f>SUMIFS('COAL_CEA BSM Apr 2020'!$G$6:$G$152,'COAL_CEA BSM Apr 2020'!$C$6:$C$152,COAL!$A27,'COAL_CEA BSM Apr 2020'!$N$6:$N$152,COAL!F$2)</f>
        <v>0</v>
      </c>
      <c r="G27" s="323">
        <f>SUMIFS('COAL_CEA BSM Apr 2020'!$G$6:$G$152,'COAL_CEA BSM Apr 2020'!$C$6:$C$152,COAL!$A27,'COAL_CEA BSM Apr 2020'!$N$6:$N$152,COAL!G$2)</f>
        <v>0</v>
      </c>
      <c r="H27" s="323">
        <f>SUMIFS('COAL_CEA BSM Apr 2020'!$G$6:$G$152,'COAL_CEA BSM Apr 2020'!$C$6:$C$152,COAL!$A27,'COAL_CEA BSM Apr 2020'!$N$6:$N$152,COAL!H$2)</f>
        <v>0</v>
      </c>
      <c r="I27" s="323">
        <f>SUMIFS('COAL_CEA BSM Apr 2020'!$G$6:$G$152,'COAL_CEA BSM Apr 2020'!$C$6:$C$152,COAL!$A27,'COAL_CEA BSM Apr 2020'!$N$6:$N$152,COAL!I$2)</f>
        <v>0</v>
      </c>
      <c r="J27" s="324">
        <f t="shared" si="0"/>
        <v>0</v>
      </c>
    </row>
    <row r="28" spans="1:10">
      <c r="A28" s="330" t="s">
        <v>94</v>
      </c>
      <c r="B28" s="331">
        <f>SUM(B3:B27)</f>
        <v>0</v>
      </c>
      <c r="C28" s="331">
        <f t="shared" ref="C28:J28" si="1">SUM(C3:C27)</f>
        <v>11215</v>
      </c>
      <c r="D28" s="331">
        <f t="shared" si="1"/>
        <v>12820</v>
      </c>
      <c r="E28" s="331">
        <f t="shared" si="1"/>
        <v>4380</v>
      </c>
      <c r="F28" s="331">
        <f t="shared" si="1"/>
        <v>8100</v>
      </c>
      <c r="G28" s="331">
        <f t="shared" si="1"/>
        <v>10827</v>
      </c>
      <c r="H28" s="331">
        <f t="shared" si="1"/>
        <v>10120</v>
      </c>
      <c r="I28" s="331">
        <f t="shared" si="1"/>
        <v>24365</v>
      </c>
      <c r="J28" s="331">
        <f t="shared" si="1"/>
        <v>81827</v>
      </c>
    </row>
    <row r="29" spans="1:10">
      <c r="A29" s="330"/>
      <c r="B29" s="331"/>
      <c r="C29" s="331"/>
      <c r="D29" s="331"/>
      <c r="E29" s="331"/>
      <c r="F29" s="331"/>
      <c r="G29" s="331"/>
      <c r="H29" s="331"/>
      <c r="I29" s="331"/>
    </row>
    <row r="31" spans="1:10">
      <c r="A31" s="416" t="s">
        <v>1228</v>
      </c>
    </row>
    <row r="32" spans="1:10">
      <c r="A32" s="725" t="s">
        <v>2012</v>
      </c>
    </row>
    <row r="33" spans="1:28">
      <c r="A33" s="326"/>
      <c r="N33" s="636"/>
      <c r="O33" s="39"/>
      <c r="Q33" s="348"/>
    </row>
    <row r="34" spans="1:28">
      <c r="A34" s="327"/>
      <c r="B34" s="327"/>
      <c r="C34" s="327"/>
      <c r="D34" s="327"/>
      <c r="E34" s="327"/>
      <c r="F34" s="327"/>
      <c r="G34" s="327"/>
      <c r="H34" s="327"/>
      <c r="I34" s="327"/>
      <c r="J34" s="327"/>
      <c r="K34" s="327"/>
      <c r="L34" s="327"/>
      <c r="M34" s="327"/>
      <c r="N34" s="327"/>
      <c r="O34" s="346"/>
      <c r="P34" s="335"/>
      <c r="Q34" s="327"/>
      <c r="R34" s="327"/>
      <c r="S34" s="327"/>
      <c r="T34" s="327"/>
      <c r="U34" s="327"/>
      <c r="V34" s="327"/>
      <c r="W34" s="327"/>
      <c r="X34" s="327"/>
      <c r="Y34" s="327"/>
      <c r="Z34" s="327"/>
      <c r="AA34" s="327"/>
      <c r="AB34" s="327"/>
    </row>
    <row r="35" spans="1:28">
      <c r="A35" s="346" t="s">
        <v>1229</v>
      </c>
      <c r="B35" s="327"/>
      <c r="C35" s="327"/>
      <c r="D35" s="327"/>
      <c r="E35" s="327"/>
      <c r="F35" s="327"/>
      <c r="G35" s="327"/>
      <c r="H35" s="327"/>
      <c r="I35" s="327"/>
      <c r="J35" s="327"/>
      <c r="K35" s="327"/>
      <c r="L35" s="327"/>
      <c r="M35" s="327"/>
      <c r="N35" s="388"/>
      <c r="O35" s="349"/>
      <c r="P35" s="421"/>
      <c r="Q35" s="327"/>
      <c r="R35" s="327"/>
      <c r="S35" s="327"/>
      <c r="T35" s="327"/>
      <c r="U35" s="327"/>
      <c r="V35" s="327"/>
      <c r="W35" s="327"/>
      <c r="X35" s="327"/>
      <c r="Y35" s="327"/>
      <c r="Z35" s="327"/>
      <c r="AA35" s="327"/>
      <c r="AB35" s="327"/>
    </row>
    <row r="36" spans="1:28" ht="28.5" customHeight="1">
      <c r="A36" s="346" t="s">
        <v>1230</v>
      </c>
      <c r="B36" s="327"/>
      <c r="C36" s="327"/>
      <c r="D36" s="327"/>
      <c r="E36" s="327"/>
      <c r="F36" s="327"/>
      <c r="G36" s="327"/>
      <c r="H36" s="327"/>
      <c r="I36" s="327"/>
      <c r="J36" s="327"/>
      <c r="K36" s="327"/>
      <c r="L36" s="327"/>
      <c r="M36" s="327"/>
      <c r="N36" s="388" t="s">
        <v>1939</v>
      </c>
      <c r="O36" s="349" t="s">
        <v>1256</v>
      </c>
      <c r="P36" s="421"/>
      <c r="Q36" s="327" t="s">
        <v>1231</v>
      </c>
      <c r="R36" s="327"/>
      <c r="S36" s="327"/>
      <c r="T36" s="327"/>
      <c r="U36" s="327"/>
      <c r="V36" s="327"/>
      <c r="W36" s="327"/>
      <c r="X36" s="327"/>
      <c r="Y36" s="327"/>
      <c r="Z36" s="327"/>
      <c r="AA36" s="327"/>
      <c r="AB36" s="327"/>
    </row>
    <row r="37" spans="1:28">
      <c r="A37" s="327" t="s">
        <v>621</v>
      </c>
      <c r="B37" s="327" t="s">
        <v>618</v>
      </c>
      <c r="C37" s="327" t="s">
        <v>619</v>
      </c>
      <c r="D37" s="327" t="s">
        <v>620</v>
      </c>
      <c r="E37" s="327" t="s">
        <v>660</v>
      </c>
      <c r="F37" s="327" t="s">
        <v>661</v>
      </c>
      <c r="G37" s="327" t="s">
        <v>662</v>
      </c>
      <c r="H37" s="327" t="s">
        <v>663</v>
      </c>
      <c r="I37" s="327" t="s">
        <v>664</v>
      </c>
      <c r="J37" s="327" t="s">
        <v>665</v>
      </c>
      <c r="K37" s="327" t="s">
        <v>666</v>
      </c>
      <c r="L37" s="327" t="s">
        <v>667</v>
      </c>
      <c r="M37" s="327"/>
      <c r="N37" s="388"/>
      <c r="O37" s="349" t="s">
        <v>1232</v>
      </c>
      <c r="P37" s="421" t="s">
        <v>1258</v>
      </c>
      <c r="Q37" s="327" t="s">
        <v>621</v>
      </c>
      <c r="R37" s="327" t="s">
        <v>618</v>
      </c>
      <c r="S37" s="327" t="s">
        <v>619</v>
      </c>
      <c r="T37" s="327" t="s">
        <v>620</v>
      </c>
      <c r="U37" s="327" t="s">
        <v>660</v>
      </c>
      <c r="V37" s="327" t="s">
        <v>661</v>
      </c>
      <c r="W37" s="327" t="s">
        <v>662</v>
      </c>
      <c r="X37" s="327" t="s">
        <v>663</v>
      </c>
      <c r="Y37" s="327" t="s">
        <v>664</v>
      </c>
      <c r="Z37" s="327" t="s">
        <v>665</v>
      </c>
      <c r="AA37" s="327" t="s">
        <v>666</v>
      </c>
      <c r="AB37" s="327" t="s">
        <v>667</v>
      </c>
    </row>
    <row r="38" spans="1:28">
      <c r="A38" s="327" t="s">
        <v>14</v>
      </c>
      <c r="B38" s="327">
        <f>COAL_FY21additions!S10+(COAL_FY21additions!$S$37*COAL!P38)</f>
        <v>22.104833104232423</v>
      </c>
      <c r="C38" s="327">
        <f t="shared" ref="C38:F62" si="2">C3</f>
        <v>1600</v>
      </c>
      <c r="D38" s="327">
        <f t="shared" si="2"/>
        <v>0</v>
      </c>
      <c r="E38" s="327">
        <f t="shared" si="2"/>
        <v>0</v>
      </c>
      <c r="F38" s="327">
        <f t="shared" si="2"/>
        <v>0</v>
      </c>
      <c r="G38" s="327">
        <v>0</v>
      </c>
      <c r="H38" s="327">
        <v>0</v>
      </c>
      <c r="I38" s="327">
        <v>0</v>
      </c>
      <c r="J38" s="327">
        <v>0</v>
      </c>
      <c r="K38" s="327">
        <v>0</v>
      </c>
      <c r="L38" s="327">
        <v>0</v>
      </c>
      <c r="M38" s="327"/>
      <c r="N38" s="388">
        <f>VLOOKUP(EG_COAL_max[[#This Row],[SubGeography2]],'MaxCapacity-Input'!$G$65:$L$90,2,FALSE)</f>
        <v>0.20874918032786882</v>
      </c>
      <c r="O38" s="349">
        <v>14009.403</v>
      </c>
      <c r="P38" s="421">
        <f>O38/$O$63</f>
        <v>5.4579834825265211E-2</v>
      </c>
      <c r="Q38" s="327" t="s">
        <v>14</v>
      </c>
      <c r="R38" s="327">
        <f>EG_COAL_min[[#This Row],[2021]]*(1+$N38)</f>
        <v>26.719198896025279</v>
      </c>
      <c r="S38" s="327">
        <f>EG_COAL_min[[#This Row],[2022]]*(1+$N38)</f>
        <v>1933.9986885245899</v>
      </c>
      <c r="T38" s="327">
        <f>EG_COAL_min[[#This Row],[2023]]*(1+$N38)</f>
        <v>0</v>
      </c>
      <c r="U38" s="327">
        <f>EG_COAL_min[[#This Row],[2024]]*(1+$N38)</f>
        <v>0</v>
      </c>
      <c r="V38" s="327">
        <f>MAX(EG_COAL_min[[#This Row],[2025]]*(1+$N38),$P38*V$64)</f>
        <v>1091.5966965053042</v>
      </c>
      <c r="W38" s="327">
        <f t="shared" ref="W38:W62" si="3">$P38*W$64</f>
        <v>1091.5966965053042</v>
      </c>
      <c r="X38" s="327">
        <f t="shared" ref="X38:X62" si="4">$P38*X$64</f>
        <v>1091.5966965053042</v>
      </c>
      <c r="Y38" s="327">
        <f>$P38*Y$64</f>
        <v>1091.5966965053042</v>
      </c>
      <c r="Z38" s="327">
        <f t="shared" ref="Y38:AB62" si="5">$P38*Z$64</f>
        <v>1091.5966965053042</v>
      </c>
      <c r="AA38" s="327">
        <f t="shared" si="5"/>
        <v>1091.5966965053042</v>
      </c>
      <c r="AB38" s="327">
        <f t="shared" si="5"/>
        <v>1091.5966965053042</v>
      </c>
    </row>
    <row r="39" spans="1:28">
      <c r="A39" s="327" t="s">
        <v>90</v>
      </c>
      <c r="B39" s="327">
        <f>COAL_FY21additions!S11+(COAL_FY21additions!$S$37*COAL!P39)</f>
        <v>3.4592208474868031</v>
      </c>
      <c r="C39" s="327">
        <f t="shared" si="2"/>
        <v>0</v>
      </c>
      <c r="D39" s="327">
        <f t="shared" si="2"/>
        <v>0</v>
      </c>
      <c r="E39" s="327">
        <f t="shared" si="2"/>
        <v>0</v>
      </c>
      <c r="F39" s="327">
        <f t="shared" si="2"/>
        <v>0</v>
      </c>
      <c r="G39" s="327">
        <v>0</v>
      </c>
      <c r="H39" s="327">
        <v>0</v>
      </c>
      <c r="I39" s="327">
        <v>0</v>
      </c>
      <c r="J39" s="327">
        <v>0</v>
      </c>
      <c r="K39" s="327">
        <v>0</v>
      </c>
      <c r="L39" s="327">
        <v>0</v>
      </c>
      <c r="M39" s="327"/>
      <c r="N39" s="388">
        <f>VLOOKUP(EG_COAL_max[[#This Row],[SubGeography2]],'MaxCapacity-Input'!$G$65:$L$90,2,FALSE)</f>
        <v>0</v>
      </c>
      <c r="O39" s="349">
        <v>38.799999999999997</v>
      </c>
      <c r="P39" s="421">
        <f t="shared" ref="P39:P62" si="6">O39/$O$63</f>
        <v>1.5116258638717795E-4</v>
      </c>
      <c r="Q39" s="327" t="s">
        <v>90</v>
      </c>
      <c r="R39" s="327">
        <f>EG_COAL_min[[#This Row],[2021]]*(1+$N39)</f>
        <v>3.4592208474868031</v>
      </c>
      <c r="S39" s="327">
        <f>EG_COAL_min[[#This Row],[2022]]*(1+$N39)</f>
        <v>0</v>
      </c>
      <c r="T39" s="327">
        <f>EG_COAL_min[[#This Row],[2023]]*(1+$N39)</f>
        <v>0</v>
      </c>
      <c r="U39" s="327">
        <f>EG_COAL_min[[#This Row],[2024]]*(1+$N39)</f>
        <v>0</v>
      </c>
      <c r="V39" s="327">
        <f>MAX(EG_COAL_min[[#This Row],[2025]]*(1+$N39),$P39*V$64)</f>
        <v>3.0232517277435589</v>
      </c>
      <c r="W39" s="327">
        <f t="shared" si="3"/>
        <v>3.0232517277435589</v>
      </c>
      <c r="X39" s="327">
        <f t="shared" si="4"/>
        <v>3.0232517277435589</v>
      </c>
      <c r="Y39" s="327">
        <f t="shared" si="5"/>
        <v>3.0232517277435589</v>
      </c>
      <c r="Z39" s="327">
        <f t="shared" si="5"/>
        <v>3.0232517277435589</v>
      </c>
      <c r="AA39" s="327">
        <f t="shared" si="5"/>
        <v>3.0232517277435589</v>
      </c>
      <c r="AB39" s="327">
        <f t="shared" si="5"/>
        <v>3.0232517277435589</v>
      </c>
    </row>
    <row r="40" spans="1:28">
      <c r="A40" s="327" t="s">
        <v>29</v>
      </c>
      <c r="B40" s="327">
        <f>COAL_FY21additions!S12+(COAL_FY21additions!$S$37*COAL!P40)</f>
        <v>1.3695797839832107</v>
      </c>
      <c r="C40" s="327">
        <f t="shared" si="2"/>
        <v>0</v>
      </c>
      <c r="D40" s="327">
        <f t="shared" si="2"/>
        <v>0</v>
      </c>
      <c r="E40" s="327">
        <f t="shared" si="2"/>
        <v>0</v>
      </c>
      <c r="F40" s="327">
        <f t="shared" si="2"/>
        <v>0</v>
      </c>
      <c r="G40" s="327">
        <v>0</v>
      </c>
      <c r="H40" s="327">
        <v>0</v>
      </c>
      <c r="I40" s="327">
        <v>0</v>
      </c>
      <c r="J40" s="327">
        <v>0</v>
      </c>
      <c r="K40" s="327">
        <v>0</v>
      </c>
      <c r="L40" s="327">
        <v>0</v>
      </c>
      <c r="M40" s="327"/>
      <c r="N40" s="388">
        <f>VLOOKUP(EG_COAL_max[[#This Row],[SubGeography2]],'MaxCapacity-Input'!$G$65:$L$90,2,FALSE)</f>
        <v>0.15733333333333333</v>
      </c>
      <c r="O40" s="349">
        <v>868</v>
      </c>
      <c r="P40" s="421">
        <f t="shared" si="6"/>
        <v>3.3816784789708885E-3</v>
      </c>
      <c r="Q40" s="327" t="s">
        <v>29</v>
      </c>
      <c r="R40" s="327">
        <f>EG_COAL_min[[#This Row],[2021]]*(1+$N40)</f>
        <v>1.5850603366632359</v>
      </c>
      <c r="S40" s="327">
        <f>EG_COAL_min[[#This Row],[2022]]*(1+$N40)</f>
        <v>0</v>
      </c>
      <c r="T40" s="327">
        <f>EG_COAL_min[[#This Row],[2023]]*(1+$N40)</f>
        <v>0</v>
      </c>
      <c r="U40" s="327">
        <f>EG_COAL_min[[#This Row],[2024]]*(1+$N40)</f>
        <v>0</v>
      </c>
      <c r="V40" s="327">
        <f>MAX(EG_COAL_min[[#This Row],[2025]]*(1+$N40),$P40*V$64)</f>
        <v>67.633569579417767</v>
      </c>
      <c r="W40" s="327">
        <f t="shared" si="3"/>
        <v>67.633569579417767</v>
      </c>
      <c r="X40" s="327">
        <f t="shared" si="4"/>
        <v>67.633569579417767</v>
      </c>
      <c r="Y40" s="327">
        <f t="shared" si="5"/>
        <v>67.633569579417767</v>
      </c>
      <c r="Z40" s="327">
        <f t="shared" si="5"/>
        <v>67.633569579417767</v>
      </c>
      <c r="AA40" s="327">
        <f t="shared" si="5"/>
        <v>67.633569579417767</v>
      </c>
      <c r="AB40" s="327">
        <f t="shared" si="5"/>
        <v>67.633569579417767</v>
      </c>
    </row>
    <row r="41" spans="1:28">
      <c r="A41" s="327" t="s">
        <v>19</v>
      </c>
      <c r="B41" s="327">
        <f>COAL_FY21additions!S13+(COAL_FY21additions!$S$37*COAL!P41)</f>
        <v>527.89713021725595</v>
      </c>
      <c r="C41" s="327">
        <f t="shared" si="2"/>
        <v>1570</v>
      </c>
      <c r="D41" s="327">
        <f t="shared" si="2"/>
        <v>1980</v>
      </c>
      <c r="E41" s="327">
        <f t="shared" si="2"/>
        <v>0</v>
      </c>
      <c r="F41" s="327">
        <f t="shared" si="2"/>
        <v>1320</v>
      </c>
      <c r="G41" s="327">
        <v>0</v>
      </c>
      <c r="H41" s="327">
        <v>0</v>
      </c>
      <c r="I41" s="327">
        <v>0</v>
      </c>
      <c r="J41" s="327">
        <v>0</v>
      </c>
      <c r="K41" s="327">
        <v>0</v>
      </c>
      <c r="L41" s="327">
        <v>0</v>
      </c>
      <c r="M41" s="327"/>
      <c r="N41" s="388">
        <f>VLOOKUP(EG_COAL_max[[#This Row],[SubGeography2]],'MaxCapacity-Input'!$G$65:$L$90,2,FALSE)</f>
        <v>3.1205007824726134E-2</v>
      </c>
      <c r="O41" s="349">
        <v>6589.4</v>
      </c>
      <c r="P41" s="421">
        <f t="shared" si="6"/>
        <v>2.5671926462362639E-2</v>
      </c>
      <c r="Q41" s="327" t="s">
        <v>19</v>
      </c>
      <c r="R41" s="327">
        <f>EG_COAL_min[[#This Row],[2021]]*(1+$N41)</f>
        <v>544.37016429633593</v>
      </c>
      <c r="S41" s="327">
        <f>EG_COAL_min[[#This Row],[2022]]*(1+$N41)</f>
        <v>1618.9918622848199</v>
      </c>
      <c r="T41" s="327">
        <f>EG_COAL_min[[#This Row],[2023]]*(1+$N41)</f>
        <v>2041.7859154929577</v>
      </c>
      <c r="U41" s="327">
        <f>EG_COAL_min[[#This Row],[2024]]*(1+$N41)</f>
        <v>0</v>
      </c>
      <c r="V41" s="327">
        <f>MAX(EG_COAL_min[[#This Row],[2025]]*(1+$N41),$P41*V$64)</f>
        <v>1361.1906103286385</v>
      </c>
      <c r="W41" s="327">
        <f t="shared" si="3"/>
        <v>513.43852924725275</v>
      </c>
      <c r="X41" s="327">
        <f t="shared" si="4"/>
        <v>513.43852924725275</v>
      </c>
      <c r="Y41" s="327">
        <f t="shared" si="5"/>
        <v>513.43852924725275</v>
      </c>
      <c r="Z41" s="327">
        <f t="shared" si="5"/>
        <v>513.43852924725275</v>
      </c>
      <c r="AA41" s="327">
        <f t="shared" si="5"/>
        <v>513.43852924725275</v>
      </c>
      <c r="AB41" s="327">
        <f t="shared" si="5"/>
        <v>513.43852924725275</v>
      </c>
    </row>
    <row r="42" spans="1:28">
      <c r="A42" s="327" t="s">
        <v>18</v>
      </c>
      <c r="B42" s="327">
        <f>COAL_FY21additions!S14+(COAL_FY21additions!$S$37*COAL!P42)</f>
        <v>259.27021406188521</v>
      </c>
      <c r="C42" s="327">
        <f t="shared" si="2"/>
        <v>800</v>
      </c>
      <c r="D42" s="327">
        <f t="shared" si="2"/>
        <v>0</v>
      </c>
      <c r="E42" s="327">
        <f t="shared" si="2"/>
        <v>0</v>
      </c>
      <c r="F42" s="327">
        <f t="shared" si="2"/>
        <v>0</v>
      </c>
      <c r="G42" s="327">
        <v>0</v>
      </c>
      <c r="H42" s="327">
        <v>0</v>
      </c>
      <c r="I42" s="327">
        <v>0</v>
      </c>
      <c r="J42" s="327">
        <v>0</v>
      </c>
      <c r="K42" s="327">
        <v>0</v>
      </c>
      <c r="L42" s="327">
        <v>0</v>
      </c>
      <c r="M42" s="327"/>
      <c r="N42" s="388">
        <f>VLOOKUP(EG_COAL_max[[#This Row],[SubGeography2]],'MaxCapacity-Input'!$G$65:$L$90,2,FALSE)</f>
        <v>0.2724256312694569</v>
      </c>
      <c r="O42" s="349">
        <v>29428.66</v>
      </c>
      <c r="P42" s="421">
        <f t="shared" si="6"/>
        <v>0.11465238039971362</v>
      </c>
      <c r="Q42" s="327" t="s">
        <v>18</v>
      </c>
      <c r="R42" s="327">
        <f>EG_COAL_min[[#This Row],[2021]]*(1+$N42)</f>
        <v>329.90206579706148</v>
      </c>
      <c r="S42" s="327">
        <f>EG_COAL_min[[#This Row],[2022]]*(1+$N42)</f>
        <v>1017.9405050155655</v>
      </c>
      <c r="T42" s="327">
        <f>EG_COAL_min[[#This Row],[2023]]*(1+$N42)</f>
        <v>0</v>
      </c>
      <c r="U42" s="327">
        <f>EG_COAL_min[[#This Row],[2024]]*(1+$N42)</f>
        <v>0</v>
      </c>
      <c r="V42" s="327">
        <f>MAX(EG_COAL_min[[#This Row],[2025]]*(1+$N42),$P42*V$64)</f>
        <v>2293.0476079942723</v>
      </c>
      <c r="W42" s="327">
        <f t="shared" si="3"/>
        <v>2293.0476079942723</v>
      </c>
      <c r="X42" s="327">
        <f t="shared" si="4"/>
        <v>2293.0476079942723</v>
      </c>
      <c r="Y42" s="327">
        <f t="shared" si="5"/>
        <v>2293.0476079942723</v>
      </c>
      <c r="Z42" s="327">
        <f t="shared" si="5"/>
        <v>2293.0476079942723</v>
      </c>
      <c r="AA42" s="327">
        <f t="shared" si="5"/>
        <v>2293.0476079942723</v>
      </c>
      <c r="AB42" s="327">
        <f t="shared" si="5"/>
        <v>2293.0476079942723</v>
      </c>
    </row>
    <row r="43" spans="1:28">
      <c r="A43" s="327" t="s">
        <v>91</v>
      </c>
      <c r="B43" s="327">
        <f>COAL_FY21additions!S15+(COAL_FY21additions!$S$37*COAL!P43)</f>
        <v>10.963087924614427</v>
      </c>
      <c r="C43" s="327">
        <f t="shared" si="2"/>
        <v>0</v>
      </c>
      <c r="D43" s="327">
        <f t="shared" si="2"/>
        <v>0</v>
      </c>
      <c r="E43" s="327">
        <f t="shared" si="2"/>
        <v>0</v>
      </c>
      <c r="F43" s="327">
        <f t="shared" si="2"/>
        <v>0</v>
      </c>
      <c r="G43" s="327">
        <v>0</v>
      </c>
      <c r="H43" s="327">
        <v>0</v>
      </c>
      <c r="I43" s="327">
        <v>0</v>
      </c>
      <c r="J43" s="327">
        <v>0</v>
      </c>
      <c r="K43" s="327">
        <v>0</v>
      </c>
      <c r="L43" s="327">
        <v>0</v>
      </c>
      <c r="M43" s="327"/>
      <c r="N43" s="388">
        <f>VLOOKUP(EG_COAL_max[[#This Row],[SubGeography2]],'MaxCapacity-Input'!$G$65:$L$90,2,FALSE)</f>
        <v>0</v>
      </c>
      <c r="O43" s="349">
        <v>15.9</v>
      </c>
      <c r="P43" s="421">
        <f t="shared" si="6"/>
        <v>6.1945492875157982E-5</v>
      </c>
      <c r="Q43" s="327" t="s">
        <v>91</v>
      </c>
      <c r="R43" s="327">
        <f>EG_COAL_min[[#This Row],[2021]]*(1+$N43)</f>
        <v>10.963087924614427</v>
      </c>
      <c r="S43" s="327">
        <f>EG_COAL_min[[#This Row],[2022]]*(1+$N43)</f>
        <v>0</v>
      </c>
      <c r="T43" s="327">
        <f>EG_COAL_min[[#This Row],[2023]]*(1+$N43)</f>
        <v>0</v>
      </c>
      <c r="U43" s="327">
        <f>EG_COAL_min[[#This Row],[2024]]*(1+$N43)</f>
        <v>0</v>
      </c>
      <c r="V43" s="327">
        <f>MAX(EG_COAL_min[[#This Row],[2025]]*(1+$N43),$P43*V$64)</f>
        <v>1.2389098575031596</v>
      </c>
      <c r="W43" s="327">
        <f t="shared" si="3"/>
        <v>1.2389098575031596</v>
      </c>
      <c r="X43" s="327">
        <f t="shared" si="4"/>
        <v>1.2389098575031596</v>
      </c>
      <c r="Y43" s="327">
        <f t="shared" si="5"/>
        <v>1.2389098575031596</v>
      </c>
      <c r="Z43" s="327">
        <f t="shared" si="5"/>
        <v>1.2389098575031596</v>
      </c>
      <c r="AA43" s="327">
        <f t="shared" si="5"/>
        <v>1.2389098575031596</v>
      </c>
      <c r="AB43" s="327">
        <f t="shared" si="5"/>
        <v>1.2389098575031596</v>
      </c>
    </row>
    <row r="44" spans="1:28">
      <c r="A44" s="327" t="s">
        <v>8</v>
      </c>
      <c r="B44" s="327">
        <f>COAL_FY21additions!S16+(COAL_FY21additions!$S$37*COAL!P44)</f>
        <v>312.55900466683153</v>
      </c>
      <c r="C44" s="327">
        <f t="shared" si="2"/>
        <v>0</v>
      </c>
      <c r="D44" s="327">
        <f t="shared" si="2"/>
        <v>0</v>
      </c>
      <c r="E44" s="327">
        <f t="shared" si="2"/>
        <v>0</v>
      </c>
      <c r="F44" s="327">
        <f t="shared" si="2"/>
        <v>0</v>
      </c>
      <c r="G44" s="327">
        <v>0</v>
      </c>
      <c r="H44" s="327">
        <v>0</v>
      </c>
      <c r="I44" s="327">
        <v>0</v>
      </c>
      <c r="J44" s="327">
        <v>0</v>
      </c>
      <c r="K44" s="327">
        <v>0</v>
      </c>
      <c r="L44" s="327">
        <v>0</v>
      </c>
      <c r="M44" s="327"/>
      <c r="N44" s="388">
        <f>VLOOKUP(EG_COAL_max[[#This Row],[SubGeography2]],'MaxCapacity-Input'!$G$65:$L$90,2,FALSE)</f>
        <v>0.25797634302612121</v>
      </c>
      <c r="O44" s="349">
        <v>20419.472000000002</v>
      </c>
      <c r="P44" s="421">
        <f t="shared" si="6"/>
        <v>7.9553097942797982E-2</v>
      </c>
      <c r="Q44" s="327" t="s">
        <v>8</v>
      </c>
      <c r="R44" s="327">
        <f>EG_COAL_min[[#This Row],[2021]]*(1+$N44)</f>
        <v>393.19183367066512</v>
      </c>
      <c r="S44" s="327">
        <f>EG_COAL_min[[#This Row],[2022]]*(1+$N44)</f>
        <v>0</v>
      </c>
      <c r="T44" s="327">
        <f>EG_COAL_min[[#This Row],[2023]]*(1+$N44)</f>
        <v>0</v>
      </c>
      <c r="U44" s="327">
        <f>EG_COAL_min[[#This Row],[2024]]*(1+$N44)</f>
        <v>0</v>
      </c>
      <c r="V44" s="327">
        <f>MAX(EG_COAL_min[[#This Row],[2025]]*(1+$N44),$P44*V$64)</f>
        <v>1591.0619588559596</v>
      </c>
      <c r="W44" s="327">
        <f t="shared" si="3"/>
        <v>1591.0619588559596</v>
      </c>
      <c r="X44" s="327">
        <f t="shared" si="4"/>
        <v>1591.0619588559596</v>
      </c>
      <c r="Y44" s="327">
        <f t="shared" si="5"/>
        <v>1591.0619588559596</v>
      </c>
      <c r="Z44" s="327">
        <f t="shared" si="5"/>
        <v>1591.0619588559596</v>
      </c>
      <c r="AA44" s="327">
        <f t="shared" si="5"/>
        <v>1591.0619588559596</v>
      </c>
      <c r="AB44" s="327">
        <f t="shared" si="5"/>
        <v>1591.0619588559596</v>
      </c>
    </row>
    <row r="45" spans="1:28">
      <c r="A45" s="327" t="s">
        <v>5</v>
      </c>
      <c r="B45" s="327">
        <f>COAL_FY21additions!S17+(COAL_FY21additions!$S$37*COAL!P45)</f>
        <v>31.014436720727236</v>
      </c>
      <c r="C45" s="327">
        <f t="shared" si="2"/>
        <v>0</v>
      </c>
      <c r="D45" s="327">
        <f t="shared" si="2"/>
        <v>0</v>
      </c>
      <c r="E45" s="327">
        <f t="shared" si="2"/>
        <v>0</v>
      </c>
      <c r="F45" s="327">
        <f t="shared" si="2"/>
        <v>0</v>
      </c>
      <c r="G45" s="327">
        <v>0</v>
      </c>
      <c r="H45" s="327">
        <v>0</v>
      </c>
      <c r="I45" s="327">
        <v>0</v>
      </c>
      <c r="J45" s="327">
        <v>0</v>
      </c>
      <c r="K45" s="327">
        <v>0</v>
      </c>
      <c r="L45" s="327">
        <v>0</v>
      </c>
      <c r="M45" s="327"/>
      <c r="N45" s="388">
        <f>VLOOKUP(EG_COAL_max[[#This Row],[SubGeography2]],'MaxCapacity-Input'!$G$65:$L$90,2,FALSE)</f>
        <v>6.6737335834896813E-2</v>
      </c>
      <c r="O45" s="349">
        <v>5685.71</v>
      </c>
      <c r="P45" s="421">
        <f t="shared" si="6"/>
        <v>2.2151201779573238E-2</v>
      </c>
      <c r="Q45" s="327" t="s">
        <v>5</v>
      </c>
      <c r="R45" s="327">
        <f>EG_COAL_min[[#This Row],[2021]]*(1+$N45)</f>
        <v>33.084257599888566</v>
      </c>
      <c r="S45" s="327">
        <f>EG_COAL_min[[#This Row],[2022]]*(1+$N45)</f>
        <v>0</v>
      </c>
      <c r="T45" s="327">
        <f>EG_COAL_min[[#This Row],[2023]]*(1+$N45)</f>
        <v>0</v>
      </c>
      <c r="U45" s="327">
        <f>EG_COAL_min[[#This Row],[2024]]*(1+$N45)</f>
        <v>0</v>
      </c>
      <c r="V45" s="327">
        <f>MAX(EG_COAL_min[[#This Row],[2025]]*(1+$N45),$P45*V$64)</f>
        <v>443.02403559146478</v>
      </c>
      <c r="W45" s="327">
        <f t="shared" si="3"/>
        <v>443.02403559146478</v>
      </c>
      <c r="X45" s="327">
        <f t="shared" si="4"/>
        <v>443.02403559146478</v>
      </c>
      <c r="Y45" s="327">
        <f t="shared" si="5"/>
        <v>443.02403559146478</v>
      </c>
      <c r="Z45" s="327">
        <f t="shared" si="5"/>
        <v>443.02403559146478</v>
      </c>
      <c r="AA45" s="327">
        <f t="shared" si="5"/>
        <v>443.02403559146478</v>
      </c>
      <c r="AB45" s="327">
        <f t="shared" si="5"/>
        <v>443.02403559146478</v>
      </c>
    </row>
    <row r="46" spans="1:28">
      <c r="A46" s="327" t="s">
        <v>88</v>
      </c>
      <c r="B46" s="327">
        <f>COAL_FY21additions!S18+(COAL_FY21additions!$S$37*COAL!P46)</f>
        <v>4.9268581514833813E-2</v>
      </c>
      <c r="C46" s="327">
        <f t="shared" si="2"/>
        <v>0</v>
      </c>
      <c r="D46" s="327">
        <f t="shared" si="2"/>
        <v>0</v>
      </c>
      <c r="E46" s="327">
        <f t="shared" si="2"/>
        <v>0</v>
      </c>
      <c r="F46" s="327">
        <f t="shared" si="2"/>
        <v>0</v>
      </c>
      <c r="G46" s="327">
        <v>0</v>
      </c>
      <c r="H46" s="327">
        <v>0</v>
      </c>
      <c r="I46" s="327">
        <v>0</v>
      </c>
      <c r="J46" s="327">
        <v>0</v>
      </c>
      <c r="K46" s="327">
        <v>0</v>
      </c>
      <c r="L46" s="327">
        <v>0</v>
      </c>
      <c r="M46" s="327"/>
      <c r="N46" s="388">
        <f>VLOOKUP(EG_COAL_max[[#This Row],[SubGeography2]],'MaxCapacity-Input'!$G$65:$L$90,2,FALSE)</f>
        <v>0</v>
      </c>
      <c r="O46" s="349">
        <v>31.225000000000001</v>
      </c>
      <c r="P46" s="421">
        <f t="shared" si="6"/>
        <v>1.2165081855514515E-4</v>
      </c>
      <c r="Q46" s="327" t="s">
        <v>88</v>
      </c>
      <c r="R46" s="327">
        <f>EG_COAL_min[[#This Row],[2021]]*(1+$N46)</f>
        <v>4.9268581514833813E-2</v>
      </c>
      <c r="S46" s="327">
        <f>EG_COAL_min[[#This Row],[2022]]*(1+$N46)</f>
        <v>0</v>
      </c>
      <c r="T46" s="327">
        <f>EG_COAL_min[[#This Row],[2023]]*(1+$N46)</f>
        <v>0</v>
      </c>
      <c r="U46" s="327">
        <f>EG_COAL_min[[#This Row],[2024]]*(1+$N46)</f>
        <v>0</v>
      </c>
      <c r="V46" s="327">
        <f>MAX(EG_COAL_min[[#This Row],[2025]]*(1+$N46),$P46*V$64)</f>
        <v>2.4330163711029029</v>
      </c>
      <c r="W46" s="327">
        <f t="shared" si="3"/>
        <v>2.4330163711029029</v>
      </c>
      <c r="X46" s="327">
        <f t="shared" si="4"/>
        <v>2.4330163711029029</v>
      </c>
      <c r="Y46" s="327">
        <f t="shared" si="5"/>
        <v>2.4330163711029029</v>
      </c>
      <c r="Z46" s="327">
        <f t="shared" si="5"/>
        <v>2.4330163711029029</v>
      </c>
      <c r="AA46" s="327">
        <f t="shared" si="5"/>
        <v>2.4330163711029029</v>
      </c>
      <c r="AB46" s="327">
        <f t="shared" si="5"/>
        <v>2.4330163711029029</v>
      </c>
    </row>
    <row r="47" spans="1:28">
      <c r="A47" s="327" t="s">
        <v>89</v>
      </c>
      <c r="B47" s="327">
        <f>COAL_FY21additions!S19+(COAL_FY21additions!$S$37*COAL!P47)</f>
        <v>53.721000000000117</v>
      </c>
      <c r="C47" s="327">
        <f t="shared" si="2"/>
        <v>0</v>
      </c>
      <c r="D47" s="327">
        <f t="shared" si="2"/>
        <v>0</v>
      </c>
      <c r="E47" s="327">
        <f t="shared" si="2"/>
        <v>0</v>
      </c>
      <c r="F47" s="327">
        <f t="shared" si="2"/>
        <v>0</v>
      </c>
      <c r="G47" s="327">
        <v>0</v>
      </c>
      <c r="H47" s="327">
        <v>0</v>
      </c>
      <c r="I47" s="327">
        <v>0</v>
      </c>
      <c r="J47" s="327">
        <v>0</v>
      </c>
      <c r="K47" s="327">
        <v>0</v>
      </c>
      <c r="L47" s="327">
        <v>0</v>
      </c>
      <c r="M47" s="327"/>
      <c r="N47" s="388">
        <f>VLOOKUP(EG_COAL_max[[#This Row],[SubGeography2]],'MaxCapacity-Input'!$G$65:$L$90,2,FALSE)</f>
        <v>0</v>
      </c>
      <c r="O47" s="349">
        <v>0</v>
      </c>
      <c r="P47" s="421">
        <f t="shared" si="6"/>
        <v>0</v>
      </c>
      <c r="Q47" s="327" t="s">
        <v>89</v>
      </c>
      <c r="R47" s="327">
        <f>EG_COAL_min[[#This Row],[2021]]*(1+$N47)</f>
        <v>53.721000000000117</v>
      </c>
      <c r="S47" s="327">
        <f>EG_COAL_min[[#This Row],[2022]]*(1+$N47)</f>
        <v>0</v>
      </c>
      <c r="T47" s="327">
        <f>EG_COAL_min[[#This Row],[2023]]*(1+$N47)</f>
        <v>0</v>
      </c>
      <c r="U47" s="327">
        <f>EG_COAL_min[[#This Row],[2024]]*(1+$N47)</f>
        <v>0</v>
      </c>
      <c r="V47" s="327">
        <f>MAX(EG_COAL_min[[#This Row],[2025]]*(1+$N47),$P47*V$64)</f>
        <v>0</v>
      </c>
      <c r="W47" s="327">
        <f t="shared" si="3"/>
        <v>0</v>
      </c>
      <c r="X47" s="327">
        <f t="shared" si="4"/>
        <v>0</v>
      </c>
      <c r="Y47" s="327">
        <f t="shared" si="5"/>
        <v>0</v>
      </c>
      <c r="Z47" s="327">
        <f t="shared" si="5"/>
        <v>0</v>
      </c>
      <c r="AA47" s="327">
        <f t="shared" si="5"/>
        <v>0</v>
      </c>
      <c r="AB47" s="327">
        <f t="shared" si="5"/>
        <v>0</v>
      </c>
    </row>
    <row r="48" spans="1:28">
      <c r="A48" s="327" t="s">
        <v>20</v>
      </c>
      <c r="B48" s="327">
        <f>COAL_FY21additions!S20+(COAL_FY21additions!$S$37*COAL!P48)</f>
        <v>29.365192151763143</v>
      </c>
      <c r="C48" s="327">
        <f t="shared" si="2"/>
        <v>0</v>
      </c>
      <c r="D48" s="327">
        <f t="shared" si="2"/>
        <v>2120</v>
      </c>
      <c r="E48" s="327">
        <f t="shared" si="2"/>
        <v>2260</v>
      </c>
      <c r="F48" s="327">
        <f t="shared" si="2"/>
        <v>0</v>
      </c>
      <c r="G48" s="327">
        <v>0</v>
      </c>
      <c r="H48" s="327">
        <v>0</v>
      </c>
      <c r="I48" s="327">
        <v>0</v>
      </c>
      <c r="J48" s="327">
        <v>0</v>
      </c>
      <c r="K48" s="327">
        <v>0</v>
      </c>
      <c r="L48" s="327">
        <v>0</v>
      </c>
      <c r="M48" s="327"/>
      <c r="N48" s="388">
        <f>VLOOKUP(EG_COAL_max[[#This Row],[SubGeography2]],'MaxCapacity-Input'!$G$65:$L$90,2,FALSE)</f>
        <v>0.3305201793721973</v>
      </c>
      <c r="O48" s="349">
        <v>5934.12</v>
      </c>
      <c r="P48" s="421">
        <f t="shared" si="6"/>
        <v>2.3118992967316506E-2</v>
      </c>
      <c r="Q48" s="327" t="s">
        <v>20</v>
      </c>
      <c r="R48" s="327">
        <f>EG_COAL_min[[#This Row],[2021]]*(1+$N48)</f>
        <v>39.070980729062939</v>
      </c>
      <c r="S48" s="327">
        <f>EG_COAL_min[[#This Row],[2022]]*(1+$N48)</f>
        <v>0</v>
      </c>
      <c r="T48" s="327">
        <f>EG_COAL_min[[#This Row],[2023]]*(1+$N48)</f>
        <v>2820.7027802690582</v>
      </c>
      <c r="U48" s="327">
        <f>EG_COAL_min[[#This Row],[2024]]*(1+$N48)</f>
        <v>3006.9756053811657</v>
      </c>
      <c r="V48" s="327">
        <f>MAX(EG_COAL_min[[#This Row],[2025]]*(1+$N48),$P48*V$64)</f>
        <v>462.37985934633014</v>
      </c>
      <c r="W48" s="327">
        <f t="shared" si="3"/>
        <v>462.37985934633014</v>
      </c>
      <c r="X48" s="327">
        <f t="shared" si="4"/>
        <v>462.37985934633014</v>
      </c>
      <c r="Y48" s="327">
        <f t="shared" si="5"/>
        <v>462.37985934633014</v>
      </c>
      <c r="Z48" s="327">
        <f t="shared" si="5"/>
        <v>462.37985934633014</v>
      </c>
      <c r="AA48" s="327">
        <f t="shared" si="5"/>
        <v>462.37985934633014</v>
      </c>
      <c r="AB48" s="327">
        <f t="shared" si="5"/>
        <v>462.37985934633014</v>
      </c>
    </row>
    <row r="49" spans="1:28">
      <c r="A49" s="327" t="s">
        <v>11</v>
      </c>
      <c r="B49" s="327">
        <f>COAL_FY21additions!S21+(COAL_FY21additions!$S$37*COAL!P49)</f>
        <v>21.015479126764919</v>
      </c>
      <c r="C49" s="327">
        <f t="shared" si="2"/>
        <v>370</v>
      </c>
      <c r="D49" s="327">
        <f t="shared" si="2"/>
        <v>0</v>
      </c>
      <c r="E49" s="327">
        <f t="shared" si="2"/>
        <v>0</v>
      </c>
      <c r="F49" s="327">
        <f t="shared" si="2"/>
        <v>0</v>
      </c>
      <c r="G49" s="327">
        <v>0</v>
      </c>
      <c r="H49" s="327">
        <v>0</v>
      </c>
      <c r="I49" s="327">
        <v>0</v>
      </c>
      <c r="J49" s="327">
        <v>0</v>
      </c>
      <c r="K49" s="327">
        <v>0</v>
      </c>
      <c r="L49" s="327">
        <v>0</v>
      </c>
      <c r="M49" s="327"/>
      <c r="N49" s="388">
        <f>VLOOKUP(EG_COAL_max[[#This Row],[SubGeography2]],'MaxCapacity-Input'!$G$65:$L$90,2,FALSE)</f>
        <v>0.40495801687763711</v>
      </c>
      <c r="O49" s="349">
        <v>13319.002</v>
      </c>
      <c r="P49" s="421">
        <f t="shared" si="6"/>
        <v>5.1890071917938041E-2</v>
      </c>
      <c r="Q49" s="327" t="s">
        <v>11</v>
      </c>
      <c r="R49" s="327">
        <f>EG_COAL_min[[#This Row],[2021]]*(1+$N49)</f>
        <v>29.52586587767302</v>
      </c>
      <c r="S49" s="327">
        <f>EG_COAL_min[[#This Row],[2022]]*(1+$N49)</f>
        <v>519.83446624472572</v>
      </c>
      <c r="T49" s="327">
        <f>EG_COAL_min[[#This Row],[2023]]*(1+$N49)</f>
        <v>0</v>
      </c>
      <c r="U49" s="327">
        <f>EG_COAL_min[[#This Row],[2024]]*(1+$N49)</f>
        <v>0</v>
      </c>
      <c r="V49" s="327">
        <f>MAX(EG_COAL_min[[#This Row],[2025]]*(1+$N49),$P49*V$64)</f>
        <v>1037.8014383587608</v>
      </c>
      <c r="W49" s="327">
        <f t="shared" si="3"/>
        <v>1037.8014383587608</v>
      </c>
      <c r="X49" s="327">
        <f t="shared" si="4"/>
        <v>1037.8014383587608</v>
      </c>
      <c r="Y49" s="327">
        <f t="shared" si="5"/>
        <v>1037.8014383587608</v>
      </c>
      <c r="Z49" s="327">
        <f t="shared" si="5"/>
        <v>1037.8014383587608</v>
      </c>
      <c r="AA49" s="327">
        <f t="shared" si="5"/>
        <v>1037.8014383587608</v>
      </c>
      <c r="AB49" s="327">
        <f t="shared" si="5"/>
        <v>1037.8014383587608</v>
      </c>
    </row>
    <row r="50" spans="1:28">
      <c r="A50" s="327" t="s">
        <v>12</v>
      </c>
      <c r="B50" s="327">
        <f>COAL_FY21additions!S22+(COAL_FY21additions!$S$37*COAL!P50)</f>
        <v>0.26050417319772817</v>
      </c>
      <c r="C50" s="327">
        <f t="shared" si="2"/>
        <v>0</v>
      </c>
      <c r="D50" s="327">
        <f t="shared" si="2"/>
        <v>0</v>
      </c>
      <c r="E50" s="327">
        <f t="shared" si="2"/>
        <v>0</v>
      </c>
      <c r="F50" s="327">
        <f t="shared" si="2"/>
        <v>0</v>
      </c>
      <c r="G50" s="327">
        <v>0</v>
      </c>
      <c r="H50" s="327">
        <v>0</v>
      </c>
      <c r="I50" s="327">
        <v>0</v>
      </c>
      <c r="J50" s="327">
        <v>0</v>
      </c>
      <c r="K50" s="327">
        <v>0</v>
      </c>
      <c r="L50" s="327">
        <v>0</v>
      </c>
      <c r="M50" s="327"/>
      <c r="N50" s="388">
        <f>VLOOKUP(EG_COAL_max[[#This Row],[SubGeography2]],'MaxCapacity-Input'!$G$65:$L$90,2,FALSE)</f>
        <v>0</v>
      </c>
      <c r="O50" s="349">
        <v>165.1</v>
      </c>
      <c r="P50" s="421">
        <f t="shared" si="6"/>
        <v>6.4322018073513097E-4</v>
      </c>
      <c r="Q50" s="327" t="s">
        <v>12</v>
      </c>
      <c r="R50" s="327">
        <f>EG_COAL_min[[#This Row],[2021]]*(1+$N50)</f>
        <v>0.26050417319772817</v>
      </c>
      <c r="S50" s="327">
        <f>EG_COAL_min[[#This Row],[2022]]*(1+$N50)</f>
        <v>0</v>
      </c>
      <c r="T50" s="327">
        <f>EG_COAL_min[[#This Row],[2023]]*(1+$N50)</f>
        <v>0</v>
      </c>
      <c r="U50" s="327">
        <f>EG_COAL_min[[#This Row],[2024]]*(1+$N50)</f>
        <v>0</v>
      </c>
      <c r="V50" s="327">
        <f>MAX(EG_COAL_min[[#This Row],[2025]]*(1+$N50),$P50*V$64)</f>
        <v>12.864403614702619</v>
      </c>
      <c r="W50" s="327">
        <f t="shared" si="3"/>
        <v>12.864403614702619</v>
      </c>
      <c r="X50" s="327">
        <f t="shared" si="4"/>
        <v>12.864403614702619</v>
      </c>
      <c r="Y50" s="327">
        <f t="shared" si="5"/>
        <v>12.864403614702619</v>
      </c>
      <c r="Z50" s="327">
        <f t="shared" si="5"/>
        <v>12.864403614702619</v>
      </c>
      <c r="AA50" s="327">
        <f t="shared" si="5"/>
        <v>12.864403614702619</v>
      </c>
      <c r="AB50" s="327">
        <f t="shared" si="5"/>
        <v>12.864403614702619</v>
      </c>
    </row>
    <row r="51" spans="1:28">
      <c r="A51" s="327" t="s">
        <v>9</v>
      </c>
      <c r="B51" s="327">
        <f>COAL_FY21additions!S23+(COAL_FY21additions!$S$37*COAL!P51)</f>
        <v>518.41704299215996</v>
      </c>
      <c r="C51" s="327">
        <f t="shared" si="2"/>
        <v>800</v>
      </c>
      <c r="D51" s="327">
        <f t="shared" si="2"/>
        <v>0</v>
      </c>
      <c r="E51" s="327">
        <f t="shared" si="2"/>
        <v>0</v>
      </c>
      <c r="F51" s="327">
        <f t="shared" si="2"/>
        <v>0</v>
      </c>
      <c r="G51" s="327">
        <v>0</v>
      </c>
      <c r="H51" s="327">
        <v>0</v>
      </c>
      <c r="I51" s="327">
        <v>0</v>
      </c>
      <c r="J51" s="327">
        <v>0</v>
      </c>
      <c r="K51" s="327">
        <v>0</v>
      </c>
      <c r="L51" s="327">
        <v>0</v>
      </c>
      <c r="M51" s="327"/>
      <c r="N51" s="388">
        <f>VLOOKUP(EG_COAL_max[[#This Row],[SubGeography2]],'MaxCapacity-Input'!$G$65:$L$90,2,FALSE)</f>
        <v>0.33967040189125297</v>
      </c>
      <c r="O51" s="349">
        <v>28334.029000000002</v>
      </c>
      <c r="P51" s="421">
        <f t="shared" si="6"/>
        <v>0.11038776047446665</v>
      </c>
      <c r="Q51" s="327" t="s">
        <v>9</v>
      </c>
      <c r="R51" s="327">
        <f>EG_COAL_min[[#This Row],[2021]]*(1+$N51)</f>
        <v>694.50796833258198</v>
      </c>
      <c r="S51" s="327">
        <f>EG_COAL_min[[#This Row],[2022]]*(1+$N51)</f>
        <v>1071.7363215130024</v>
      </c>
      <c r="T51" s="327">
        <f>EG_COAL_min[[#This Row],[2023]]*(1+$N51)</f>
        <v>0</v>
      </c>
      <c r="U51" s="327">
        <f>EG_COAL_min[[#This Row],[2024]]*(1+$N51)</f>
        <v>0</v>
      </c>
      <c r="V51" s="327">
        <f>MAX(EG_COAL_min[[#This Row],[2025]]*(1+$N51),$P51*V$64)</f>
        <v>2207.7552094893331</v>
      </c>
      <c r="W51" s="327">
        <f t="shared" si="3"/>
        <v>2207.7552094893331</v>
      </c>
      <c r="X51" s="327">
        <f t="shared" si="4"/>
        <v>2207.7552094893331</v>
      </c>
      <c r="Y51" s="327">
        <f t="shared" si="5"/>
        <v>2207.7552094893331</v>
      </c>
      <c r="Z51" s="327">
        <f t="shared" si="5"/>
        <v>2207.7552094893331</v>
      </c>
      <c r="AA51" s="327">
        <f t="shared" si="5"/>
        <v>2207.7552094893331</v>
      </c>
      <c r="AB51" s="327">
        <f t="shared" si="5"/>
        <v>2207.7552094893331</v>
      </c>
    </row>
    <row r="52" spans="1:28">
      <c r="A52" s="327" t="s">
        <v>10</v>
      </c>
      <c r="B52" s="327">
        <f>COAL_FY21additions!S24+(COAL_FY21additions!$S$37*COAL!P52)</f>
        <v>185.62538415520802</v>
      </c>
      <c r="C52" s="327">
        <f t="shared" si="2"/>
        <v>0</v>
      </c>
      <c r="D52" s="327">
        <f t="shared" si="2"/>
        <v>0</v>
      </c>
      <c r="E52" s="327">
        <f t="shared" si="2"/>
        <v>660</v>
      </c>
      <c r="F52" s="327">
        <f t="shared" si="2"/>
        <v>0</v>
      </c>
      <c r="G52" s="327">
        <v>0</v>
      </c>
      <c r="H52" s="327">
        <v>0</v>
      </c>
      <c r="I52" s="327">
        <v>0</v>
      </c>
      <c r="J52" s="327">
        <v>0</v>
      </c>
      <c r="K52" s="327">
        <v>0</v>
      </c>
      <c r="L52" s="327">
        <v>0</v>
      </c>
      <c r="M52" s="327"/>
      <c r="N52" s="388">
        <f>VLOOKUP(EG_COAL_max[[#This Row],[SubGeography2]],'MaxCapacity-Input'!$G$65:$L$90,2,FALSE)</f>
        <v>0.14912909556997517</v>
      </c>
      <c r="O52" s="349">
        <v>28689.156999999999</v>
      </c>
      <c r="P52" s="421">
        <f t="shared" si="6"/>
        <v>0.11177131890174771</v>
      </c>
      <c r="Q52" s="327" t="s">
        <v>10</v>
      </c>
      <c r="R52" s="327">
        <f>EG_COAL_min[[#This Row],[2021]]*(1+$N52)</f>
        <v>213.30752980910339</v>
      </c>
      <c r="S52" s="327">
        <f>EG_COAL_min[[#This Row],[2022]]*(1+$N52)</f>
        <v>0</v>
      </c>
      <c r="T52" s="327">
        <f>EG_COAL_min[[#This Row],[2023]]*(1+$N52)</f>
        <v>0</v>
      </c>
      <c r="U52" s="327">
        <f>EG_COAL_min[[#This Row],[2024]]*(1+$N52)</f>
        <v>758.42520307618361</v>
      </c>
      <c r="V52" s="327">
        <f>MAX(EG_COAL_min[[#This Row],[2025]]*(1+$N52),$P52*V$64)</f>
        <v>2235.4263780349543</v>
      </c>
      <c r="W52" s="327">
        <f t="shared" si="3"/>
        <v>2235.4263780349543</v>
      </c>
      <c r="X52" s="327">
        <f t="shared" si="4"/>
        <v>2235.4263780349543</v>
      </c>
      <c r="Y52" s="327">
        <f t="shared" si="5"/>
        <v>2235.4263780349543</v>
      </c>
      <c r="Z52" s="327">
        <f t="shared" si="5"/>
        <v>2235.4263780349543</v>
      </c>
      <c r="AA52" s="327">
        <f t="shared" si="5"/>
        <v>2235.4263780349543</v>
      </c>
      <c r="AB52" s="327">
        <f t="shared" si="5"/>
        <v>2235.4263780349543</v>
      </c>
    </row>
    <row r="53" spans="1:28">
      <c r="A53" s="327" t="s">
        <v>16</v>
      </c>
      <c r="B53" s="327">
        <f>COAL_FY21additions!S25+(COAL_FY21additions!$S$37*COAL!P53)</f>
        <v>32.387122163174034</v>
      </c>
      <c r="C53" s="327">
        <f t="shared" si="2"/>
        <v>800</v>
      </c>
      <c r="D53" s="327">
        <f t="shared" si="2"/>
        <v>250</v>
      </c>
      <c r="E53" s="327">
        <f t="shared" si="2"/>
        <v>0</v>
      </c>
      <c r="F53" s="327">
        <f t="shared" si="2"/>
        <v>0</v>
      </c>
      <c r="G53" s="327">
        <v>0</v>
      </c>
      <c r="H53" s="327">
        <v>0</v>
      </c>
      <c r="I53" s="327">
        <v>0</v>
      </c>
      <c r="J53" s="327">
        <v>0</v>
      </c>
      <c r="K53" s="327">
        <v>0</v>
      </c>
      <c r="L53" s="327">
        <v>0</v>
      </c>
      <c r="M53" s="327"/>
      <c r="N53" s="388">
        <f>VLOOKUP(EG_COAL_max[[#This Row],[SubGeography2]],'MaxCapacity-Input'!$G$65:$L$90,2,FALSE)</f>
        <v>1.0944918367346939</v>
      </c>
      <c r="O53" s="349">
        <v>20526.02</v>
      </c>
      <c r="P53" s="421">
        <f t="shared" si="6"/>
        <v>7.9968202872034599E-2</v>
      </c>
      <c r="Q53" s="327" t="s">
        <v>16</v>
      </c>
      <c r="R53" s="327">
        <f>EG_COAL_min[[#This Row],[2021]]*(1+$N53)</f>
        <v>67.834562986097282</v>
      </c>
      <c r="S53" s="327">
        <f>EG_COAL_min[[#This Row],[2022]]*(1+$N53)</f>
        <v>1675.5934693877548</v>
      </c>
      <c r="T53" s="327">
        <f>EG_COAL_min[[#This Row],[2023]]*(1+$N53)</f>
        <v>523.6229591836734</v>
      </c>
      <c r="U53" s="327">
        <f>EG_COAL_min[[#This Row],[2024]]*(1+$N53)</f>
        <v>0</v>
      </c>
      <c r="V53" s="327">
        <f>MAX(EG_COAL_min[[#This Row],[2025]]*(1+$N53),$P53*V$64)</f>
        <v>1599.364057440692</v>
      </c>
      <c r="W53" s="327">
        <f t="shared" si="3"/>
        <v>1599.364057440692</v>
      </c>
      <c r="X53" s="327">
        <f t="shared" si="4"/>
        <v>1599.364057440692</v>
      </c>
      <c r="Y53" s="327">
        <f t="shared" si="5"/>
        <v>1599.364057440692</v>
      </c>
      <c r="Z53" s="327">
        <f t="shared" si="5"/>
        <v>1599.364057440692</v>
      </c>
      <c r="AA53" s="327">
        <f t="shared" si="5"/>
        <v>1599.364057440692</v>
      </c>
      <c r="AB53" s="327">
        <f t="shared" si="5"/>
        <v>1599.364057440692</v>
      </c>
    </row>
    <row r="54" spans="1:28">
      <c r="A54" s="327" t="s">
        <v>1</v>
      </c>
      <c r="B54" s="327">
        <f>COAL_FY21additions!S26+(COAL_FY21additions!$S$37*COAL!P54)</f>
        <v>33.902181106882061</v>
      </c>
      <c r="C54" s="327">
        <f t="shared" si="2"/>
        <v>0</v>
      </c>
      <c r="D54" s="327">
        <f t="shared" si="2"/>
        <v>0</v>
      </c>
      <c r="E54" s="327">
        <f t="shared" si="2"/>
        <v>0</v>
      </c>
      <c r="F54" s="327">
        <f t="shared" si="2"/>
        <v>0</v>
      </c>
      <c r="G54" s="327">
        <v>0</v>
      </c>
      <c r="H54" s="327">
        <v>0</v>
      </c>
      <c r="I54" s="327">
        <v>0</v>
      </c>
      <c r="J54" s="327">
        <v>0</v>
      </c>
      <c r="K54" s="327">
        <v>0</v>
      </c>
      <c r="L54" s="327">
        <v>0</v>
      </c>
      <c r="M54" s="327"/>
      <c r="N54" s="388">
        <f>VLOOKUP(EG_COAL_max[[#This Row],[SubGeography2]],'MaxCapacity-Input'!$G$65:$L$90,2,FALSE)</f>
        <v>0.10175528169014085</v>
      </c>
      <c r="O54" s="349">
        <v>6257.97</v>
      </c>
      <c r="P54" s="421">
        <f t="shared" si="6"/>
        <v>2.4380694091066187E-2</v>
      </c>
      <c r="Q54" s="327" t="s">
        <v>1</v>
      </c>
      <c r="R54" s="327">
        <f>EG_COAL_min[[#This Row],[2021]]*(1+$N54)</f>
        <v>37.351907095323014</v>
      </c>
      <c r="S54" s="327">
        <f>EG_COAL_min[[#This Row],[2022]]*(1+$N54)</f>
        <v>0</v>
      </c>
      <c r="T54" s="327">
        <f>EG_COAL_min[[#This Row],[2023]]*(1+$N54)</f>
        <v>0</v>
      </c>
      <c r="U54" s="327">
        <f>EG_COAL_min[[#This Row],[2024]]*(1+$N54)</f>
        <v>0</v>
      </c>
      <c r="V54" s="327">
        <f>MAX(EG_COAL_min[[#This Row],[2025]]*(1+$N54),$P54*V$64)</f>
        <v>487.61388182132373</v>
      </c>
      <c r="W54" s="327">
        <f t="shared" si="3"/>
        <v>487.61388182132373</v>
      </c>
      <c r="X54" s="327">
        <f t="shared" si="4"/>
        <v>487.61388182132373</v>
      </c>
      <c r="Y54" s="327">
        <f t="shared" si="5"/>
        <v>487.61388182132373</v>
      </c>
      <c r="Z54" s="327">
        <f t="shared" si="5"/>
        <v>487.61388182132373</v>
      </c>
      <c r="AA54" s="327">
        <f t="shared" si="5"/>
        <v>487.61388182132373</v>
      </c>
      <c r="AB54" s="327">
        <f t="shared" si="5"/>
        <v>487.61388182132373</v>
      </c>
    </row>
    <row r="55" spans="1:28">
      <c r="A55" s="327" t="s">
        <v>6</v>
      </c>
      <c r="B55" s="327">
        <f>COAL_FY21additions!S27+(COAL_FY21additions!$S$37*COAL!P55)</f>
        <v>95.713720726693751</v>
      </c>
      <c r="C55" s="327">
        <f t="shared" si="2"/>
        <v>660</v>
      </c>
      <c r="D55" s="327">
        <f t="shared" si="2"/>
        <v>0</v>
      </c>
      <c r="E55" s="327">
        <f t="shared" si="2"/>
        <v>0</v>
      </c>
      <c r="F55" s="327">
        <f t="shared" si="2"/>
        <v>0</v>
      </c>
      <c r="G55" s="327">
        <v>0</v>
      </c>
      <c r="H55" s="327">
        <v>0</v>
      </c>
      <c r="I55" s="327">
        <v>0</v>
      </c>
      <c r="J55" s="327">
        <v>0</v>
      </c>
      <c r="K55" s="327">
        <v>0</v>
      </c>
      <c r="L55" s="327">
        <v>0</v>
      </c>
      <c r="M55" s="327"/>
      <c r="N55" s="388">
        <f>VLOOKUP(EG_COAL_max[[#This Row],[SubGeography2]],'MaxCapacity-Input'!$G$65:$L$90,2,FALSE)</f>
        <v>0.20640580448065174</v>
      </c>
      <c r="O55" s="349">
        <v>11846.905000000001</v>
      </c>
      <c r="P55" s="421">
        <f t="shared" si="6"/>
        <v>4.6154865991834812E-2</v>
      </c>
      <c r="Q55" s="327" t="s">
        <v>6</v>
      </c>
      <c r="R55" s="327">
        <f>EG_COAL_min[[#This Row],[2021]]*(1+$N55)</f>
        <v>115.46958825312342</v>
      </c>
      <c r="S55" s="327">
        <f>EG_COAL_min[[#This Row],[2022]]*(1+$N55)</f>
        <v>796.22783095723025</v>
      </c>
      <c r="T55" s="327">
        <f>EG_COAL_min[[#This Row],[2023]]*(1+$N55)</f>
        <v>0</v>
      </c>
      <c r="U55" s="327">
        <f>EG_COAL_min[[#This Row],[2024]]*(1+$N55)</f>
        <v>0</v>
      </c>
      <c r="V55" s="327">
        <f>MAX(EG_COAL_min[[#This Row],[2025]]*(1+$N55),$P55*V$64)</f>
        <v>923.09731983669622</v>
      </c>
      <c r="W55" s="327">
        <f t="shared" si="3"/>
        <v>923.09731983669622</v>
      </c>
      <c r="X55" s="327">
        <f t="shared" si="4"/>
        <v>923.09731983669622</v>
      </c>
      <c r="Y55" s="327">
        <f t="shared" si="5"/>
        <v>923.09731983669622</v>
      </c>
      <c r="Z55" s="327">
        <f t="shared" si="5"/>
        <v>923.09731983669622</v>
      </c>
      <c r="AA55" s="327">
        <f t="shared" si="5"/>
        <v>923.09731983669622</v>
      </c>
      <c r="AB55" s="327">
        <f t="shared" si="5"/>
        <v>923.09731983669622</v>
      </c>
    </row>
    <row r="56" spans="1:28">
      <c r="A56" s="327" t="s">
        <v>13</v>
      </c>
      <c r="B56" s="327">
        <f>COAL_FY21additions!S28+(COAL_FY21additions!$S$37*COAL!P56)</f>
        <v>26.17875073238859</v>
      </c>
      <c r="C56" s="327">
        <f t="shared" si="2"/>
        <v>1825</v>
      </c>
      <c r="D56" s="327">
        <f t="shared" si="2"/>
        <v>1320</v>
      </c>
      <c r="E56" s="327">
        <f t="shared" si="2"/>
        <v>1460</v>
      </c>
      <c r="F56" s="327">
        <f t="shared" si="2"/>
        <v>1460</v>
      </c>
      <c r="G56" s="327">
        <v>0</v>
      </c>
      <c r="H56" s="327">
        <v>0</v>
      </c>
      <c r="I56" s="327">
        <v>0</v>
      </c>
      <c r="J56" s="327">
        <v>0</v>
      </c>
      <c r="K56" s="327">
        <v>0</v>
      </c>
      <c r="L56" s="327">
        <v>0</v>
      </c>
      <c r="M56" s="327"/>
      <c r="N56" s="388">
        <f>VLOOKUP(EG_COAL_max[[#This Row],[SubGeography2]],'MaxCapacity-Input'!$G$65:$L$90,2,FALSE)</f>
        <v>0.27527548039969252</v>
      </c>
      <c r="O56" s="349">
        <v>16591.333999999999</v>
      </c>
      <c r="P56" s="421">
        <f t="shared" si="6"/>
        <v>6.4638890697255744E-2</v>
      </c>
      <c r="Q56" s="327" t="s">
        <v>13</v>
      </c>
      <c r="R56" s="327">
        <f>EG_COAL_min[[#This Row],[2021]]*(1+$N56)</f>
        <v>33.385118916510663</v>
      </c>
      <c r="S56" s="327">
        <f>EG_COAL_min[[#This Row],[2022]]*(1+$N56)</f>
        <v>2327.3777517294388</v>
      </c>
      <c r="T56" s="327">
        <f>EG_COAL_min[[#This Row],[2023]]*(1+$N56)</f>
        <v>1683.3636341275942</v>
      </c>
      <c r="U56" s="327">
        <f>EG_COAL_min[[#This Row],[2024]]*(1+$N56)</f>
        <v>1861.9022013835513</v>
      </c>
      <c r="V56" s="327">
        <f>MAX(EG_COAL_min[[#This Row],[2025]]*(1+$N56),$P56*V$64)</f>
        <v>1861.9022013835513</v>
      </c>
      <c r="W56" s="327">
        <f t="shared" si="3"/>
        <v>1292.777813945115</v>
      </c>
      <c r="X56" s="327">
        <f t="shared" si="4"/>
        <v>1292.777813945115</v>
      </c>
      <c r="Y56" s="327">
        <f t="shared" si="5"/>
        <v>1292.777813945115</v>
      </c>
      <c r="Z56" s="327">
        <f t="shared" si="5"/>
        <v>1292.777813945115</v>
      </c>
      <c r="AA56" s="327">
        <f t="shared" si="5"/>
        <v>1292.777813945115</v>
      </c>
      <c r="AB56" s="327">
        <f t="shared" si="5"/>
        <v>1292.777813945115</v>
      </c>
    </row>
    <row r="57" spans="1:28">
      <c r="A57" s="327" t="s">
        <v>15</v>
      </c>
      <c r="B57" s="327">
        <f>COAL_FY21additions!S29+(COAL_FY21additions!$S$37*COAL!P57)</f>
        <v>822.5333418438023</v>
      </c>
      <c r="C57" s="327">
        <f t="shared" si="2"/>
        <v>810</v>
      </c>
      <c r="D57" s="327">
        <f t="shared" si="2"/>
        <v>1870</v>
      </c>
      <c r="E57" s="327">
        <f t="shared" si="2"/>
        <v>0</v>
      </c>
      <c r="F57" s="327">
        <f t="shared" si="2"/>
        <v>4000</v>
      </c>
      <c r="G57" s="327">
        <v>0</v>
      </c>
      <c r="H57" s="327">
        <v>0</v>
      </c>
      <c r="I57" s="327">
        <v>0</v>
      </c>
      <c r="J57" s="327">
        <v>0</v>
      </c>
      <c r="K57" s="327">
        <v>0</v>
      </c>
      <c r="L57" s="327">
        <v>0</v>
      </c>
      <c r="M57" s="327"/>
      <c r="N57" s="388">
        <f>VLOOKUP(EG_COAL_max[[#This Row],[SubGeography2]],'MaxCapacity-Input'!$G$65:$L$90,2,FALSE)</f>
        <v>0.17423615526802216</v>
      </c>
      <c r="O57" s="349">
        <v>7940.7719999999999</v>
      </c>
      <c r="P57" s="421">
        <f t="shared" si="6"/>
        <v>3.093679467605371E-2</v>
      </c>
      <c r="Q57" s="327" t="s">
        <v>15</v>
      </c>
      <c r="R57" s="327">
        <f>EG_COAL_min[[#This Row],[2021]]*(1+$N57)</f>
        <v>965.84838890642413</v>
      </c>
      <c r="S57" s="327">
        <f>EG_COAL_min[[#This Row],[2022]]*(1+$N57)</f>
        <v>951.13128576709789</v>
      </c>
      <c r="T57" s="327">
        <f>EG_COAL_min[[#This Row],[2023]]*(1+$N57)</f>
        <v>2195.8216103512013</v>
      </c>
      <c r="U57" s="327">
        <f>EG_COAL_min[[#This Row],[2024]]*(1+$N57)</f>
        <v>0</v>
      </c>
      <c r="V57" s="327">
        <f>MAX(EG_COAL_min[[#This Row],[2025]]*(1+$N57),$P57*V$64)</f>
        <v>4696.944621072088</v>
      </c>
      <c r="W57" s="327">
        <f t="shared" si="3"/>
        <v>618.73589352107422</v>
      </c>
      <c r="X57" s="327">
        <f t="shared" si="4"/>
        <v>618.73589352107422</v>
      </c>
      <c r="Y57" s="327">
        <f t="shared" si="5"/>
        <v>618.73589352107422</v>
      </c>
      <c r="Z57" s="327">
        <f t="shared" si="5"/>
        <v>618.73589352107422</v>
      </c>
      <c r="AA57" s="327">
        <f t="shared" si="5"/>
        <v>618.73589352107422</v>
      </c>
      <c r="AB57" s="327">
        <f t="shared" si="5"/>
        <v>618.73589352107422</v>
      </c>
    </row>
    <row r="58" spans="1:28">
      <c r="A58" s="327" t="s">
        <v>0</v>
      </c>
      <c r="B58" s="327">
        <f>COAL_FY21additions!S30+(COAL_FY21additions!$S$37*COAL!P58)</f>
        <v>1102.6742559700638</v>
      </c>
      <c r="C58" s="327">
        <f t="shared" si="2"/>
        <v>1980</v>
      </c>
      <c r="D58" s="327">
        <f t="shared" si="2"/>
        <v>5280</v>
      </c>
      <c r="E58" s="327">
        <f t="shared" si="2"/>
        <v>0</v>
      </c>
      <c r="F58" s="327">
        <f t="shared" si="2"/>
        <v>1320</v>
      </c>
      <c r="G58" s="327">
        <v>0</v>
      </c>
      <c r="H58" s="327">
        <v>0</v>
      </c>
      <c r="I58" s="327">
        <v>0</v>
      </c>
      <c r="J58" s="327">
        <v>0</v>
      </c>
      <c r="K58" s="327">
        <v>0</v>
      </c>
      <c r="L58" s="327">
        <v>0</v>
      </c>
      <c r="M58" s="327"/>
      <c r="N58" s="388">
        <f>VLOOKUP(EG_COAL_max[[#This Row],[SubGeography2]],'MaxCapacity-Input'!$G$65:$L$90,2,FALSE)</f>
        <v>0.10647208710785845</v>
      </c>
      <c r="O58" s="349">
        <v>24794.933000000001</v>
      </c>
      <c r="P58" s="421">
        <f t="shared" si="6"/>
        <v>9.6599644370535823E-2</v>
      </c>
      <c r="Q58" s="327" t="s">
        <v>0</v>
      </c>
      <c r="R58" s="327">
        <f>EG_COAL_min[[#This Row],[2021]]*(1+$N58)</f>
        <v>1220.0782854033014</v>
      </c>
      <c r="S58" s="327">
        <f>EG_COAL_min[[#This Row],[2022]]*(1+$N58)</f>
        <v>2190.8147324735596</v>
      </c>
      <c r="T58" s="327">
        <f>EG_COAL_min[[#This Row],[2023]]*(1+$N58)</f>
        <v>5842.1726199294926</v>
      </c>
      <c r="U58" s="327">
        <f>EG_COAL_min[[#This Row],[2024]]*(1+$N58)</f>
        <v>0</v>
      </c>
      <c r="V58" s="327">
        <f>MAX(EG_COAL_min[[#This Row],[2025]]*(1+$N58),$P58*V$64)</f>
        <v>1931.9928874107165</v>
      </c>
      <c r="W58" s="327">
        <f t="shared" si="3"/>
        <v>1931.9928874107165</v>
      </c>
      <c r="X58" s="327">
        <f t="shared" si="4"/>
        <v>1931.9928874107165</v>
      </c>
      <c r="Y58" s="327">
        <f t="shared" si="5"/>
        <v>1931.9928874107165</v>
      </c>
      <c r="Z58" s="327">
        <f t="shared" si="5"/>
        <v>1931.9928874107165</v>
      </c>
      <c r="AA58" s="327">
        <f t="shared" si="5"/>
        <v>1931.9928874107165</v>
      </c>
      <c r="AB58" s="327">
        <f t="shared" si="5"/>
        <v>1931.9928874107165</v>
      </c>
    </row>
    <row r="59" spans="1:28">
      <c r="A59" s="327" t="s">
        <v>4</v>
      </c>
      <c r="B59" s="327">
        <f>COAL_FY21additions!S31+(COAL_FY21additions!$S$37*COAL!P59)</f>
        <v>0.23715189116667806</v>
      </c>
      <c r="C59" s="327">
        <f t="shared" si="2"/>
        <v>0</v>
      </c>
      <c r="D59" s="327">
        <f t="shared" si="2"/>
        <v>0</v>
      </c>
      <c r="E59" s="327">
        <f t="shared" si="2"/>
        <v>0</v>
      </c>
      <c r="F59" s="327">
        <f t="shared" si="2"/>
        <v>0</v>
      </c>
      <c r="G59" s="327">
        <v>0</v>
      </c>
      <c r="H59" s="327">
        <v>0</v>
      </c>
      <c r="I59" s="327">
        <v>0</v>
      </c>
      <c r="J59" s="327">
        <v>0</v>
      </c>
      <c r="K59" s="327">
        <v>0</v>
      </c>
      <c r="L59" s="327">
        <v>0</v>
      </c>
      <c r="M59" s="327"/>
      <c r="N59" s="388">
        <f>VLOOKUP(EG_COAL_max[[#This Row],[SubGeography2]],'MaxCapacity-Input'!$G$65:$L$90,2,FALSE)</f>
        <v>0</v>
      </c>
      <c r="O59" s="349">
        <v>150.30000000000001</v>
      </c>
      <c r="P59" s="421">
        <f t="shared" si="6"/>
        <v>5.8556022510290848E-4</v>
      </c>
      <c r="Q59" s="327" t="s">
        <v>4</v>
      </c>
      <c r="R59" s="327">
        <f>EG_COAL_min[[#This Row],[2021]]*(1+$N59)</f>
        <v>0.23715189116667806</v>
      </c>
      <c r="S59" s="327">
        <f>EG_COAL_min[[#This Row],[2022]]*(1+$N59)</f>
        <v>0</v>
      </c>
      <c r="T59" s="327">
        <f>EG_COAL_min[[#This Row],[2023]]*(1+$N59)</f>
        <v>0</v>
      </c>
      <c r="U59" s="327">
        <f>EG_COAL_min[[#This Row],[2024]]*(1+$N59)</f>
        <v>0</v>
      </c>
      <c r="V59" s="327">
        <f>MAX(EG_COAL_min[[#This Row],[2025]]*(1+$N59),$P59*V$64)</f>
        <v>11.71120450205817</v>
      </c>
      <c r="W59" s="327">
        <f t="shared" si="3"/>
        <v>11.71120450205817</v>
      </c>
      <c r="X59" s="327">
        <f t="shared" si="4"/>
        <v>11.71120450205817</v>
      </c>
      <c r="Y59" s="327">
        <f t="shared" si="5"/>
        <v>11.71120450205817</v>
      </c>
      <c r="Z59" s="327">
        <f t="shared" si="5"/>
        <v>11.71120450205817</v>
      </c>
      <c r="AA59" s="327">
        <f t="shared" si="5"/>
        <v>11.71120450205817</v>
      </c>
      <c r="AB59" s="327">
        <f t="shared" si="5"/>
        <v>11.71120450205817</v>
      </c>
    </row>
    <row r="60" spans="1:28">
      <c r="A60" s="416" t="s">
        <v>17</v>
      </c>
      <c r="B60" s="325">
        <f>COAL_FY21additions!S32+(COAL_FY21additions!$S$37*COAL!P60)</f>
        <v>23.655479856085439</v>
      </c>
      <c r="C60" s="325">
        <f t="shared" si="2"/>
        <v>0</v>
      </c>
      <c r="D60" s="325">
        <f t="shared" si="2"/>
        <v>0</v>
      </c>
      <c r="E60" s="325">
        <f t="shared" si="2"/>
        <v>0</v>
      </c>
      <c r="F60" s="325">
        <f t="shared" si="2"/>
        <v>0</v>
      </c>
      <c r="G60" s="325">
        <v>0</v>
      </c>
      <c r="H60" s="325">
        <v>0</v>
      </c>
      <c r="I60" s="325">
        <v>0</v>
      </c>
      <c r="J60" s="325">
        <v>0</v>
      </c>
      <c r="K60" s="325">
        <v>0</v>
      </c>
      <c r="L60" s="325">
        <v>0</v>
      </c>
      <c r="M60" s="325"/>
      <c r="N60" s="325">
        <f>VLOOKUP(EG_COAL_max[[#This Row],[SubGeography2]],'MaxCapacity-Input'!$G$65:$L$90,2,FALSE)</f>
        <v>5.7498624532693804E-2</v>
      </c>
      <c r="O60" s="41">
        <v>14992.157999999999</v>
      </c>
      <c r="P60" s="416">
        <f t="shared" si="6"/>
        <v>5.8408592237247967E-2</v>
      </c>
      <c r="Q60" s="416" t="s">
        <v>17</v>
      </c>
      <c r="R60" s="416">
        <f>EG_COAL_min[[#This Row],[2021]]*(1+$N60)</f>
        <v>25.015637410471196</v>
      </c>
      <c r="S60" s="416">
        <f>EG_COAL_min[[#This Row],[2022]]*(1+$N60)</f>
        <v>0</v>
      </c>
      <c r="T60" s="416">
        <f>EG_COAL_min[[#This Row],[2023]]*(1+$N60)</f>
        <v>0</v>
      </c>
      <c r="U60" s="416">
        <f>EG_COAL_min[[#This Row],[2024]]*(1+$N60)</f>
        <v>0</v>
      </c>
      <c r="V60" s="416">
        <f>MAX(EG_COAL_min[[#This Row],[2025]]*(1+$N60),$P60*V$64)</f>
        <v>1168.1718447449593</v>
      </c>
      <c r="W60" s="416">
        <f t="shared" si="3"/>
        <v>1168.1718447449593</v>
      </c>
      <c r="X60" s="416">
        <f t="shared" si="4"/>
        <v>1168.1718447449593</v>
      </c>
      <c r="Y60" s="416">
        <f t="shared" si="5"/>
        <v>1168.1718447449593</v>
      </c>
      <c r="Z60" s="416">
        <f t="shared" si="5"/>
        <v>1168.1718447449593</v>
      </c>
      <c r="AA60" s="416">
        <f t="shared" si="5"/>
        <v>1168.1718447449593</v>
      </c>
      <c r="AB60" s="416">
        <f t="shared" si="5"/>
        <v>1168.1718447449593</v>
      </c>
    </row>
    <row r="61" spans="1:28">
      <c r="A61" s="416" t="s">
        <v>92</v>
      </c>
      <c r="B61" s="416">
        <f>COAL_FY21additions!S33+(COAL_FY21additions!$S$37*COAL!P61)</f>
        <v>30.995157202116076</v>
      </c>
      <c r="C61" s="416">
        <f t="shared" si="2"/>
        <v>0</v>
      </c>
      <c r="D61" s="416">
        <f t="shared" si="2"/>
        <v>0</v>
      </c>
      <c r="E61" s="416">
        <f t="shared" si="2"/>
        <v>0</v>
      </c>
      <c r="F61" s="416">
        <f t="shared" si="2"/>
        <v>0</v>
      </c>
      <c r="G61" s="416">
        <v>0</v>
      </c>
      <c r="H61" s="416">
        <v>0</v>
      </c>
      <c r="I61" s="416">
        <v>0</v>
      </c>
      <c r="J61" s="416">
        <v>0</v>
      </c>
      <c r="K61" s="416">
        <v>0</v>
      </c>
      <c r="L61" s="416">
        <v>0</v>
      </c>
      <c r="N61" s="416">
        <f>VLOOKUP(EG_COAL_max[[#This Row],[SubGeography2]],'MaxCapacity-Input'!$G$65:$L$90,2,FALSE)</f>
        <v>0</v>
      </c>
      <c r="O61" s="416">
        <v>48.9</v>
      </c>
      <c r="P61" s="416">
        <f t="shared" si="6"/>
        <v>1.9051161016322171E-4</v>
      </c>
      <c r="Q61" s="416" t="s">
        <v>92</v>
      </c>
      <c r="R61" s="416">
        <f>EG_COAL_min[[#This Row],[2021]]*(1+$N61)</f>
        <v>30.995157202116076</v>
      </c>
      <c r="S61" s="416">
        <f>EG_COAL_min[[#This Row],[2022]]*(1+$N61)</f>
        <v>0</v>
      </c>
      <c r="T61" s="416">
        <f>EG_COAL_min[[#This Row],[2023]]*(1+$N61)</f>
        <v>0</v>
      </c>
      <c r="U61" s="416">
        <f>EG_COAL_min[[#This Row],[2024]]*(1+$N61)</f>
        <v>0</v>
      </c>
      <c r="V61" s="416">
        <f>MAX(EG_COAL_min[[#This Row],[2025]]*(1+$N61),$P61*V$64)</f>
        <v>3.8102322032644342</v>
      </c>
      <c r="W61" s="416">
        <f t="shared" si="3"/>
        <v>3.8102322032644342</v>
      </c>
      <c r="X61" s="416">
        <f t="shared" si="4"/>
        <v>3.8102322032644342</v>
      </c>
      <c r="Y61" s="416">
        <f t="shared" si="5"/>
        <v>3.8102322032644342</v>
      </c>
      <c r="Z61" s="416">
        <f t="shared" si="5"/>
        <v>3.8102322032644342</v>
      </c>
      <c r="AA61" s="416">
        <f t="shared" si="5"/>
        <v>3.8102322032644342</v>
      </c>
      <c r="AB61" s="416">
        <f t="shared" si="5"/>
        <v>3.8102322032644342</v>
      </c>
    </row>
    <row r="62" spans="1:28">
      <c r="A62" s="416" t="s">
        <v>93</v>
      </c>
      <c r="B62" s="416">
        <f>COAL_FY21additions!S34+(COAL_FY21additions!$S$37*COAL!P62)</f>
        <v>0</v>
      </c>
      <c r="C62" s="416">
        <f t="shared" si="2"/>
        <v>0</v>
      </c>
      <c r="D62" s="416">
        <f t="shared" si="2"/>
        <v>0</v>
      </c>
      <c r="E62" s="416">
        <f t="shared" si="2"/>
        <v>0</v>
      </c>
      <c r="F62" s="416">
        <f t="shared" si="2"/>
        <v>0</v>
      </c>
      <c r="G62" s="416">
        <v>0</v>
      </c>
      <c r="H62" s="416">
        <v>0</v>
      </c>
      <c r="I62" s="416">
        <v>0</v>
      </c>
      <c r="J62" s="416">
        <v>0</v>
      </c>
      <c r="K62" s="416">
        <v>0</v>
      </c>
      <c r="L62" s="416">
        <v>0</v>
      </c>
      <c r="N62" s="416">
        <f>VLOOKUP(EG_COAL_max[[#This Row],[SubGeography2]],'MaxCapacity-Input'!$G$65:$L$90,2,FALSE)</f>
        <v>0</v>
      </c>
      <c r="O62" s="416">
        <v>0</v>
      </c>
      <c r="P62" s="416">
        <f t="shared" si="6"/>
        <v>0</v>
      </c>
      <c r="Q62" s="416" t="s">
        <v>93</v>
      </c>
      <c r="R62" s="416">
        <f>EG_COAL_min[[#This Row],[2021]]*(1+$N62)</f>
        <v>0</v>
      </c>
      <c r="S62" s="416">
        <f>EG_COAL_min[[#This Row],[2022]]*(1+$N62)</f>
        <v>0</v>
      </c>
      <c r="T62" s="416">
        <f>EG_COAL_min[[#This Row],[2023]]*(1+$N62)</f>
        <v>0</v>
      </c>
      <c r="U62" s="416">
        <f>EG_COAL_min[[#This Row],[2024]]*(1+$N62)</f>
        <v>0</v>
      </c>
      <c r="V62" s="416">
        <f>MAX(EG_COAL_min[[#This Row],[2025]]*(1+$N62),$P62*V$64)</f>
        <v>0</v>
      </c>
      <c r="W62" s="416">
        <f t="shared" si="3"/>
        <v>0</v>
      </c>
      <c r="X62" s="416">
        <f t="shared" si="4"/>
        <v>0</v>
      </c>
      <c r="Y62" s="416">
        <f t="shared" si="5"/>
        <v>0</v>
      </c>
      <c r="Z62" s="416">
        <f t="shared" si="5"/>
        <v>0</v>
      </c>
      <c r="AA62" s="416">
        <f t="shared" si="5"/>
        <v>0</v>
      </c>
      <c r="AB62" s="416">
        <f t="shared" si="5"/>
        <v>0</v>
      </c>
    </row>
    <row r="63" spans="1:28">
      <c r="A63" s="416" t="s">
        <v>7</v>
      </c>
      <c r="B63" s="416">
        <f>SUM(B38:B62)</f>
        <v>4145.3685399999977</v>
      </c>
      <c r="C63" s="416">
        <f>SUM(C38:C62)</f>
        <v>11215</v>
      </c>
      <c r="D63" s="416">
        <f t="shared" ref="D63:L63" si="7">SUM(D38:D62)</f>
        <v>12820</v>
      </c>
      <c r="E63" s="416">
        <f t="shared" si="7"/>
        <v>4380</v>
      </c>
      <c r="F63" s="416">
        <f t="shared" si="7"/>
        <v>8100</v>
      </c>
      <c r="G63" s="416">
        <f t="shared" si="7"/>
        <v>0</v>
      </c>
      <c r="H63" s="416">
        <f t="shared" si="7"/>
        <v>0</v>
      </c>
      <c r="I63" s="416">
        <f t="shared" si="7"/>
        <v>0</v>
      </c>
      <c r="J63" s="416">
        <f t="shared" si="7"/>
        <v>0</v>
      </c>
      <c r="K63" s="416">
        <f t="shared" si="7"/>
        <v>0</v>
      </c>
      <c r="L63" s="416">
        <f t="shared" si="7"/>
        <v>0</v>
      </c>
      <c r="O63" s="416">
        <f>SUM(O38:O62)</f>
        <v>256677.27</v>
      </c>
    </row>
    <row r="64" spans="1:28">
      <c r="H64" s="416" t="s">
        <v>948</v>
      </c>
      <c r="Q64" s="416" t="s">
        <v>1251</v>
      </c>
      <c r="V64" s="416">
        <f>'MaxCapacity-Input'!G13</f>
        <v>20000</v>
      </c>
      <c r="W64" s="416">
        <f>'MaxCapacity-Input'!H13</f>
        <v>20000</v>
      </c>
      <c r="X64" s="416">
        <f>'MaxCapacity-Input'!I13</f>
        <v>20000</v>
      </c>
      <c r="Y64" s="416">
        <f>'MaxCapacity-Input'!J13</f>
        <v>20000</v>
      </c>
      <c r="Z64" s="416">
        <f>'MaxCapacity-Input'!K13</f>
        <v>20000</v>
      </c>
      <c r="AA64" s="416">
        <f>'MaxCapacity-Input'!L13</f>
        <v>20000</v>
      </c>
      <c r="AB64" s="416">
        <f>'MaxCapacity-Input'!M13</f>
        <v>20000</v>
      </c>
    </row>
    <row r="65" spans="22:22">
      <c r="V65" s="416" t="s">
        <v>1383</v>
      </c>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tableParts count="2">
    <tablePart r:id="rId2"/>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zoomScale="85" zoomScaleNormal="85" workbookViewId="0">
      <selection activeCell="G35" sqref="G35"/>
    </sheetView>
  </sheetViews>
  <sheetFormatPr defaultRowHeight="12.75"/>
  <cols>
    <col min="1" max="1" width="7.85546875" style="92" bestFit="1" customWidth="1"/>
    <col min="2" max="2" width="55.7109375" style="92" bestFit="1" customWidth="1"/>
    <col min="3" max="3" width="8.42578125" style="92" bestFit="1" customWidth="1"/>
    <col min="4" max="4" width="40.140625" style="92" bestFit="1" customWidth="1"/>
    <col min="5" max="5" width="16.42578125" style="92" bestFit="1" customWidth="1"/>
    <col min="6" max="6" width="18.42578125" style="92" bestFit="1" customWidth="1"/>
    <col min="7" max="7" width="17.28515625" style="92" bestFit="1" customWidth="1"/>
    <col min="8" max="8" width="5.28515625" style="92" bestFit="1" customWidth="1"/>
    <col min="9" max="9" width="4.5703125" style="92" bestFit="1" customWidth="1"/>
    <col min="10" max="10" width="10.28515625" style="92" bestFit="1" customWidth="1"/>
    <col min="11" max="11" width="18.140625" style="92" bestFit="1" customWidth="1"/>
    <col min="12" max="12" width="18.140625" style="92" customWidth="1"/>
    <col min="13" max="13" width="7.5703125" style="92" bestFit="1" customWidth="1"/>
    <col min="14" max="14" width="56.5703125" style="92" bestFit="1" customWidth="1"/>
    <col min="15" max="15" width="9.140625" style="92"/>
    <col min="16" max="16" width="18.140625" style="92" customWidth="1"/>
    <col min="17" max="16384" width="9.140625" style="92"/>
  </cols>
  <sheetData>
    <row r="1" spans="1:18">
      <c r="A1" s="188" t="s">
        <v>668</v>
      </c>
    </row>
    <row r="2" spans="1:18" s="188" customFormat="1">
      <c r="A2" s="235" t="s">
        <v>669</v>
      </c>
      <c r="B2" s="235" t="s">
        <v>670</v>
      </c>
      <c r="C2" s="235" t="s">
        <v>671</v>
      </c>
      <c r="D2" s="235" t="s">
        <v>672</v>
      </c>
      <c r="E2" s="235" t="s">
        <v>673</v>
      </c>
      <c r="F2" s="235" t="s">
        <v>674</v>
      </c>
      <c r="G2" s="235" t="s">
        <v>675</v>
      </c>
      <c r="H2" s="235" t="s">
        <v>676</v>
      </c>
      <c r="I2" s="235" t="s">
        <v>677</v>
      </c>
      <c r="J2" s="235" t="s">
        <v>678</v>
      </c>
      <c r="K2" s="235" t="s">
        <v>679</v>
      </c>
      <c r="L2" s="235" t="s">
        <v>558</v>
      </c>
      <c r="M2" s="235" t="s">
        <v>680</v>
      </c>
      <c r="N2" s="235" t="s">
        <v>681</v>
      </c>
      <c r="P2" s="235" t="s">
        <v>558</v>
      </c>
    </row>
    <row r="3" spans="1:18">
      <c r="A3" s="236">
        <v>1</v>
      </c>
      <c r="B3" s="236" t="s">
        <v>682</v>
      </c>
      <c r="C3" s="236" t="s">
        <v>683</v>
      </c>
      <c r="D3" s="236" t="s">
        <v>684</v>
      </c>
      <c r="E3" s="236">
        <v>14.19</v>
      </c>
      <c r="F3" s="236">
        <v>9.58</v>
      </c>
      <c r="G3" s="236" t="s">
        <v>685</v>
      </c>
      <c r="H3" s="236">
        <v>48.4</v>
      </c>
      <c r="I3" s="236"/>
      <c r="J3" s="236" t="s">
        <v>686</v>
      </c>
      <c r="K3" s="236" t="s">
        <v>687</v>
      </c>
      <c r="L3" s="236">
        <v>2018</v>
      </c>
      <c r="M3" s="236" t="s">
        <v>88</v>
      </c>
      <c r="N3" s="236" t="s">
        <v>688</v>
      </c>
      <c r="P3" s="236">
        <v>2018</v>
      </c>
      <c r="Q3" s="92">
        <f>SUMIF($L$3:$L$83,P3,$H3:$H$83)</f>
        <v>48.4</v>
      </c>
      <c r="R3" s="92">
        <f>SUMIF($L$3:$L$83,P3,$I$3:$I$83)</f>
        <v>0</v>
      </c>
    </row>
    <row r="4" spans="1:18">
      <c r="A4" s="236">
        <v>2</v>
      </c>
      <c r="B4" s="236" t="s">
        <v>689</v>
      </c>
      <c r="C4" s="236" t="s">
        <v>683</v>
      </c>
      <c r="D4" s="236" t="s">
        <v>690</v>
      </c>
      <c r="E4" s="236">
        <v>19.87</v>
      </c>
      <c r="F4" s="236">
        <v>16</v>
      </c>
      <c r="G4" s="236" t="s">
        <v>464</v>
      </c>
      <c r="H4" s="236"/>
      <c r="I4" s="236"/>
      <c r="J4" s="236" t="s">
        <v>691</v>
      </c>
      <c r="K4" s="236" t="s">
        <v>687</v>
      </c>
      <c r="L4" s="236">
        <v>2018</v>
      </c>
      <c r="M4" s="236" t="s">
        <v>88</v>
      </c>
      <c r="N4" s="236" t="s">
        <v>688</v>
      </c>
      <c r="P4" s="236">
        <v>2020</v>
      </c>
      <c r="Q4" s="92">
        <f ca="1">SUMIF($L$3:$L$83,P4,$H4:$H$83)</f>
        <v>1359.3</v>
      </c>
      <c r="R4" s="92">
        <f t="shared" ref="R4:R10" si="0">SUMIF($L$3:$L$83,P4,$I$3:$I$83)</f>
        <v>26.2</v>
      </c>
    </row>
    <row r="5" spans="1:18">
      <c r="A5" s="236">
        <v>3</v>
      </c>
      <c r="B5" s="236" t="s">
        <v>692</v>
      </c>
      <c r="C5" s="236" t="s">
        <v>683</v>
      </c>
      <c r="D5" s="236" t="s">
        <v>693</v>
      </c>
      <c r="E5" s="236">
        <v>58.01</v>
      </c>
      <c r="F5" s="236">
        <v>51.08</v>
      </c>
      <c r="G5" s="236" t="s">
        <v>464</v>
      </c>
      <c r="H5" s="236"/>
      <c r="I5" s="236"/>
      <c r="J5" s="236" t="s">
        <v>691</v>
      </c>
      <c r="K5" s="236" t="s">
        <v>694</v>
      </c>
      <c r="L5" s="236">
        <v>2020</v>
      </c>
      <c r="M5" s="236" t="s">
        <v>88</v>
      </c>
      <c r="N5" s="236" t="s">
        <v>695</v>
      </c>
      <c r="P5" s="236">
        <v>2021</v>
      </c>
      <c r="Q5" s="92">
        <f ca="1">SUMIF($L$3:$L$83,P5,$H5:$H$83)</f>
        <v>539.29999999999995</v>
      </c>
      <c r="R5" s="92">
        <f t="shared" si="0"/>
        <v>90</v>
      </c>
    </row>
    <row r="6" spans="1:18">
      <c r="A6" s="236">
        <v>4</v>
      </c>
      <c r="B6" s="236" t="s">
        <v>696</v>
      </c>
      <c r="C6" s="236" t="s">
        <v>683</v>
      </c>
      <c r="D6" s="236" t="s">
        <v>697</v>
      </c>
      <c r="E6" s="236">
        <v>489.77</v>
      </c>
      <c r="F6" s="236">
        <v>397.08</v>
      </c>
      <c r="G6" s="236" t="s">
        <v>698</v>
      </c>
      <c r="H6" s="236">
        <v>540</v>
      </c>
      <c r="I6" s="236">
        <v>90</v>
      </c>
      <c r="J6" s="236" t="s">
        <v>699</v>
      </c>
      <c r="K6" s="236" t="s">
        <v>700</v>
      </c>
      <c r="L6" s="236">
        <v>2021</v>
      </c>
      <c r="M6" s="236" t="s">
        <v>88</v>
      </c>
      <c r="N6" s="236" t="s">
        <v>695</v>
      </c>
      <c r="P6" s="236">
        <v>2022</v>
      </c>
      <c r="Q6" s="92">
        <f ca="1">SUMIF($L$3:$L$83,P6,$H6:$H$83)</f>
        <v>2731.2</v>
      </c>
      <c r="R6" s="92">
        <f t="shared" si="0"/>
        <v>33.5</v>
      </c>
    </row>
    <row r="7" spans="1:18">
      <c r="A7" s="236">
        <v>5</v>
      </c>
      <c r="B7" s="236" t="s">
        <v>701</v>
      </c>
      <c r="C7" s="236" t="s">
        <v>683</v>
      </c>
      <c r="D7" s="236" t="s">
        <v>702</v>
      </c>
      <c r="E7" s="236">
        <v>341.41</v>
      </c>
      <c r="F7" s="236">
        <v>54.33</v>
      </c>
      <c r="G7" s="236" t="s">
        <v>703</v>
      </c>
      <c r="H7" s="236">
        <v>180</v>
      </c>
      <c r="I7" s="236"/>
      <c r="J7" s="236" t="s">
        <v>686</v>
      </c>
      <c r="K7" s="236" t="s">
        <v>700</v>
      </c>
      <c r="L7" s="236">
        <v>2021</v>
      </c>
      <c r="M7" s="236" t="s">
        <v>88</v>
      </c>
      <c r="N7" s="236" t="s">
        <v>695</v>
      </c>
      <c r="P7" s="236">
        <v>2024</v>
      </c>
      <c r="Q7" s="92">
        <f ca="1">SUMIF($L$3:$L$83,P7,$H7:$H$83)</f>
        <v>525</v>
      </c>
      <c r="R7" s="92">
        <f t="shared" si="0"/>
        <v>16</v>
      </c>
    </row>
    <row r="8" spans="1:18">
      <c r="A8" s="236">
        <v>6</v>
      </c>
      <c r="B8" s="236" t="s">
        <v>704</v>
      </c>
      <c r="C8" s="236" t="s">
        <v>683</v>
      </c>
      <c r="D8" s="236" t="s">
        <v>705</v>
      </c>
      <c r="E8" s="236" t="s">
        <v>464</v>
      </c>
      <c r="F8" s="236" t="s">
        <v>464</v>
      </c>
      <c r="G8" s="236" t="s">
        <v>706</v>
      </c>
      <c r="H8" s="236">
        <v>396</v>
      </c>
      <c r="I8" s="236"/>
      <c r="J8" s="236" t="s">
        <v>686</v>
      </c>
      <c r="K8" s="236" t="s">
        <v>700</v>
      </c>
      <c r="L8" s="236">
        <v>2021</v>
      </c>
      <c r="M8" s="236" t="s">
        <v>88</v>
      </c>
      <c r="N8" s="236" t="s">
        <v>695</v>
      </c>
      <c r="P8" s="236">
        <v>2027</v>
      </c>
      <c r="Q8" s="92">
        <f ca="1">SUMIF($L$3:$L$83,P8,$H8:$H$83)</f>
        <v>1372</v>
      </c>
      <c r="R8" s="92">
        <f t="shared" si="0"/>
        <v>27</v>
      </c>
    </row>
    <row r="9" spans="1:18">
      <c r="A9" s="236">
        <v>7</v>
      </c>
      <c r="B9" s="236" t="s">
        <v>707</v>
      </c>
      <c r="C9" s="236" t="s">
        <v>708</v>
      </c>
      <c r="D9" s="236" t="s">
        <v>709</v>
      </c>
      <c r="E9" s="236" t="s">
        <v>710</v>
      </c>
      <c r="F9" s="236">
        <v>90.91</v>
      </c>
      <c r="G9" s="236" t="s">
        <v>711</v>
      </c>
      <c r="H9" s="236">
        <v>120</v>
      </c>
      <c r="I9" s="236"/>
      <c r="J9" s="236" t="s">
        <v>686</v>
      </c>
      <c r="K9" s="236" t="s">
        <v>694</v>
      </c>
      <c r="L9" s="236">
        <v>2020</v>
      </c>
      <c r="M9" s="236" t="s">
        <v>88</v>
      </c>
      <c r="N9" s="236" t="s">
        <v>695</v>
      </c>
      <c r="P9" s="236">
        <v>2026</v>
      </c>
      <c r="Q9" s="92">
        <f ca="1">SUMIF($L$3:$L$83,P9,$H9:$H$83)</f>
        <v>200</v>
      </c>
      <c r="R9" s="92">
        <f t="shared" si="0"/>
        <v>15</v>
      </c>
    </row>
    <row r="10" spans="1:18">
      <c r="A10" s="236">
        <v>8</v>
      </c>
      <c r="B10" s="236" t="s">
        <v>712</v>
      </c>
      <c r="C10" s="236" t="s">
        <v>708</v>
      </c>
      <c r="D10" s="236" t="s">
        <v>713</v>
      </c>
      <c r="E10" s="236">
        <v>39.6</v>
      </c>
      <c r="F10" s="236">
        <v>24.63</v>
      </c>
      <c r="G10" s="236" t="s">
        <v>714</v>
      </c>
      <c r="H10" s="236">
        <v>23.3</v>
      </c>
      <c r="I10" s="236"/>
      <c r="J10" s="236" t="s">
        <v>686</v>
      </c>
      <c r="K10" s="236" t="s">
        <v>694</v>
      </c>
      <c r="L10" s="236">
        <v>2020</v>
      </c>
      <c r="M10" s="236" t="s">
        <v>89</v>
      </c>
      <c r="N10" s="236" t="s">
        <v>695</v>
      </c>
      <c r="P10" s="236">
        <v>2023</v>
      </c>
      <c r="Q10" s="92">
        <f ca="1">SUMIF($L$3:$L$83,P10,$H10:$H$83)</f>
        <v>30</v>
      </c>
      <c r="R10" s="92">
        <f t="shared" si="0"/>
        <v>0</v>
      </c>
    </row>
    <row r="11" spans="1:18">
      <c r="A11" s="236">
        <v>9</v>
      </c>
      <c r="B11" s="236" t="s">
        <v>715</v>
      </c>
      <c r="C11" s="236" t="s">
        <v>708</v>
      </c>
      <c r="D11" s="236" t="s">
        <v>716</v>
      </c>
      <c r="E11" s="236">
        <v>31.57</v>
      </c>
      <c r="F11" s="236">
        <v>11.33</v>
      </c>
      <c r="G11" s="236" t="s">
        <v>717</v>
      </c>
      <c r="H11" s="236">
        <v>9</v>
      </c>
      <c r="I11" s="236"/>
      <c r="J11" s="236" t="s">
        <v>686</v>
      </c>
      <c r="K11" s="236" t="s">
        <v>694</v>
      </c>
      <c r="L11" s="236">
        <v>2020</v>
      </c>
      <c r="M11" s="236" t="s">
        <v>89</v>
      </c>
      <c r="N11" s="236" t="s">
        <v>695</v>
      </c>
    </row>
    <row r="12" spans="1:18">
      <c r="A12" s="236">
        <v>10</v>
      </c>
      <c r="B12" s="236" t="s">
        <v>718</v>
      </c>
      <c r="C12" s="236" t="s">
        <v>708</v>
      </c>
      <c r="D12" s="236" t="s">
        <v>719</v>
      </c>
      <c r="E12" s="236">
        <v>384.66</v>
      </c>
      <c r="F12" s="236">
        <v>12.83</v>
      </c>
      <c r="G12" s="236" t="s">
        <v>720</v>
      </c>
      <c r="H12" s="236">
        <v>90</v>
      </c>
      <c r="I12" s="236"/>
      <c r="J12" s="236" t="s">
        <v>686</v>
      </c>
      <c r="K12" s="236" t="s">
        <v>721</v>
      </c>
      <c r="L12" s="236">
        <v>2022</v>
      </c>
      <c r="M12" s="236" t="s">
        <v>4</v>
      </c>
      <c r="N12" s="236" t="s">
        <v>695</v>
      </c>
    </row>
    <row r="13" spans="1:18">
      <c r="A13" s="236">
        <v>11</v>
      </c>
      <c r="B13" s="236" t="s">
        <v>722</v>
      </c>
      <c r="C13" s="236" t="s">
        <v>708</v>
      </c>
      <c r="D13" s="236" t="s">
        <v>723</v>
      </c>
      <c r="E13" s="236">
        <v>152.65</v>
      </c>
      <c r="F13" s="236">
        <v>11.58</v>
      </c>
      <c r="G13" s="236" t="s">
        <v>724</v>
      </c>
      <c r="H13" s="236">
        <v>51</v>
      </c>
      <c r="I13" s="236"/>
      <c r="J13" s="236" t="s">
        <v>686</v>
      </c>
      <c r="K13" s="236" t="s">
        <v>721</v>
      </c>
      <c r="L13" s="236">
        <v>2022</v>
      </c>
      <c r="M13" s="236" t="s">
        <v>4</v>
      </c>
      <c r="N13" s="236" t="s">
        <v>695</v>
      </c>
    </row>
    <row r="14" spans="1:18">
      <c r="A14" s="236">
        <v>12</v>
      </c>
      <c r="B14" s="236" t="s">
        <v>725</v>
      </c>
      <c r="C14" s="236" t="s">
        <v>708</v>
      </c>
      <c r="D14" s="236" t="s">
        <v>726</v>
      </c>
      <c r="E14" s="236">
        <v>132.19999999999999</v>
      </c>
      <c r="F14" s="236">
        <v>105.49</v>
      </c>
      <c r="G14" s="236" t="s">
        <v>727</v>
      </c>
      <c r="H14" s="236">
        <v>300</v>
      </c>
      <c r="I14" s="236"/>
      <c r="J14" s="236" t="s">
        <v>686</v>
      </c>
      <c r="K14" s="236" t="s">
        <v>694</v>
      </c>
      <c r="L14" s="236">
        <v>2020</v>
      </c>
      <c r="M14" s="236" t="s">
        <v>0</v>
      </c>
      <c r="N14" s="236" t="s">
        <v>695</v>
      </c>
    </row>
    <row r="15" spans="1:18">
      <c r="A15" s="236">
        <v>13</v>
      </c>
      <c r="B15" s="236" t="s">
        <v>728</v>
      </c>
      <c r="C15" s="236" t="s">
        <v>708</v>
      </c>
      <c r="D15" s="236" t="s">
        <v>729</v>
      </c>
      <c r="E15" s="236">
        <v>58.8</v>
      </c>
      <c r="F15" s="236">
        <v>35.47</v>
      </c>
      <c r="G15" s="236" t="s">
        <v>730</v>
      </c>
      <c r="H15" s="236">
        <v>99</v>
      </c>
      <c r="I15" s="236"/>
      <c r="J15" s="236" t="s">
        <v>686</v>
      </c>
      <c r="K15" s="236" t="s">
        <v>721</v>
      </c>
      <c r="L15" s="236">
        <v>2022</v>
      </c>
      <c r="M15" s="236" t="s">
        <v>0</v>
      </c>
      <c r="N15" s="236" t="s">
        <v>695</v>
      </c>
    </row>
    <row r="16" spans="1:18">
      <c r="A16" s="236">
        <v>14</v>
      </c>
      <c r="B16" s="236" t="s">
        <v>731</v>
      </c>
      <c r="C16" s="236" t="s">
        <v>708</v>
      </c>
      <c r="D16" s="236" t="s">
        <v>732</v>
      </c>
      <c r="E16" s="236">
        <v>7.3</v>
      </c>
      <c r="F16" s="236">
        <v>4.4800000000000004</v>
      </c>
      <c r="G16" s="236" t="s">
        <v>464</v>
      </c>
      <c r="H16" s="236"/>
      <c r="I16" s="236"/>
      <c r="J16" s="236" t="s">
        <v>691</v>
      </c>
      <c r="K16" s="236" t="s">
        <v>721</v>
      </c>
      <c r="L16" s="236">
        <v>2022</v>
      </c>
      <c r="M16" s="236" t="s">
        <v>8</v>
      </c>
      <c r="N16" s="236" t="s">
        <v>695</v>
      </c>
    </row>
    <row r="17" spans="1:14">
      <c r="A17" s="236">
        <v>15</v>
      </c>
      <c r="B17" s="236" t="s">
        <v>733</v>
      </c>
      <c r="C17" s="236" t="s">
        <v>708</v>
      </c>
      <c r="D17" s="236" t="s">
        <v>734</v>
      </c>
      <c r="E17" s="236">
        <v>114.37</v>
      </c>
      <c r="F17" s="236">
        <v>6.18</v>
      </c>
      <c r="G17" s="236" t="s">
        <v>464</v>
      </c>
      <c r="H17" s="236"/>
      <c r="I17" s="236"/>
      <c r="J17" s="236" t="s">
        <v>691</v>
      </c>
      <c r="K17" s="236" t="s">
        <v>721</v>
      </c>
      <c r="L17" s="236">
        <v>2022</v>
      </c>
      <c r="M17" s="236" t="s">
        <v>8</v>
      </c>
      <c r="N17" s="236" t="s">
        <v>695</v>
      </c>
    </row>
    <row r="18" spans="1:14">
      <c r="A18" s="236">
        <v>16</v>
      </c>
      <c r="B18" s="236" t="s">
        <v>735</v>
      </c>
      <c r="C18" s="236" t="s">
        <v>708</v>
      </c>
      <c r="D18" s="236" t="s">
        <v>736</v>
      </c>
      <c r="E18" s="236">
        <v>22.17</v>
      </c>
      <c r="F18" s="236">
        <v>14.34</v>
      </c>
      <c r="G18" s="236" t="s">
        <v>464</v>
      </c>
      <c r="H18" s="236"/>
      <c r="I18" s="236"/>
      <c r="J18" s="236" t="s">
        <v>691</v>
      </c>
      <c r="K18" s="236" t="s">
        <v>694</v>
      </c>
      <c r="L18" s="236">
        <v>2020</v>
      </c>
      <c r="M18" s="236" t="s">
        <v>15</v>
      </c>
      <c r="N18" s="236" t="s">
        <v>695</v>
      </c>
    </row>
    <row r="19" spans="1:14">
      <c r="A19" s="236">
        <v>17</v>
      </c>
      <c r="B19" s="236" t="s">
        <v>737</v>
      </c>
      <c r="C19" s="236" t="s">
        <v>708</v>
      </c>
      <c r="D19" s="236" t="s">
        <v>738</v>
      </c>
      <c r="E19" s="236">
        <v>30.99</v>
      </c>
      <c r="F19" s="236">
        <v>2</v>
      </c>
      <c r="G19" s="236" t="s">
        <v>464</v>
      </c>
      <c r="H19" s="236"/>
      <c r="I19" s="236"/>
      <c r="J19" s="236" t="s">
        <v>691</v>
      </c>
      <c r="K19" s="236" t="s">
        <v>694</v>
      </c>
      <c r="L19" s="236">
        <v>2020</v>
      </c>
      <c r="M19" s="236" t="s">
        <v>15</v>
      </c>
      <c r="N19" s="236" t="s">
        <v>695</v>
      </c>
    </row>
    <row r="20" spans="1:14">
      <c r="A20" s="236">
        <v>18</v>
      </c>
      <c r="B20" s="236" t="s">
        <v>739</v>
      </c>
      <c r="C20" s="236" t="s">
        <v>708</v>
      </c>
      <c r="D20" s="236" t="s">
        <v>740</v>
      </c>
      <c r="E20" s="236">
        <v>31.05</v>
      </c>
      <c r="F20" s="236">
        <v>25.25</v>
      </c>
      <c r="G20" s="236" t="s">
        <v>464</v>
      </c>
      <c r="H20" s="236"/>
      <c r="I20" s="236"/>
      <c r="J20" s="236" t="s">
        <v>691</v>
      </c>
      <c r="K20" s="236" t="s">
        <v>694</v>
      </c>
      <c r="L20" s="236">
        <v>2020</v>
      </c>
      <c r="M20" s="236" t="s">
        <v>11</v>
      </c>
      <c r="N20" s="236" t="s">
        <v>695</v>
      </c>
    </row>
    <row r="21" spans="1:14">
      <c r="A21" s="236">
        <v>19</v>
      </c>
      <c r="B21" s="236" t="s">
        <v>741</v>
      </c>
      <c r="C21" s="236" t="s">
        <v>708</v>
      </c>
      <c r="D21" s="236" t="s">
        <v>742</v>
      </c>
      <c r="E21" s="236">
        <v>4.5999999999999996</v>
      </c>
      <c r="F21" s="236" t="s">
        <v>464</v>
      </c>
      <c r="G21" s="236" t="s">
        <v>464</v>
      </c>
      <c r="H21" s="236"/>
      <c r="I21" s="236"/>
      <c r="J21" s="236" t="s">
        <v>691</v>
      </c>
      <c r="K21" s="236" t="s">
        <v>694</v>
      </c>
      <c r="L21" s="236">
        <v>2020</v>
      </c>
      <c r="M21" s="236" t="s">
        <v>11</v>
      </c>
      <c r="N21" s="236" t="s">
        <v>695</v>
      </c>
    </row>
    <row r="22" spans="1:14">
      <c r="A22" s="236">
        <v>20</v>
      </c>
      <c r="B22" s="236" t="s">
        <v>743</v>
      </c>
      <c r="C22" s="236" t="s">
        <v>708</v>
      </c>
      <c r="D22" s="236" t="s">
        <v>744</v>
      </c>
      <c r="E22" s="236">
        <v>222</v>
      </c>
      <c r="F22" s="236" t="s">
        <v>464</v>
      </c>
      <c r="G22" s="236" t="s">
        <v>464</v>
      </c>
      <c r="H22" s="236"/>
      <c r="I22" s="236"/>
      <c r="J22" s="236" t="s">
        <v>691</v>
      </c>
      <c r="K22" s="236" t="s">
        <v>721</v>
      </c>
      <c r="L22" s="236">
        <v>2022</v>
      </c>
      <c r="M22" s="236" t="s">
        <v>11</v>
      </c>
      <c r="N22" s="236" t="s">
        <v>695</v>
      </c>
    </row>
    <row r="23" spans="1:14">
      <c r="A23" s="236">
        <v>21</v>
      </c>
      <c r="B23" s="236" t="s">
        <v>745</v>
      </c>
      <c r="C23" s="236" t="s">
        <v>708</v>
      </c>
      <c r="D23" s="236" t="s">
        <v>746</v>
      </c>
      <c r="E23" s="236">
        <v>146.41</v>
      </c>
      <c r="F23" s="236" t="s">
        <v>464</v>
      </c>
      <c r="G23" s="236" t="s">
        <v>747</v>
      </c>
      <c r="H23" s="236">
        <v>42</v>
      </c>
      <c r="I23" s="236"/>
      <c r="J23" s="236" t="s">
        <v>686</v>
      </c>
      <c r="K23" s="236" t="s">
        <v>721</v>
      </c>
      <c r="L23" s="236">
        <v>2022</v>
      </c>
      <c r="M23" s="236" t="s">
        <v>11</v>
      </c>
      <c r="N23" s="236" t="s">
        <v>695</v>
      </c>
    </row>
    <row r="24" spans="1:14">
      <c r="A24" s="236">
        <v>22</v>
      </c>
      <c r="B24" s="236" t="s">
        <v>748</v>
      </c>
      <c r="C24" s="236" t="s">
        <v>708</v>
      </c>
      <c r="D24" s="236" t="s">
        <v>749</v>
      </c>
      <c r="E24" s="236">
        <v>199.55</v>
      </c>
      <c r="F24" s="236">
        <v>45.24</v>
      </c>
      <c r="G24" s="236" t="s">
        <v>750</v>
      </c>
      <c r="H24" s="236">
        <v>54</v>
      </c>
      <c r="I24" s="236"/>
      <c r="J24" s="236" t="s">
        <v>686</v>
      </c>
      <c r="K24" s="236" t="s">
        <v>694</v>
      </c>
      <c r="L24" s="236">
        <v>2020</v>
      </c>
      <c r="M24" s="236" t="s">
        <v>12</v>
      </c>
      <c r="N24" s="236" t="s">
        <v>695</v>
      </c>
    </row>
    <row r="25" spans="1:14">
      <c r="A25" s="236">
        <v>23</v>
      </c>
      <c r="B25" s="236" t="s">
        <v>751</v>
      </c>
      <c r="C25" s="236" t="s">
        <v>708</v>
      </c>
      <c r="D25" s="236" t="s">
        <v>752</v>
      </c>
      <c r="E25" s="236">
        <v>89.9</v>
      </c>
      <c r="F25" s="236">
        <v>36.950000000000003</v>
      </c>
      <c r="G25" s="236" t="s">
        <v>464</v>
      </c>
      <c r="H25" s="236"/>
      <c r="I25" s="236"/>
      <c r="J25" s="236" t="s">
        <v>691</v>
      </c>
      <c r="K25" s="236" t="s">
        <v>694</v>
      </c>
      <c r="L25" s="236">
        <v>2020</v>
      </c>
      <c r="M25" s="236" t="s">
        <v>12</v>
      </c>
      <c r="N25" s="236" t="s">
        <v>695</v>
      </c>
    </row>
    <row r="26" spans="1:14">
      <c r="A26" s="236">
        <v>24</v>
      </c>
      <c r="B26" s="236" t="s">
        <v>753</v>
      </c>
      <c r="C26" s="236" t="s">
        <v>708</v>
      </c>
      <c r="D26" s="236" t="s">
        <v>754</v>
      </c>
      <c r="E26" s="236">
        <v>90.44</v>
      </c>
      <c r="F26" s="236">
        <v>42.17</v>
      </c>
      <c r="G26" s="236" t="s">
        <v>755</v>
      </c>
      <c r="H26" s="236">
        <v>70</v>
      </c>
      <c r="I26" s="236">
        <v>14</v>
      </c>
      <c r="J26" s="236" t="s">
        <v>699</v>
      </c>
      <c r="K26" s="236" t="s">
        <v>694</v>
      </c>
      <c r="L26" s="236">
        <v>2020</v>
      </c>
      <c r="M26" s="236" t="s">
        <v>13</v>
      </c>
      <c r="N26" s="236" t="s">
        <v>695</v>
      </c>
    </row>
    <row r="27" spans="1:14">
      <c r="A27" s="236">
        <v>25</v>
      </c>
      <c r="B27" s="236" t="s">
        <v>756</v>
      </c>
      <c r="C27" s="236" t="s">
        <v>708</v>
      </c>
      <c r="D27" s="236" t="s">
        <v>757</v>
      </c>
      <c r="E27" s="236">
        <v>21.83</v>
      </c>
      <c r="F27" s="236" t="s">
        <v>464</v>
      </c>
      <c r="G27" s="236" t="s">
        <v>464</v>
      </c>
      <c r="H27" s="236"/>
      <c r="I27" s="236"/>
      <c r="J27" s="236" t="s">
        <v>691</v>
      </c>
      <c r="K27" s="236" t="s">
        <v>700</v>
      </c>
      <c r="L27" s="236">
        <v>2021</v>
      </c>
      <c r="M27" s="236" t="s">
        <v>9</v>
      </c>
      <c r="N27" s="236" t="s">
        <v>695</v>
      </c>
    </row>
    <row r="28" spans="1:14">
      <c r="A28" s="236">
        <v>26</v>
      </c>
      <c r="B28" s="236" t="s">
        <v>758</v>
      </c>
      <c r="C28" s="236" t="s">
        <v>708</v>
      </c>
      <c r="D28" s="236" t="s">
        <v>759</v>
      </c>
      <c r="E28" s="236">
        <v>3.12</v>
      </c>
      <c r="F28" s="236">
        <v>0.36</v>
      </c>
      <c r="G28" s="236" t="s">
        <v>464</v>
      </c>
      <c r="H28" s="236"/>
      <c r="I28" s="236"/>
      <c r="J28" s="236" t="s">
        <v>691</v>
      </c>
      <c r="K28" s="236" t="s">
        <v>721</v>
      </c>
      <c r="L28" s="236">
        <v>2022</v>
      </c>
      <c r="M28" s="236" t="s">
        <v>9</v>
      </c>
      <c r="N28" s="236" t="s">
        <v>695</v>
      </c>
    </row>
    <row r="29" spans="1:14">
      <c r="A29" s="236">
        <v>27</v>
      </c>
      <c r="B29" s="236" t="s">
        <v>760</v>
      </c>
      <c r="C29" s="236" t="s">
        <v>708</v>
      </c>
      <c r="D29" s="236" t="s">
        <v>761</v>
      </c>
      <c r="E29" s="236">
        <v>13.36</v>
      </c>
      <c r="F29" s="236" t="s">
        <v>464</v>
      </c>
      <c r="G29" s="236" t="s">
        <v>464</v>
      </c>
      <c r="H29" s="236"/>
      <c r="I29" s="236"/>
      <c r="J29" s="236" t="s">
        <v>691</v>
      </c>
      <c r="K29" s="236" t="s">
        <v>721</v>
      </c>
      <c r="L29" s="236">
        <v>2022</v>
      </c>
      <c r="M29" s="236" t="s">
        <v>9</v>
      </c>
      <c r="N29" s="236" t="s">
        <v>695</v>
      </c>
    </row>
    <row r="30" spans="1:14">
      <c r="A30" s="236">
        <v>28</v>
      </c>
      <c r="B30" s="236" t="s">
        <v>762</v>
      </c>
      <c r="C30" s="236" t="s">
        <v>708</v>
      </c>
      <c r="D30" s="236" t="s">
        <v>763</v>
      </c>
      <c r="E30" s="236">
        <v>4.97</v>
      </c>
      <c r="F30" s="236" t="s">
        <v>464</v>
      </c>
      <c r="G30" s="236" t="s">
        <v>464</v>
      </c>
      <c r="H30" s="236"/>
      <c r="I30" s="236"/>
      <c r="J30" s="236" t="s">
        <v>691</v>
      </c>
      <c r="K30" s="236" t="s">
        <v>721</v>
      </c>
      <c r="L30" s="236">
        <v>2022</v>
      </c>
      <c r="M30" s="236" t="s">
        <v>9</v>
      </c>
      <c r="N30" s="236" t="s">
        <v>695</v>
      </c>
    </row>
    <row r="31" spans="1:14">
      <c r="A31" s="236">
        <v>29</v>
      </c>
      <c r="B31" s="236" t="s">
        <v>764</v>
      </c>
      <c r="C31" s="236" t="s">
        <v>708</v>
      </c>
      <c r="D31" s="236" t="s">
        <v>765</v>
      </c>
      <c r="E31" s="236">
        <v>158.77000000000001</v>
      </c>
      <c r="F31" s="236">
        <v>68.319999999999993</v>
      </c>
      <c r="G31" s="236" t="s">
        <v>766</v>
      </c>
      <c r="H31" s="236">
        <v>74</v>
      </c>
      <c r="I31" s="236">
        <v>12.2</v>
      </c>
      <c r="J31" s="236" t="s">
        <v>699</v>
      </c>
      <c r="K31" s="236" t="s">
        <v>694</v>
      </c>
      <c r="L31" s="236">
        <v>2020</v>
      </c>
      <c r="M31" s="236" t="s">
        <v>16</v>
      </c>
      <c r="N31" s="236" t="s">
        <v>695</v>
      </c>
    </row>
    <row r="32" spans="1:14">
      <c r="A32" s="236">
        <v>30</v>
      </c>
      <c r="B32" s="236" t="s">
        <v>767</v>
      </c>
      <c r="C32" s="236" t="s">
        <v>708</v>
      </c>
      <c r="D32" s="236" t="s">
        <v>768</v>
      </c>
      <c r="E32" s="236">
        <v>65.67</v>
      </c>
      <c r="F32" s="236">
        <v>35.01</v>
      </c>
      <c r="G32" s="236" t="s">
        <v>769</v>
      </c>
      <c r="H32" s="236">
        <v>24</v>
      </c>
      <c r="I32" s="236"/>
      <c r="J32" s="236" t="s">
        <v>686</v>
      </c>
      <c r="K32" s="236" t="s">
        <v>694</v>
      </c>
      <c r="L32" s="236">
        <v>2020</v>
      </c>
      <c r="M32" s="236" t="s">
        <v>16</v>
      </c>
      <c r="N32" s="236" t="s">
        <v>695</v>
      </c>
    </row>
    <row r="33" spans="1:14">
      <c r="A33" s="236">
        <v>31</v>
      </c>
      <c r="B33" s="236" t="s">
        <v>770</v>
      </c>
      <c r="C33" s="236" t="s">
        <v>708</v>
      </c>
      <c r="D33" s="236" t="s">
        <v>771</v>
      </c>
      <c r="E33" s="236">
        <v>382.91</v>
      </c>
      <c r="F33" s="236">
        <v>18.16</v>
      </c>
      <c r="G33" s="236" t="s">
        <v>772</v>
      </c>
      <c r="H33" s="236">
        <v>360</v>
      </c>
      <c r="I33" s="236"/>
      <c r="J33" s="236" t="s">
        <v>686</v>
      </c>
      <c r="K33" s="236" t="s">
        <v>721</v>
      </c>
      <c r="L33" s="236">
        <v>2022</v>
      </c>
      <c r="M33" s="236" t="s">
        <v>16</v>
      </c>
      <c r="N33" s="236" t="s">
        <v>695</v>
      </c>
    </row>
    <row r="34" spans="1:14">
      <c r="A34" s="236">
        <v>32</v>
      </c>
      <c r="B34" s="236" t="s">
        <v>773</v>
      </c>
      <c r="C34" s="236" t="s">
        <v>708</v>
      </c>
      <c r="D34" s="236" t="s">
        <v>774</v>
      </c>
      <c r="E34" s="236">
        <v>139.80000000000001</v>
      </c>
      <c r="F34" s="236" t="s">
        <v>464</v>
      </c>
      <c r="G34" s="236" t="s">
        <v>775</v>
      </c>
      <c r="H34" s="236">
        <v>60</v>
      </c>
      <c r="I34" s="236"/>
      <c r="J34" s="236" t="s">
        <v>686</v>
      </c>
      <c r="K34" s="236" t="s">
        <v>700</v>
      </c>
      <c r="L34" s="236">
        <v>2021</v>
      </c>
      <c r="M34" s="236" t="s">
        <v>88</v>
      </c>
      <c r="N34" s="236" t="s">
        <v>776</v>
      </c>
    </row>
    <row r="35" spans="1:14">
      <c r="A35" s="236">
        <v>33</v>
      </c>
      <c r="B35" s="236" t="s">
        <v>777</v>
      </c>
      <c r="C35" s="236" t="s">
        <v>683</v>
      </c>
      <c r="D35" s="236" t="s">
        <v>690</v>
      </c>
      <c r="E35" s="236">
        <v>23</v>
      </c>
      <c r="F35" s="236" t="s">
        <v>464</v>
      </c>
      <c r="G35" s="236" t="s">
        <v>464</v>
      </c>
      <c r="H35" s="236"/>
      <c r="I35" s="236"/>
      <c r="J35" s="236" t="s">
        <v>691</v>
      </c>
      <c r="K35" s="236" t="s">
        <v>694</v>
      </c>
      <c r="L35" s="236">
        <v>2020</v>
      </c>
      <c r="M35" s="236" t="s">
        <v>88</v>
      </c>
      <c r="N35" s="236" t="s">
        <v>776</v>
      </c>
    </row>
    <row r="36" spans="1:14">
      <c r="A36" s="236">
        <v>34</v>
      </c>
      <c r="B36" s="236" t="s">
        <v>778</v>
      </c>
      <c r="C36" s="236" t="s">
        <v>708</v>
      </c>
      <c r="D36" s="236" t="s">
        <v>779</v>
      </c>
      <c r="E36" s="236">
        <v>136.07</v>
      </c>
      <c r="F36" s="236">
        <v>30.71</v>
      </c>
      <c r="G36" s="236" t="s">
        <v>464</v>
      </c>
      <c r="H36" s="236"/>
      <c r="I36" s="236"/>
      <c r="J36" s="236" t="s">
        <v>691</v>
      </c>
      <c r="K36" s="236" t="s">
        <v>694</v>
      </c>
      <c r="L36" s="236">
        <v>2020</v>
      </c>
      <c r="M36" s="236" t="s">
        <v>1</v>
      </c>
      <c r="N36" s="236" t="s">
        <v>776</v>
      </c>
    </row>
    <row r="37" spans="1:14">
      <c r="A37" s="236">
        <v>35</v>
      </c>
      <c r="B37" s="236" t="s">
        <v>780</v>
      </c>
      <c r="C37" s="236" t="s">
        <v>708</v>
      </c>
      <c r="D37" s="236" t="s">
        <v>781</v>
      </c>
      <c r="E37" s="236">
        <v>48</v>
      </c>
      <c r="F37" s="236">
        <v>1.6</v>
      </c>
      <c r="G37" s="236" t="s">
        <v>464</v>
      </c>
      <c r="H37" s="236"/>
      <c r="I37" s="236"/>
      <c r="J37" s="236" t="s">
        <v>691</v>
      </c>
      <c r="K37" s="236" t="s">
        <v>700</v>
      </c>
      <c r="L37" s="236">
        <v>2021</v>
      </c>
      <c r="M37" s="236" t="s">
        <v>1</v>
      </c>
      <c r="N37" s="236" t="s">
        <v>776</v>
      </c>
    </row>
    <row r="38" spans="1:14">
      <c r="A38" s="236">
        <v>36</v>
      </c>
      <c r="B38" s="236" t="s">
        <v>782</v>
      </c>
      <c r="C38" s="236" t="s">
        <v>708</v>
      </c>
      <c r="D38" s="236" t="s">
        <v>783</v>
      </c>
      <c r="E38" s="236">
        <v>37.81</v>
      </c>
      <c r="F38" s="236">
        <v>19.71</v>
      </c>
      <c r="G38" s="236" t="s">
        <v>464</v>
      </c>
      <c r="H38" s="236"/>
      <c r="I38" s="236"/>
      <c r="J38" s="236" t="s">
        <v>691</v>
      </c>
      <c r="K38" s="236" t="s">
        <v>694</v>
      </c>
      <c r="L38" s="236">
        <v>2020</v>
      </c>
      <c r="M38" s="236" t="s">
        <v>1</v>
      </c>
      <c r="N38" s="236" t="s">
        <v>776</v>
      </c>
    </row>
    <row r="39" spans="1:14">
      <c r="A39" s="236">
        <v>37</v>
      </c>
      <c r="B39" s="236" t="s">
        <v>784</v>
      </c>
      <c r="C39" s="236" t="s">
        <v>708</v>
      </c>
      <c r="D39" s="236" t="s">
        <v>785</v>
      </c>
      <c r="E39" s="236">
        <v>23.55</v>
      </c>
      <c r="F39" s="236" t="s">
        <v>464</v>
      </c>
      <c r="G39" s="236" t="s">
        <v>464</v>
      </c>
      <c r="H39" s="236"/>
      <c r="I39" s="236"/>
      <c r="J39" s="236" t="s">
        <v>691</v>
      </c>
      <c r="K39" s="236" t="s">
        <v>694</v>
      </c>
      <c r="L39" s="236">
        <v>2020</v>
      </c>
      <c r="M39" s="236" t="s">
        <v>1</v>
      </c>
      <c r="N39" s="236" t="s">
        <v>776</v>
      </c>
    </row>
    <row r="40" spans="1:14">
      <c r="A40" s="236">
        <v>38</v>
      </c>
      <c r="B40" s="236" t="s">
        <v>786</v>
      </c>
      <c r="C40" s="236" t="s">
        <v>708</v>
      </c>
      <c r="D40" s="236" t="s">
        <v>787</v>
      </c>
      <c r="E40" s="236">
        <v>43.11</v>
      </c>
      <c r="F40" s="236" t="s">
        <v>464</v>
      </c>
      <c r="G40" s="236" t="s">
        <v>464</v>
      </c>
      <c r="H40" s="236"/>
      <c r="I40" s="236"/>
      <c r="J40" s="236" t="s">
        <v>691</v>
      </c>
      <c r="K40" s="236" t="s">
        <v>694</v>
      </c>
      <c r="L40" s="236">
        <v>2020</v>
      </c>
      <c r="M40" s="236" t="s">
        <v>1</v>
      </c>
      <c r="N40" s="236" t="s">
        <v>776</v>
      </c>
    </row>
    <row r="41" spans="1:14">
      <c r="A41" s="236">
        <v>39</v>
      </c>
      <c r="B41" s="236" t="s">
        <v>788</v>
      </c>
      <c r="C41" s="236" t="s">
        <v>708</v>
      </c>
      <c r="D41" s="236" t="s">
        <v>789</v>
      </c>
      <c r="E41" s="236">
        <v>490.56</v>
      </c>
      <c r="F41" s="236" t="s">
        <v>464</v>
      </c>
      <c r="G41" s="236" t="s">
        <v>790</v>
      </c>
      <c r="H41" s="236">
        <v>144</v>
      </c>
      <c r="I41" s="236">
        <v>12</v>
      </c>
      <c r="J41" s="236" t="s">
        <v>699</v>
      </c>
      <c r="K41" s="236" t="s">
        <v>721</v>
      </c>
      <c r="L41" s="236">
        <v>2022</v>
      </c>
      <c r="M41" s="236" t="s">
        <v>4</v>
      </c>
      <c r="N41" s="236" t="s">
        <v>776</v>
      </c>
    </row>
    <row r="42" spans="1:14">
      <c r="A42" s="236">
        <v>40</v>
      </c>
      <c r="B42" s="236" t="s">
        <v>791</v>
      </c>
      <c r="C42" s="236" t="s">
        <v>708</v>
      </c>
      <c r="D42" s="236" t="s">
        <v>792</v>
      </c>
      <c r="E42" s="236">
        <v>455.2</v>
      </c>
      <c r="F42" s="236" t="s">
        <v>464</v>
      </c>
      <c r="G42" s="236" t="s">
        <v>793</v>
      </c>
      <c r="H42" s="236">
        <v>298</v>
      </c>
      <c r="I42" s="236"/>
      <c r="J42" s="236" t="s">
        <v>686</v>
      </c>
      <c r="K42" s="236" t="s">
        <v>721</v>
      </c>
      <c r="L42" s="236">
        <v>2022</v>
      </c>
      <c r="M42" s="236" t="s">
        <v>4</v>
      </c>
      <c r="N42" s="236" t="s">
        <v>776</v>
      </c>
    </row>
    <row r="43" spans="1:14">
      <c r="A43" s="236">
        <v>41</v>
      </c>
      <c r="B43" s="236" t="s">
        <v>794</v>
      </c>
      <c r="C43" s="236" t="s">
        <v>708</v>
      </c>
      <c r="D43" s="236" t="s">
        <v>795</v>
      </c>
      <c r="E43" s="236">
        <v>137.31</v>
      </c>
      <c r="F43" s="236" t="s">
        <v>464</v>
      </c>
      <c r="G43" s="236" t="s">
        <v>796</v>
      </c>
      <c r="H43" s="236">
        <v>33.75</v>
      </c>
      <c r="I43" s="236"/>
      <c r="J43" s="236" t="s">
        <v>686</v>
      </c>
      <c r="K43" s="236" t="s">
        <v>721</v>
      </c>
      <c r="L43" s="236">
        <v>2022</v>
      </c>
      <c r="M43" s="236" t="s">
        <v>4</v>
      </c>
      <c r="N43" s="236" t="s">
        <v>776</v>
      </c>
    </row>
    <row r="44" spans="1:14">
      <c r="A44" s="236">
        <v>42</v>
      </c>
      <c r="B44" s="236" t="s">
        <v>797</v>
      </c>
      <c r="C44" s="236" t="s">
        <v>708</v>
      </c>
      <c r="D44" s="236" t="s">
        <v>798</v>
      </c>
      <c r="E44" s="236">
        <v>44.47</v>
      </c>
      <c r="F44" s="236" t="s">
        <v>464</v>
      </c>
      <c r="G44" s="236" t="s">
        <v>799</v>
      </c>
      <c r="H44" s="236">
        <v>150</v>
      </c>
      <c r="I44" s="236"/>
      <c r="J44" s="236" t="s">
        <v>686</v>
      </c>
      <c r="K44" s="236" t="s">
        <v>721</v>
      </c>
      <c r="L44" s="236">
        <v>2022</v>
      </c>
      <c r="M44" s="236" t="s">
        <v>11</v>
      </c>
      <c r="N44" s="236" t="s">
        <v>776</v>
      </c>
    </row>
    <row r="45" spans="1:14">
      <c r="A45" s="236">
        <v>43</v>
      </c>
      <c r="B45" s="236" t="s">
        <v>800</v>
      </c>
      <c r="C45" s="236" t="s">
        <v>708</v>
      </c>
      <c r="D45" s="236" t="s">
        <v>709</v>
      </c>
      <c r="E45" s="236">
        <v>50.6</v>
      </c>
      <c r="F45" s="236" t="s">
        <v>464</v>
      </c>
      <c r="G45" s="236" t="s">
        <v>711</v>
      </c>
      <c r="H45" s="236">
        <v>120</v>
      </c>
      <c r="I45" s="236"/>
      <c r="J45" s="236" t="s">
        <v>686</v>
      </c>
      <c r="K45" s="236" t="s">
        <v>721</v>
      </c>
      <c r="L45" s="236">
        <v>2022</v>
      </c>
      <c r="M45" s="236" t="s">
        <v>11</v>
      </c>
      <c r="N45" s="236" t="s">
        <v>776</v>
      </c>
    </row>
    <row r="46" spans="1:14">
      <c r="A46" s="236">
        <v>44</v>
      </c>
      <c r="B46" s="236" t="s">
        <v>801</v>
      </c>
      <c r="C46" s="236" t="s">
        <v>708</v>
      </c>
      <c r="D46" s="236" t="s">
        <v>802</v>
      </c>
      <c r="E46" s="236">
        <v>56.2</v>
      </c>
      <c r="F46" s="236" t="s">
        <v>464</v>
      </c>
      <c r="G46" s="236" t="s">
        <v>803</v>
      </c>
      <c r="H46" s="236">
        <v>55</v>
      </c>
      <c r="I46" s="236"/>
      <c r="J46" s="236" t="s">
        <v>686</v>
      </c>
      <c r="K46" s="236" t="s">
        <v>721</v>
      </c>
      <c r="L46" s="236">
        <v>2022</v>
      </c>
      <c r="M46" s="236" t="s">
        <v>11</v>
      </c>
      <c r="N46" s="236" t="s">
        <v>776</v>
      </c>
    </row>
    <row r="47" spans="1:14">
      <c r="A47" s="236">
        <v>45</v>
      </c>
      <c r="B47" s="236" t="s">
        <v>804</v>
      </c>
      <c r="C47" s="236" t="s">
        <v>708</v>
      </c>
      <c r="D47" s="236" t="s">
        <v>734</v>
      </c>
      <c r="E47" s="236">
        <v>59.66</v>
      </c>
      <c r="F47" s="236" t="s">
        <v>464</v>
      </c>
      <c r="G47" s="236" t="s">
        <v>805</v>
      </c>
      <c r="H47" s="236">
        <v>240</v>
      </c>
      <c r="I47" s="236"/>
      <c r="J47" s="236" t="s">
        <v>686</v>
      </c>
      <c r="K47" s="236" t="s">
        <v>721</v>
      </c>
      <c r="L47" s="236">
        <v>2022</v>
      </c>
      <c r="M47" s="236" t="s">
        <v>11</v>
      </c>
      <c r="N47" s="236" t="s">
        <v>776</v>
      </c>
    </row>
    <row r="48" spans="1:14">
      <c r="A48" s="236">
        <v>46</v>
      </c>
      <c r="B48" s="236" t="s">
        <v>806</v>
      </c>
      <c r="C48" s="236" t="s">
        <v>708</v>
      </c>
      <c r="D48" s="236" t="s">
        <v>807</v>
      </c>
      <c r="E48" s="236">
        <v>377.41</v>
      </c>
      <c r="F48" s="236" t="s">
        <v>464</v>
      </c>
      <c r="G48" s="236" t="s">
        <v>808</v>
      </c>
      <c r="H48" s="236">
        <v>75</v>
      </c>
      <c r="I48" s="236">
        <v>7.5</v>
      </c>
      <c r="J48" s="236" t="s">
        <v>699</v>
      </c>
      <c r="K48" s="236" t="s">
        <v>721</v>
      </c>
      <c r="L48" s="236">
        <v>2022</v>
      </c>
      <c r="M48" s="236" t="s">
        <v>12</v>
      </c>
      <c r="N48" s="236" t="s">
        <v>776</v>
      </c>
    </row>
    <row r="49" spans="1:14">
      <c r="A49" s="236">
        <v>47</v>
      </c>
      <c r="B49" s="236" t="s">
        <v>809</v>
      </c>
      <c r="C49" s="236" t="s">
        <v>683</v>
      </c>
      <c r="D49" s="236" t="s">
        <v>810</v>
      </c>
      <c r="E49" s="236">
        <v>48.92</v>
      </c>
      <c r="F49" s="236">
        <v>2.19</v>
      </c>
      <c r="G49" s="236" t="s">
        <v>811</v>
      </c>
      <c r="H49" s="236">
        <v>40</v>
      </c>
      <c r="I49" s="236">
        <v>8</v>
      </c>
      <c r="J49" s="236" t="s">
        <v>699</v>
      </c>
      <c r="K49" s="236" t="s">
        <v>721</v>
      </c>
      <c r="L49" s="236">
        <v>2022</v>
      </c>
      <c r="M49" s="236" t="s">
        <v>20</v>
      </c>
      <c r="N49" s="236" t="s">
        <v>776</v>
      </c>
    </row>
    <row r="50" spans="1:14">
      <c r="A50" s="236">
        <v>48</v>
      </c>
      <c r="B50" s="236" t="s">
        <v>812</v>
      </c>
      <c r="C50" s="236" t="s">
        <v>708</v>
      </c>
      <c r="D50" s="236" t="s">
        <v>774</v>
      </c>
      <c r="E50" s="236">
        <v>408</v>
      </c>
      <c r="F50" s="236" t="s">
        <v>464</v>
      </c>
      <c r="G50" s="236" t="s">
        <v>813</v>
      </c>
      <c r="H50" s="236">
        <v>60</v>
      </c>
      <c r="I50" s="236">
        <v>6</v>
      </c>
      <c r="J50" s="236" t="s">
        <v>699</v>
      </c>
      <c r="K50" s="236" t="s">
        <v>721</v>
      </c>
      <c r="L50" s="236">
        <v>2022</v>
      </c>
      <c r="M50" s="236" t="s">
        <v>90</v>
      </c>
      <c r="N50" s="236" t="s">
        <v>776</v>
      </c>
    </row>
    <row r="51" spans="1:14">
      <c r="A51" s="236">
        <v>49</v>
      </c>
      <c r="B51" s="236" t="s">
        <v>814</v>
      </c>
      <c r="C51" s="236" t="s">
        <v>708</v>
      </c>
      <c r="D51" s="236" t="s">
        <v>815</v>
      </c>
      <c r="E51" s="236">
        <v>97</v>
      </c>
      <c r="F51" s="236" t="s">
        <v>464</v>
      </c>
      <c r="G51" s="236" t="s">
        <v>816</v>
      </c>
      <c r="H51" s="236">
        <v>139.19999999999999</v>
      </c>
      <c r="I51" s="236"/>
      <c r="J51" s="236" t="s">
        <v>686</v>
      </c>
      <c r="K51" s="236" t="s">
        <v>721</v>
      </c>
      <c r="L51" s="236">
        <v>2022</v>
      </c>
      <c r="M51" s="236" t="s">
        <v>11</v>
      </c>
      <c r="N51" s="236" t="s">
        <v>817</v>
      </c>
    </row>
    <row r="52" spans="1:14">
      <c r="A52" s="236">
        <v>50</v>
      </c>
      <c r="B52" s="236" t="s">
        <v>818</v>
      </c>
      <c r="C52" s="236" t="s">
        <v>708</v>
      </c>
      <c r="D52" s="236" t="s">
        <v>819</v>
      </c>
      <c r="E52" s="236">
        <v>47.91</v>
      </c>
      <c r="F52" s="236" t="s">
        <v>464</v>
      </c>
      <c r="G52" s="236" t="s">
        <v>820</v>
      </c>
      <c r="H52" s="236">
        <v>100</v>
      </c>
      <c r="I52" s="236"/>
      <c r="J52" s="236" t="s">
        <v>686</v>
      </c>
      <c r="K52" s="236" t="s">
        <v>721</v>
      </c>
      <c r="L52" s="236">
        <v>2022</v>
      </c>
      <c r="M52" s="236" t="s">
        <v>11</v>
      </c>
      <c r="N52" s="236" t="s">
        <v>817</v>
      </c>
    </row>
    <row r="53" spans="1:14">
      <c r="A53" s="236">
        <v>51</v>
      </c>
      <c r="B53" s="236" t="s">
        <v>821</v>
      </c>
      <c r="C53" s="236" t="s">
        <v>708</v>
      </c>
      <c r="D53" s="236" t="s">
        <v>822</v>
      </c>
      <c r="E53" s="236">
        <v>196.56</v>
      </c>
      <c r="F53" s="236">
        <v>11.07</v>
      </c>
      <c r="G53" s="236" t="s">
        <v>823</v>
      </c>
      <c r="H53" s="236">
        <v>1035</v>
      </c>
      <c r="I53" s="236"/>
      <c r="J53" s="236" t="s">
        <v>686</v>
      </c>
      <c r="K53" s="236" t="s">
        <v>721</v>
      </c>
      <c r="L53" s="236">
        <v>2022</v>
      </c>
      <c r="M53" s="236" t="s">
        <v>11</v>
      </c>
      <c r="N53" s="236" t="s">
        <v>817</v>
      </c>
    </row>
    <row r="54" spans="1:14">
      <c r="A54" s="236">
        <v>52</v>
      </c>
      <c r="B54" s="236" t="s">
        <v>824</v>
      </c>
      <c r="C54" s="236" t="s">
        <v>683</v>
      </c>
      <c r="D54" s="236" t="s">
        <v>825</v>
      </c>
      <c r="E54" s="236">
        <v>56.03</v>
      </c>
      <c r="F54" s="236">
        <v>7.76</v>
      </c>
      <c r="G54" s="236" t="s">
        <v>826</v>
      </c>
      <c r="H54" s="236">
        <v>40</v>
      </c>
      <c r="I54" s="236"/>
      <c r="J54" s="236" t="s">
        <v>686</v>
      </c>
      <c r="K54" s="236" t="s">
        <v>721</v>
      </c>
      <c r="L54" s="236">
        <v>2022</v>
      </c>
      <c r="M54" s="236" t="s">
        <v>17</v>
      </c>
      <c r="N54" s="236" t="s">
        <v>817</v>
      </c>
    </row>
    <row r="55" spans="1:14">
      <c r="A55" s="236">
        <v>53</v>
      </c>
      <c r="B55" s="236" t="s">
        <v>827</v>
      </c>
      <c r="C55" s="236" t="s">
        <v>683</v>
      </c>
      <c r="D55" s="236" t="s">
        <v>828</v>
      </c>
      <c r="E55" s="236">
        <v>196.7</v>
      </c>
      <c r="F55" s="236">
        <v>12.71</v>
      </c>
      <c r="G55" s="236" t="s">
        <v>829</v>
      </c>
      <c r="H55" s="236">
        <v>50</v>
      </c>
      <c r="I55" s="236"/>
      <c r="J55" s="236" t="s">
        <v>686</v>
      </c>
      <c r="K55" s="236" t="s">
        <v>721</v>
      </c>
      <c r="L55" s="236">
        <v>2022</v>
      </c>
      <c r="M55" s="236" t="s">
        <v>29</v>
      </c>
      <c r="N55" s="236" t="s">
        <v>817</v>
      </c>
    </row>
    <row r="57" spans="1:14">
      <c r="A57" s="188" t="s">
        <v>830</v>
      </c>
      <c r="B57" s="188"/>
      <c r="C57" s="188"/>
      <c r="D57" s="188"/>
      <c r="E57" s="188"/>
      <c r="F57" s="188"/>
      <c r="G57" s="188"/>
      <c r="H57" s="188"/>
      <c r="I57" s="188"/>
      <c r="J57" s="188"/>
      <c r="K57" s="188"/>
      <c r="L57" s="188"/>
      <c r="M57" s="188"/>
      <c r="N57" s="188"/>
    </row>
    <row r="58" spans="1:14">
      <c r="A58" s="235" t="s">
        <v>669</v>
      </c>
      <c r="B58" s="235" t="s">
        <v>670</v>
      </c>
      <c r="C58" s="235" t="s">
        <v>671</v>
      </c>
      <c r="D58" s="235" t="s">
        <v>672</v>
      </c>
      <c r="E58" s="235" t="s">
        <v>673</v>
      </c>
      <c r="F58" s="235" t="s">
        <v>674</v>
      </c>
      <c r="G58" s="235" t="s">
        <v>675</v>
      </c>
      <c r="H58" s="235" t="s">
        <v>676</v>
      </c>
      <c r="I58" s="235" t="s">
        <v>677</v>
      </c>
      <c r="J58" s="235" t="s">
        <v>678</v>
      </c>
      <c r="K58" s="235" t="s">
        <v>679</v>
      </c>
      <c r="L58" s="235" t="s">
        <v>558</v>
      </c>
      <c r="M58" s="235" t="s">
        <v>680</v>
      </c>
      <c r="N58" s="235" t="s">
        <v>681</v>
      </c>
    </row>
    <row r="59" spans="1:14">
      <c r="A59" s="236">
        <v>1</v>
      </c>
      <c r="B59" s="236" t="s">
        <v>831</v>
      </c>
      <c r="C59" s="236" t="s">
        <v>708</v>
      </c>
      <c r="D59" s="236" t="s">
        <v>832</v>
      </c>
      <c r="E59" s="236">
        <v>67.05</v>
      </c>
      <c r="F59" s="236" t="s">
        <v>464</v>
      </c>
      <c r="G59" s="236" t="s">
        <v>833</v>
      </c>
      <c r="H59" s="236">
        <v>36</v>
      </c>
      <c r="I59" s="236">
        <v>6</v>
      </c>
      <c r="J59" s="236" t="s">
        <v>699</v>
      </c>
      <c r="K59" s="236" t="s">
        <v>834</v>
      </c>
      <c r="L59" s="236">
        <v>2024</v>
      </c>
      <c r="M59" s="236" t="s">
        <v>13</v>
      </c>
      <c r="N59" s="236" t="s">
        <v>835</v>
      </c>
    </row>
    <row r="60" spans="1:14">
      <c r="A60" s="236">
        <v>2</v>
      </c>
      <c r="B60" s="236" t="s">
        <v>836</v>
      </c>
      <c r="C60" s="236" t="s">
        <v>708</v>
      </c>
      <c r="D60" s="236" t="s">
        <v>837</v>
      </c>
      <c r="E60" s="236">
        <v>88.48</v>
      </c>
      <c r="F60" s="236" t="s">
        <v>464</v>
      </c>
      <c r="G60" s="236" t="s">
        <v>838</v>
      </c>
      <c r="H60" s="236">
        <v>60</v>
      </c>
      <c r="I60" s="236">
        <v>10</v>
      </c>
      <c r="J60" s="236" t="s">
        <v>699</v>
      </c>
      <c r="K60" s="236" t="s">
        <v>839</v>
      </c>
      <c r="L60" s="236">
        <v>2024</v>
      </c>
      <c r="M60" s="236" t="s">
        <v>13</v>
      </c>
      <c r="N60" s="236" t="s">
        <v>835</v>
      </c>
    </row>
    <row r="61" spans="1:14">
      <c r="A61" s="236">
        <v>3</v>
      </c>
      <c r="B61" s="236" t="s">
        <v>840</v>
      </c>
      <c r="C61" s="236" t="s">
        <v>708</v>
      </c>
      <c r="D61" s="236" t="s">
        <v>841</v>
      </c>
      <c r="E61" s="236" t="s">
        <v>464</v>
      </c>
      <c r="F61" s="236" t="s">
        <v>464</v>
      </c>
      <c r="G61" s="236" t="s">
        <v>842</v>
      </c>
      <c r="H61" s="236">
        <v>105</v>
      </c>
      <c r="I61" s="236">
        <v>27</v>
      </c>
      <c r="J61" s="236" t="s">
        <v>699</v>
      </c>
      <c r="K61" s="236" t="s">
        <v>843</v>
      </c>
      <c r="L61" s="236">
        <v>2027</v>
      </c>
      <c r="M61" s="236" t="s">
        <v>89</v>
      </c>
      <c r="N61" s="236" t="s">
        <v>844</v>
      </c>
    </row>
    <row r="62" spans="1:14">
      <c r="A62" s="236">
        <v>4</v>
      </c>
      <c r="B62" s="236" t="s">
        <v>845</v>
      </c>
      <c r="C62" s="236" t="s">
        <v>708</v>
      </c>
      <c r="D62" s="236" t="s">
        <v>841</v>
      </c>
      <c r="E62" s="236" t="s">
        <v>464</v>
      </c>
      <c r="F62" s="236" t="s">
        <v>464</v>
      </c>
      <c r="G62" s="236" t="s">
        <v>846</v>
      </c>
      <c r="H62" s="236">
        <v>105</v>
      </c>
      <c r="I62" s="236"/>
      <c r="J62" s="236" t="s">
        <v>686</v>
      </c>
      <c r="K62" s="236" t="s">
        <v>843</v>
      </c>
      <c r="L62" s="236">
        <v>2027</v>
      </c>
      <c r="M62" s="236" t="s">
        <v>89</v>
      </c>
      <c r="N62" s="236" t="s">
        <v>844</v>
      </c>
    </row>
    <row r="63" spans="1:14">
      <c r="A63" s="236">
        <v>5</v>
      </c>
      <c r="B63" s="236" t="s">
        <v>847</v>
      </c>
      <c r="C63" s="236" t="s">
        <v>708</v>
      </c>
      <c r="D63" s="236" t="s">
        <v>734</v>
      </c>
      <c r="E63" s="236">
        <v>184.88</v>
      </c>
      <c r="F63" s="236" t="s">
        <v>464</v>
      </c>
      <c r="G63" s="236" t="s">
        <v>848</v>
      </c>
      <c r="H63" s="236">
        <v>240</v>
      </c>
      <c r="I63" s="236"/>
      <c r="J63" s="236" t="s">
        <v>686</v>
      </c>
      <c r="K63" s="236" t="s">
        <v>849</v>
      </c>
      <c r="L63" s="236">
        <v>2026</v>
      </c>
      <c r="M63" s="236" t="s">
        <v>4</v>
      </c>
      <c r="N63" s="236" t="s">
        <v>844</v>
      </c>
    </row>
    <row r="64" spans="1:14">
      <c r="A64" s="236">
        <v>6</v>
      </c>
      <c r="B64" s="236" t="s">
        <v>850</v>
      </c>
      <c r="C64" s="236" t="s">
        <v>708</v>
      </c>
      <c r="D64" s="236" t="s">
        <v>851</v>
      </c>
      <c r="E64" s="236">
        <v>169.63</v>
      </c>
      <c r="F64" s="236" t="s">
        <v>464</v>
      </c>
      <c r="G64" s="236" t="s">
        <v>852</v>
      </c>
      <c r="H64" s="236">
        <v>120</v>
      </c>
      <c r="I64" s="236"/>
      <c r="J64" s="236" t="s">
        <v>686</v>
      </c>
      <c r="K64" s="236" t="s">
        <v>849</v>
      </c>
      <c r="L64" s="236">
        <v>2024</v>
      </c>
      <c r="M64" s="236" t="s">
        <v>4</v>
      </c>
      <c r="N64" s="236" t="s">
        <v>844</v>
      </c>
    </row>
    <row r="65" spans="1:14">
      <c r="A65" s="236">
        <v>7</v>
      </c>
      <c r="B65" s="236" t="s">
        <v>853</v>
      </c>
      <c r="C65" s="236" t="s">
        <v>708</v>
      </c>
      <c r="D65" s="236" t="s">
        <v>854</v>
      </c>
      <c r="E65" s="236">
        <v>115.24</v>
      </c>
      <c r="F65" s="236" t="s">
        <v>464</v>
      </c>
      <c r="G65" s="236" t="s">
        <v>855</v>
      </c>
      <c r="H65" s="236">
        <v>30</v>
      </c>
      <c r="I65" s="236"/>
      <c r="J65" s="236" t="s">
        <v>686</v>
      </c>
      <c r="K65" s="236" t="s">
        <v>834</v>
      </c>
      <c r="L65" s="236">
        <v>2024</v>
      </c>
      <c r="M65" s="236" t="s">
        <v>4</v>
      </c>
      <c r="N65" s="236" t="s">
        <v>844</v>
      </c>
    </row>
    <row r="66" spans="1:14">
      <c r="A66" s="236">
        <v>8</v>
      </c>
      <c r="B66" s="236" t="s">
        <v>856</v>
      </c>
      <c r="C66" s="236" t="s">
        <v>708</v>
      </c>
      <c r="D66" s="236" t="s">
        <v>857</v>
      </c>
      <c r="E66" s="236">
        <v>400</v>
      </c>
      <c r="F66" s="236" t="s">
        <v>464</v>
      </c>
      <c r="G66" s="236" t="s">
        <v>858</v>
      </c>
      <c r="H66" s="236">
        <v>120</v>
      </c>
      <c r="I66" s="236">
        <v>9</v>
      </c>
      <c r="J66" s="236" t="s">
        <v>699</v>
      </c>
      <c r="K66" s="236" t="s">
        <v>849</v>
      </c>
      <c r="L66" s="236">
        <v>2026</v>
      </c>
      <c r="M66" s="236" t="s">
        <v>14</v>
      </c>
      <c r="N66" s="236" t="s">
        <v>844</v>
      </c>
    </row>
    <row r="67" spans="1:14">
      <c r="A67" s="236">
        <v>9</v>
      </c>
      <c r="B67" s="236" t="s">
        <v>859</v>
      </c>
      <c r="C67" s="236" t="s">
        <v>708</v>
      </c>
      <c r="D67" s="236" t="s">
        <v>860</v>
      </c>
      <c r="E67" s="236" t="s">
        <v>464</v>
      </c>
      <c r="F67" s="236" t="s">
        <v>464</v>
      </c>
      <c r="G67" s="236" t="s">
        <v>861</v>
      </c>
      <c r="H67" s="236">
        <v>40</v>
      </c>
      <c r="I67" s="236">
        <v>6</v>
      </c>
      <c r="J67" s="236" t="s">
        <v>699</v>
      </c>
      <c r="K67" s="236" t="s">
        <v>849</v>
      </c>
      <c r="L67" s="236">
        <v>2026</v>
      </c>
      <c r="M67" s="236" t="s">
        <v>13</v>
      </c>
      <c r="N67" s="236" t="s">
        <v>844</v>
      </c>
    </row>
    <row r="68" spans="1:14">
      <c r="A68" s="236">
        <v>10</v>
      </c>
      <c r="B68" s="236" t="s">
        <v>862</v>
      </c>
      <c r="C68" s="236" t="s">
        <v>683</v>
      </c>
      <c r="D68" s="236" t="s">
        <v>841</v>
      </c>
      <c r="E68" s="236">
        <v>236.07</v>
      </c>
      <c r="F68" s="236" t="s">
        <v>464</v>
      </c>
      <c r="G68" s="236" t="s">
        <v>846</v>
      </c>
      <c r="H68" s="236">
        <v>105</v>
      </c>
      <c r="I68" s="236"/>
      <c r="J68" s="236" t="s">
        <v>686</v>
      </c>
      <c r="K68" s="236" t="s">
        <v>863</v>
      </c>
      <c r="L68" s="236">
        <v>2023</v>
      </c>
      <c r="M68" s="236" t="s">
        <v>13</v>
      </c>
      <c r="N68" s="236" t="s">
        <v>844</v>
      </c>
    </row>
    <row r="69" spans="1:14">
      <c r="A69" s="236">
        <v>11</v>
      </c>
      <c r="B69" s="236" t="s">
        <v>864</v>
      </c>
      <c r="C69" s="236" t="s">
        <v>708</v>
      </c>
      <c r="D69" s="236" t="s">
        <v>865</v>
      </c>
      <c r="E69" s="236" t="s">
        <v>464</v>
      </c>
      <c r="F69" s="236" t="s">
        <v>464</v>
      </c>
      <c r="G69" s="236" t="s">
        <v>866</v>
      </c>
      <c r="H69" s="236">
        <v>60</v>
      </c>
      <c r="I69" s="236"/>
      <c r="J69" s="236" t="s">
        <v>686</v>
      </c>
      <c r="K69" s="236" t="s">
        <v>843</v>
      </c>
      <c r="L69" s="236">
        <v>2027</v>
      </c>
      <c r="M69" s="236" t="s">
        <v>13</v>
      </c>
      <c r="N69" s="236" t="s">
        <v>867</v>
      </c>
    </row>
    <row r="70" spans="1:14">
      <c r="A70" s="236">
        <v>12</v>
      </c>
      <c r="B70" s="236" t="s">
        <v>868</v>
      </c>
      <c r="C70" s="236" t="s">
        <v>708</v>
      </c>
      <c r="D70" s="236" t="s">
        <v>869</v>
      </c>
      <c r="E70" s="236" t="s">
        <v>464</v>
      </c>
      <c r="F70" s="236" t="s">
        <v>464</v>
      </c>
      <c r="G70" s="236" t="s">
        <v>870</v>
      </c>
      <c r="H70" s="236">
        <v>175</v>
      </c>
      <c r="I70" s="236"/>
      <c r="J70" s="236" t="s">
        <v>686</v>
      </c>
      <c r="K70" s="236" t="s">
        <v>843</v>
      </c>
      <c r="L70" s="236">
        <v>2027</v>
      </c>
      <c r="M70" s="236" t="s">
        <v>13</v>
      </c>
      <c r="N70" s="236" t="s">
        <v>867</v>
      </c>
    </row>
    <row r="71" spans="1:14">
      <c r="A71" s="236">
        <v>13</v>
      </c>
      <c r="B71" s="236" t="s">
        <v>871</v>
      </c>
      <c r="C71" s="236" t="s">
        <v>708</v>
      </c>
      <c r="D71" s="236" t="s">
        <v>702</v>
      </c>
      <c r="E71" s="236" t="s">
        <v>464</v>
      </c>
      <c r="F71" s="236" t="s">
        <v>464</v>
      </c>
      <c r="G71" s="236" t="s">
        <v>703</v>
      </c>
      <c r="H71" s="236">
        <v>180</v>
      </c>
      <c r="I71" s="236"/>
      <c r="J71" s="236" t="s">
        <v>686</v>
      </c>
      <c r="K71" s="236" t="s">
        <v>843</v>
      </c>
      <c r="L71" s="236">
        <v>2027</v>
      </c>
      <c r="M71" s="236" t="s">
        <v>13</v>
      </c>
      <c r="N71" s="236" t="s">
        <v>867</v>
      </c>
    </row>
    <row r="72" spans="1:14">
      <c r="A72" s="236">
        <v>14</v>
      </c>
      <c r="B72" s="236" t="s">
        <v>872</v>
      </c>
      <c r="C72" s="236" t="s">
        <v>708</v>
      </c>
      <c r="D72" s="236" t="s">
        <v>819</v>
      </c>
      <c r="E72" s="236" t="s">
        <v>464</v>
      </c>
      <c r="F72" s="236" t="s">
        <v>464</v>
      </c>
      <c r="G72" s="236" t="s">
        <v>820</v>
      </c>
      <c r="H72" s="236">
        <v>100</v>
      </c>
      <c r="I72" s="236"/>
      <c r="J72" s="236" t="s">
        <v>686</v>
      </c>
      <c r="K72" s="236" t="s">
        <v>843</v>
      </c>
      <c r="L72" s="236">
        <v>2027</v>
      </c>
      <c r="M72" s="236" t="s">
        <v>13</v>
      </c>
      <c r="N72" s="236" t="s">
        <v>867</v>
      </c>
    </row>
    <row r="73" spans="1:14">
      <c r="A73" s="236">
        <v>15</v>
      </c>
      <c r="B73" s="236" t="s">
        <v>873</v>
      </c>
      <c r="C73" s="236" t="s">
        <v>708</v>
      </c>
      <c r="D73" s="236" t="s">
        <v>874</v>
      </c>
      <c r="E73" s="236" t="s">
        <v>464</v>
      </c>
      <c r="F73" s="236" t="s">
        <v>464</v>
      </c>
      <c r="G73" s="236" t="s">
        <v>875</v>
      </c>
      <c r="H73" s="236">
        <v>40</v>
      </c>
      <c r="I73" s="236"/>
      <c r="J73" s="236" t="s">
        <v>686</v>
      </c>
      <c r="K73" s="236" t="s">
        <v>843</v>
      </c>
      <c r="L73" s="236">
        <v>2027</v>
      </c>
      <c r="M73" s="236" t="s">
        <v>13</v>
      </c>
      <c r="N73" s="236" t="s">
        <v>867</v>
      </c>
    </row>
    <row r="74" spans="1:14">
      <c r="A74" s="236">
        <v>16</v>
      </c>
      <c r="B74" s="236" t="s">
        <v>876</v>
      </c>
      <c r="C74" s="236" t="s">
        <v>708</v>
      </c>
      <c r="D74" s="236" t="s">
        <v>877</v>
      </c>
      <c r="E74" s="236" t="s">
        <v>464</v>
      </c>
      <c r="F74" s="236" t="s">
        <v>464</v>
      </c>
      <c r="G74" s="236" t="s">
        <v>878</v>
      </c>
      <c r="H74" s="236">
        <v>200</v>
      </c>
      <c r="I74" s="236"/>
      <c r="J74" s="236" t="s">
        <v>686</v>
      </c>
      <c r="K74" s="236" t="s">
        <v>843</v>
      </c>
      <c r="L74" s="236">
        <v>2027</v>
      </c>
      <c r="M74" s="236" t="s">
        <v>13</v>
      </c>
      <c r="N74" s="236" t="s">
        <v>867</v>
      </c>
    </row>
    <row r="75" spans="1:14">
      <c r="A75" s="236">
        <v>17</v>
      </c>
      <c r="B75" s="236" t="s">
        <v>879</v>
      </c>
      <c r="C75" s="236" t="s">
        <v>708</v>
      </c>
      <c r="D75" s="236" t="s">
        <v>880</v>
      </c>
      <c r="E75" s="236" t="s">
        <v>464</v>
      </c>
      <c r="F75" s="236" t="s">
        <v>464</v>
      </c>
      <c r="G75" s="236" t="s">
        <v>881</v>
      </c>
      <c r="H75" s="236">
        <v>30</v>
      </c>
      <c r="I75" s="236"/>
      <c r="J75" s="236" t="s">
        <v>686</v>
      </c>
      <c r="K75" s="236" t="s">
        <v>843</v>
      </c>
      <c r="L75" s="236">
        <v>2027</v>
      </c>
      <c r="M75" s="236" t="s">
        <v>13</v>
      </c>
      <c r="N75" s="236" t="s">
        <v>867</v>
      </c>
    </row>
    <row r="76" spans="1:14">
      <c r="A76" s="236">
        <v>18</v>
      </c>
      <c r="B76" s="236" t="s">
        <v>882</v>
      </c>
      <c r="C76" s="236" t="s">
        <v>708</v>
      </c>
      <c r="D76" s="236" t="s">
        <v>883</v>
      </c>
      <c r="E76" s="236" t="s">
        <v>464</v>
      </c>
      <c r="F76" s="236" t="s">
        <v>464</v>
      </c>
      <c r="G76" s="236" t="s">
        <v>884</v>
      </c>
      <c r="H76" s="236">
        <v>25</v>
      </c>
      <c r="I76" s="236"/>
      <c r="J76" s="236" t="s">
        <v>686</v>
      </c>
      <c r="K76" s="236" t="s">
        <v>843</v>
      </c>
      <c r="L76" s="236">
        <v>2027</v>
      </c>
      <c r="M76" s="236" t="s">
        <v>13</v>
      </c>
      <c r="N76" s="236" t="s">
        <v>867</v>
      </c>
    </row>
    <row r="77" spans="1:14">
      <c r="A77" s="236">
        <v>19</v>
      </c>
      <c r="B77" s="236" t="s">
        <v>885</v>
      </c>
      <c r="C77" s="236" t="s">
        <v>708</v>
      </c>
      <c r="D77" s="236" t="s">
        <v>886</v>
      </c>
      <c r="E77" s="236" t="s">
        <v>464</v>
      </c>
      <c r="F77" s="236" t="s">
        <v>464</v>
      </c>
      <c r="G77" s="236" t="s">
        <v>887</v>
      </c>
      <c r="H77" s="236">
        <v>35</v>
      </c>
      <c r="I77" s="236"/>
      <c r="J77" s="236" t="s">
        <v>686</v>
      </c>
      <c r="K77" s="236" t="s">
        <v>843</v>
      </c>
      <c r="L77" s="236">
        <v>2027</v>
      </c>
      <c r="M77" s="236" t="s">
        <v>13</v>
      </c>
      <c r="N77" s="236" t="s">
        <v>867</v>
      </c>
    </row>
    <row r="78" spans="1:14">
      <c r="A78" s="236">
        <v>20</v>
      </c>
      <c r="B78" s="236" t="s">
        <v>888</v>
      </c>
      <c r="C78" s="236" t="s">
        <v>708</v>
      </c>
      <c r="D78" s="236" t="s">
        <v>889</v>
      </c>
      <c r="E78" s="236" t="s">
        <v>464</v>
      </c>
      <c r="F78" s="236" t="s">
        <v>464</v>
      </c>
      <c r="G78" s="236" t="s">
        <v>890</v>
      </c>
      <c r="H78" s="236">
        <v>400</v>
      </c>
      <c r="I78" s="236"/>
      <c r="J78" s="236" t="s">
        <v>686</v>
      </c>
      <c r="K78" s="236" t="s">
        <v>843</v>
      </c>
      <c r="L78" s="236">
        <v>2027</v>
      </c>
      <c r="M78" s="236" t="s">
        <v>13</v>
      </c>
      <c r="N78" s="236" t="s">
        <v>867</v>
      </c>
    </row>
    <row r="79" spans="1:14">
      <c r="A79" s="236">
        <v>21</v>
      </c>
      <c r="B79" s="236" t="s">
        <v>891</v>
      </c>
      <c r="C79" s="236" t="s">
        <v>708</v>
      </c>
      <c r="D79" s="236" t="s">
        <v>837</v>
      </c>
      <c r="E79" s="236"/>
      <c r="F79" s="236"/>
      <c r="G79" s="236" t="s">
        <v>866</v>
      </c>
      <c r="H79" s="236">
        <v>60</v>
      </c>
      <c r="I79" s="236"/>
      <c r="J79" s="236" t="s">
        <v>686</v>
      </c>
      <c r="K79" s="236" t="s">
        <v>843</v>
      </c>
      <c r="L79" s="236">
        <v>2027</v>
      </c>
      <c r="M79" s="236" t="s">
        <v>13</v>
      </c>
      <c r="N79" s="236" t="s">
        <v>867</v>
      </c>
    </row>
    <row r="80" spans="1:14">
      <c r="A80" s="236">
        <v>22</v>
      </c>
      <c r="B80" s="236" t="s">
        <v>892</v>
      </c>
      <c r="C80" s="236" t="s">
        <v>708</v>
      </c>
      <c r="D80" s="236" t="s">
        <v>752</v>
      </c>
      <c r="E80" s="236" t="s">
        <v>464</v>
      </c>
      <c r="F80" s="236" t="s">
        <v>464</v>
      </c>
      <c r="G80" s="236" t="s">
        <v>893</v>
      </c>
      <c r="H80" s="236">
        <v>390</v>
      </c>
      <c r="I80" s="236"/>
      <c r="J80" s="236" t="s">
        <v>686</v>
      </c>
      <c r="K80" s="236" t="s">
        <v>843</v>
      </c>
      <c r="L80" s="236">
        <v>2027</v>
      </c>
      <c r="M80" s="236" t="s">
        <v>12</v>
      </c>
      <c r="N80" s="236" t="s">
        <v>867</v>
      </c>
    </row>
    <row r="81" spans="1:14">
      <c r="A81" s="236">
        <v>23</v>
      </c>
      <c r="B81" s="236" t="s">
        <v>894</v>
      </c>
      <c r="C81" s="236" t="s">
        <v>708</v>
      </c>
      <c r="D81" s="236" t="s">
        <v>895</v>
      </c>
      <c r="E81" s="236">
        <v>100</v>
      </c>
      <c r="F81" s="236" t="s">
        <v>464</v>
      </c>
      <c r="G81" s="236" t="s">
        <v>896</v>
      </c>
      <c r="H81" s="236">
        <v>36</v>
      </c>
      <c r="I81" s="236"/>
      <c r="J81" s="236" t="s">
        <v>686</v>
      </c>
      <c r="K81" s="236" t="s">
        <v>849</v>
      </c>
      <c r="L81" s="236">
        <v>2026</v>
      </c>
      <c r="M81" s="236" t="s">
        <v>14</v>
      </c>
      <c r="N81" s="236" t="s">
        <v>867</v>
      </c>
    </row>
    <row r="82" spans="1:14">
      <c r="A82" s="236">
        <v>24</v>
      </c>
      <c r="B82" s="236" t="s">
        <v>897</v>
      </c>
      <c r="C82" s="236" t="s">
        <v>708</v>
      </c>
      <c r="D82" s="236" t="s">
        <v>895</v>
      </c>
      <c r="E82" s="236">
        <v>100</v>
      </c>
      <c r="F82" s="236" t="s">
        <v>464</v>
      </c>
      <c r="G82" s="236" t="s">
        <v>896</v>
      </c>
      <c r="H82" s="236">
        <v>36</v>
      </c>
      <c r="I82" s="236"/>
      <c r="J82" s="236" t="s">
        <v>686</v>
      </c>
      <c r="K82" s="236" t="s">
        <v>849</v>
      </c>
      <c r="L82" s="236">
        <v>2026</v>
      </c>
      <c r="M82" s="236" t="s">
        <v>14</v>
      </c>
      <c r="N82" s="236" t="s">
        <v>867</v>
      </c>
    </row>
    <row r="83" spans="1:14">
      <c r="A83" s="236">
        <v>25</v>
      </c>
      <c r="B83" s="236" t="s">
        <v>898</v>
      </c>
      <c r="C83" s="236" t="s">
        <v>708</v>
      </c>
      <c r="D83" s="236" t="s">
        <v>774</v>
      </c>
      <c r="E83" s="236" t="s">
        <v>464</v>
      </c>
      <c r="F83" s="236" t="s">
        <v>464</v>
      </c>
      <c r="G83" s="236" t="s">
        <v>464</v>
      </c>
      <c r="H83" s="236"/>
      <c r="I83" s="236"/>
      <c r="J83" s="236" t="s">
        <v>691</v>
      </c>
      <c r="K83" s="236" t="s">
        <v>843</v>
      </c>
      <c r="L83" s="236">
        <v>2027</v>
      </c>
      <c r="M83" s="236" t="s">
        <v>90</v>
      </c>
      <c r="N83" s="236" t="s">
        <v>867</v>
      </c>
    </row>
  </sheetData>
  <autoFilter ref="A2:N55"/>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AB330"/>
  <sheetViews>
    <sheetView zoomScaleNormal="100" zoomScaleSheetLayoutView="55" workbookViewId="0"/>
  </sheetViews>
  <sheetFormatPr defaultRowHeight="15"/>
  <cols>
    <col min="1" max="1" width="3.7109375" style="255" customWidth="1"/>
    <col min="2" max="2" width="22" style="514" customWidth="1"/>
    <col min="3" max="3" width="20.7109375" style="514" customWidth="1"/>
    <col min="4" max="4" width="16.7109375" style="514" customWidth="1"/>
    <col min="5" max="5" width="14.42578125" style="514" customWidth="1"/>
    <col min="6" max="6" width="15.42578125" style="514" bestFit="1" customWidth="1"/>
    <col min="7" max="7" width="13" style="514" customWidth="1"/>
    <col min="8" max="8" width="14.7109375" style="514" customWidth="1"/>
    <col min="9" max="9" width="14" style="514" customWidth="1"/>
    <col min="10" max="10" width="14.28515625" style="514" customWidth="1"/>
    <col min="11" max="11" width="14.28515625" style="515" customWidth="1"/>
    <col min="12" max="13" width="17.140625" style="514" customWidth="1"/>
    <col min="14" max="14" width="15" style="255" bestFit="1" customWidth="1"/>
    <col min="15" max="15" width="18.85546875" style="255" bestFit="1" customWidth="1"/>
    <col min="16" max="16" width="9.140625" style="255" customWidth="1"/>
    <col min="17" max="17" width="9.140625" style="255"/>
    <col min="18" max="18" width="18.7109375" style="255" bestFit="1" customWidth="1"/>
    <col min="19" max="22" width="9.140625" style="255"/>
    <col min="23" max="24" width="12.28515625" style="255" bestFit="1" customWidth="1"/>
    <col min="25" max="25" width="10.140625" style="255" bestFit="1" customWidth="1"/>
    <col min="26" max="16384" width="9.140625" style="255"/>
  </cols>
  <sheetData>
    <row r="1" spans="1:28" ht="19.5" customHeight="1">
      <c r="A1" s="726"/>
      <c r="B1" s="492" t="s">
        <v>1476</v>
      </c>
      <c r="C1" s="423"/>
      <c r="D1" s="424"/>
      <c r="E1" s="424"/>
      <c r="F1" s="424"/>
      <c r="G1" s="425"/>
      <c r="H1" s="424"/>
      <c r="I1" s="424"/>
      <c r="J1" s="424"/>
      <c r="K1" s="424"/>
      <c r="L1" s="424"/>
      <c r="M1" s="424"/>
    </row>
    <row r="2" spans="1:28" ht="19.5" customHeight="1">
      <c r="B2" s="1019" t="s">
        <v>1391</v>
      </c>
      <c r="C2" s="1019"/>
      <c r="D2" s="1019"/>
      <c r="E2" s="1019"/>
      <c r="F2" s="1019"/>
      <c r="G2" s="1019"/>
      <c r="H2" s="1019"/>
      <c r="I2" s="1019"/>
      <c r="J2" s="1019"/>
      <c r="K2" s="1019"/>
      <c r="L2" s="1019"/>
      <c r="M2" s="678"/>
    </row>
    <row r="3" spans="1:28" ht="19.5" customHeight="1">
      <c r="B3" s="1020" t="s">
        <v>1392</v>
      </c>
      <c r="C3" s="1020"/>
      <c r="D3" s="1020"/>
      <c r="E3" s="1020"/>
      <c r="F3" s="1020"/>
      <c r="G3" s="1020"/>
      <c r="H3" s="1020"/>
      <c r="I3" s="1020"/>
      <c r="J3" s="1020"/>
      <c r="K3" s="1020"/>
      <c r="L3" s="1020"/>
      <c r="M3" s="679"/>
    </row>
    <row r="4" spans="1:28" ht="19.5" customHeight="1">
      <c r="B4" s="1021" t="s">
        <v>1393</v>
      </c>
      <c r="C4" s="1021"/>
      <c r="D4" s="1021"/>
      <c r="E4" s="1021"/>
      <c r="F4" s="1021"/>
      <c r="G4" s="1021"/>
      <c r="H4" s="1021"/>
      <c r="I4" s="1021"/>
      <c r="J4" s="1021"/>
      <c r="K4" s="1021"/>
      <c r="L4" s="1021"/>
      <c r="M4" s="667"/>
    </row>
    <row r="5" spans="1:28" ht="19.5" customHeight="1">
      <c r="B5" s="1022"/>
      <c r="C5" s="1022"/>
      <c r="D5" s="1022"/>
      <c r="E5" s="1022"/>
      <c r="F5" s="1022"/>
      <c r="G5" s="1022"/>
      <c r="H5" s="1022"/>
      <c r="I5" s="1022"/>
      <c r="J5" s="1022"/>
      <c r="K5" s="1022"/>
      <c r="L5" s="1022"/>
      <c r="M5" s="680"/>
    </row>
    <row r="6" spans="1:28" ht="19.5" customHeight="1">
      <c r="B6" s="1023" t="s">
        <v>972</v>
      </c>
      <c r="C6" s="1026" t="s">
        <v>1394</v>
      </c>
      <c r="D6" s="1029" t="s">
        <v>1395</v>
      </c>
      <c r="E6" s="1030"/>
      <c r="F6" s="1030"/>
      <c r="G6" s="1030"/>
      <c r="H6" s="1030"/>
      <c r="I6" s="1030"/>
      <c r="J6" s="1030"/>
      <c r="K6" s="1031"/>
      <c r="L6" s="1032" t="s">
        <v>1396</v>
      </c>
      <c r="M6" s="426"/>
    </row>
    <row r="7" spans="1:28" ht="19.5" customHeight="1">
      <c r="B7" s="1024"/>
      <c r="C7" s="1027"/>
      <c r="D7" s="1035" t="s">
        <v>1397</v>
      </c>
      <c r="E7" s="1036"/>
      <c r="F7" s="1036"/>
      <c r="G7" s="1036"/>
      <c r="H7" s="1036"/>
      <c r="I7" s="1037" t="s">
        <v>1398</v>
      </c>
      <c r="J7" s="1011" t="s">
        <v>1399</v>
      </c>
      <c r="K7" s="1013" t="s">
        <v>1400</v>
      </c>
      <c r="L7" s="1033"/>
      <c r="M7" s="426"/>
      <c r="N7" s="427" t="s">
        <v>1401</v>
      </c>
    </row>
    <row r="8" spans="1:28" ht="19.5" customHeight="1">
      <c r="B8" s="1025"/>
      <c r="C8" s="1028"/>
      <c r="D8" s="669" t="s">
        <v>1402</v>
      </c>
      <c r="E8" s="428" t="s">
        <v>1403</v>
      </c>
      <c r="F8" s="428" t="s">
        <v>1404</v>
      </c>
      <c r="G8" s="428" t="s">
        <v>1405</v>
      </c>
      <c r="H8" s="428" t="s">
        <v>7</v>
      </c>
      <c r="I8" s="1035"/>
      <c r="J8" s="1012"/>
      <c r="K8" s="1014"/>
      <c r="L8" s="1034"/>
      <c r="M8" s="429"/>
      <c r="N8" s="669" t="s">
        <v>1402</v>
      </c>
      <c r="O8" s="669" t="s">
        <v>1479</v>
      </c>
    </row>
    <row r="9" spans="1:28" ht="19.5" customHeight="1">
      <c r="B9" s="1015" t="s">
        <v>1406</v>
      </c>
      <c r="C9" s="430" t="s">
        <v>122</v>
      </c>
      <c r="D9" s="431">
        <v>16659</v>
      </c>
      <c r="E9" s="431">
        <v>250</v>
      </c>
      <c r="F9" s="431">
        <v>2879.2</v>
      </c>
      <c r="G9" s="431">
        <v>0</v>
      </c>
      <c r="H9" s="431">
        <v>19788.2</v>
      </c>
      <c r="I9" s="431">
        <v>0</v>
      </c>
      <c r="J9" s="431">
        <v>5888.25</v>
      </c>
      <c r="K9" s="431">
        <v>725.51</v>
      </c>
      <c r="L9" s="432">
        <v>26401.96</v>
      </c>
      <c r="M9" s="433"/>
      <c r="N9" s="255">
        <v>16659</v>
      </c>
      <c r="O9" s="434">
        <f>D9-N9</f>
        <v>0</v>
      </c>
      <c r="R9" s="427" t="s">
        <v>621</v>
      </c>
      <c r="S9" s="517" t="s">
        <v>618</v>
      </c>
      <c r="T9" s="434"/>
      <c r="U9" s="434"/>
      <c r="V9" s="524" t="s">
        <v>1483</v>
      </c>
      <c r="W9" s="519"/>
      <c r="X9" s="519"/>
      <c r="Y9" s="519"/>
      <c r="Z9" s="434"/>
      <c r="AA9" s="434"/>
      <c r="AB9" s="434"/>
    </row>
    <row r="10" spans="1:28" ht="19.5" customHeight="1">
      <c r="B10" s="1015"/>
      <c r="C10" s="435" t="s">
        <v>1311</v>
      </c>
      <c r="D10" s="436">
        <v>22425.83</v>
      </c>
      <c r="E10" s="436">
        <v>1080</v>
      </c>
      <c r="F10" s="436">
        <v>558</v>
      </c>
      <c r="G10" s="436">
        <v>0</v>
      </c>
      <c r="H10" s="436">
        <v>24063.83</v>
      </c>
      <c r="I10" s="436">
        <v>0</v>
      </c>
      <c r="J10" s="436">
        <v>2916</v>
      </c>
      <c r="K10" s="436">
        <v>17487.12</v>
      </c>
      <c r="L10" s="437">
        <v>44466.950000000004</v>
      </c>
      <c r="M10" s="438"/>
      <c r="N10" s="255">
        <v>22425.83</v>
      </c>
      <c r="O10" s="434">
        <f t="shared" ref="O10:O44" si="0">D10-N10</f>
        <v>0</v>
      </c>
      <c r="R10" s="255" t="s">
        <v>14</v>
      </c>
      <c r="S10" s="434">
        <f>SUMIF($P$74:$P$235,R10,$O$74:$O$235)</f>
        <v>0</v>
      </c>
      <c r="V10" s="519"/>
      <c r="W10" s="520">
        <v>44256</v>
      </c>
      <c r="X10" s="520">
        <v>43891</v>
      </c>
      <c r="Y10" s="518" t="s">
        <v>22</v>
      </c>
    </row>
    <row r="11" spans="1:28" ht="19.5" customHeight="1">
      <c r="B11" s="1015"/>
      <c r="C11" s="430" t="s">
        <v>1407</v>
      </c>
      <c r="D11" s="439">
        <v>15742.560999999998</v>
      </c>
      <c r="E11" s="439">
        <v>250</v>
      </c>
      <c r="F11" s="439">
        <v>2344.0600000000004</v>
      </c>
      <c r="G11" s="439">
        <v>0</v>
      </c>
      <c r="H11" s="439">
        <v>18336.620999999999</v>
      </c>
      <c r="I11" s="439">
        <v>1620.0000000000002</v>
      </c>
      <c r="J11" s="439">
        <v>11484.520000000002</v>
      </c>
      <c r="K11" s="439">
        <v>379</v>
      </c>
      <c r="L11" s="432">
        <v>31820.140999999996</v>
      </c>
      <c r="M11" s="433"/>
      <c r="N11" s="255">
        <v>14354.96</v>
      </c>
      <c r="O11" s="727">
        <f t="shared" si="0"/>
        <v>1387.6009999999987</v>
      </c>
      <c r="R11" s="255" t="s">
        <v>90</v>
      </c>
      <c r="S11" s="434">
        <f t="shared" ref="S11:S34" si="1">SUMIF($P$74:$P$235,R11,$O$74:$O$235)</f>
        <v>3.3979999999999961</v>
      </c>
      <c r="V11" s="521" t="s">
        <v>1480</v>
      </c>
      <c r="W11" s="521">
        <v>202674.5</v>
      </c>
      <c r="X11" s="521">
        <v>198524.5</v>
      </c>
      <c r="Y11" s="521">
        <f>W11-X11</f>
        <v>4150</v>
      </c>
    </row>
    <row r="12" spans="1:28" ht="19.5" customHeight="1">
      <c r="B12" s="1015"/>
      <c r="C12" s="440" t="s">
        <v>1408</v>
      </c>
      <c r="D12" s="441">
        <v>54827.391000000003</v>
      </c>
      <c r="E12" s="441">
        <v>1580</v>
      </c>
      <c r="F12" s="441">
        <v>5781.26</v>
      </c>
      <c r="G12" s="441">
        <v>0</v>
      </c>
      <c r="H12" s="441">
        <v>62188.650999999998</v>
      </c>
      <c r="I12" s="441">
        <v>1620.0000000000002</v>
      </c>
      <c r="J12" s="441">
        <v>20288.770000000004</v>
      </c>
      <c r="K12" s="441">
        <v>18591.629999999997</v>
      </c>
      <c r="L12" s="442">
        <v>102689.05100000001</v>
      </c>
      <c r="M12" s="443"/>
      <c r="N12" s="255">
        <v>53439.79</v>
      </c>
      <c r="O12" s="727">
        <f t="shared" si="0"/>
        <v>1387.6010000000024</v>
      </c>
      <c r="R12" s="255" t="s">
        <v>29</v>
      </c>
      <c r="S12" s="434">
        <f t="shared" si="1"/>
        <v>0</v>
      </c>
      <c r="V12" s="521" t="s">
        <v>1481</v>
      </c>
      <c r="W12" s="521">
        <v>6620</v>
      </c>
      <c r="X12" s="521">
        <v>6610</v>
      </c>
      <c r="Y12" s="521">
        <f t="shared" ref="Y12:Y13" si="2">W12-X12</f>
        <v>10</v>
      </c>
    </row>
    <row r="13" spans="1:28" ht="19.5" customHeight="1">
      <c r="B13" s="1016" t="s">
        <v>1409</v>
      </c>
      <c r="C13" s="430" t="s">
        <v>122</v>
      </c>
      <c r="D13" s="439">
        <v>21500</v>
      </c>
      <c r="E13" s="439">
        <v>900</v>
      </c>
      <c r="F13" s="439">
        <v>2849.82</v>
      </c>
      <c r="G13" s="439">
        <v>0</v>
      </c>
      <c r="H13" s="439">
        <v>25249.82</v>
      </c>
      <c r="I13" s="439">
        <v>0</v>
      </c>
      <c r="J13" s="439">
        <v>5446.5</v>
      </c>
      <c r="K13" s="439">
        <v>569.28</v>
      </c>
      <c r="L13" s="432">
        <v>31265.599999999999</v>
      </c>
      <c r="M13" s="433"/>
      <c r="N13" s="255">
        <v>21740</v>
      </c>
      <c r="O13" s="727">
        <f t="shared" si="0"/>
        <v>-240</v>
      </c>
      <c r="R13" s="255" t="s">
        <v>19</v>
      </c>
      <c r="S13" s="434">
        <f t="shared" si="1"/>
        <v>517.49999999999909</v>
      </c>
      <c r="V13" s="521" t="s">
        <v>1482</v>
      </c>
      <c r="W13" s="521">
        <v>24924.008999999998</v>
      </c>
      <c r="X13" s="521">
        <v>24955.360000000001</v>
      </c>
      <c r="Y13" s="521">
        <f t="shared" si="2"/>
        <v>-31.351000000002387</v>
      </c>
    </row>
    <row r="14" spans="1:28" ht="19.5" customHeight="1">
      <c r="B14" s="1017"/>
      <c r="C14" s="435" t="s">
        <v>1311</v>
      </c>
      <c r="D14" s="436">
        <v>32847.17</v>
      </c>
      <c r="E14" s="436">
        <v>500</v>
      </c>
      <c r="F14" s="436">
        <v>4676</v>
      </c>
      <c r="G14" s="436">
        <v>0</v>
      </c>
      <c r="H14" s="436">
        <v>38023.17</v>
      </c>
      <c r="I14" s="436">
        <v>0</v>
      </c>
      <c r="J14" s="436">
        <v>481</v>
      </c>
      <c r="K14" s="436">
        <v>28016.710000000003</v>
      </c>
      <c r="L14" s="437">
        <v>66520.88</v>
      </c>
      <c r="M14" s="438"/>
      <c r="N14" s="255">
        <v>32847.17</v>
      </c>
      <c r="O14" s="727">
        <f t="shared" si="0"/>
        <v>0</v>
      </c>
      <c r="R14" s="255" t="s">
        <v>18</v>
      </c>
      <c r="S14" s="434">
        <f t="shared" si="1"/>
        <v>212.83600000000115</v>
      </c>
      <c r="V14" s="519" t="s">
        <v>1484</v>
      </c>
      <c r="W14" s="519">
        <f t="shared" ref="W14:X14" si="3">SUM(W11:W13)</f>
        <v>234218.50899999999</v>
      </c>
      <c r="X14" s="519">
        <f t="shared" si="3"/>
        <v>230089.86</v>
      </c>
      <c r="Y14" s="519">
        <f>SUM(Y11:Y13)</f>
        <v>4128.6489999999976</v>
      </c>
    </row>
    <row r="15" spans="1:28" ht="19.5" customHeight="1">
      <c r="B15" s="1017"/>
      <c r="C15" s="430" t="s">
        <v>1407</v>
      </c>
      <c r="D15" s="439">
        <v>19972.950000000004</v>
      </c>
      <c r="E15" s="439">
        <v>0</v>
      </c>
      <c r="F15" s="439">
        <v>3280.6700000000005</v>
      </c>
      <c r="G15" s="439">
        <v>0</v>
      </c>
      <c r="H15" s="439">
        <v>23253.620000000006</v>
      </c>
      <c r="I15" s="439">
        <v>1840</v>
      </c>
      <c r="J15" s="439">
        <v>1635</v>
      </c>
      <c r="K15" s="439">
        <v>666.3</v>
      </c>
      <c r="L15" s="432">
        <v>27394.919999999995</v>
      </c>
      <c r="M15" s="433"/>
      <c r="N15" s="255">
        <v>18347.95</v>
      </c>
      <c r="O15" s="727">
        <f t="shared" si="0"/>
        <v>1625.0000000000036</v>
      </c>
      <c r="R15" s="255" t="s">
        <v>91</v>
      </c>
      <c r="S15" s="434">
        <f t="shared" si="1"/>
        <v>10.937999999999988</v>
      </c>
      <c r="V15" s="524" t="s">
        <v>1486</v>
      </c>
      <c r="W15" s="519"/>
      <c r="X15" s="519"/>
      <c r="Y15" s="519"/>
    </row>
    <row r="16" spans="1:28" ht="19.5" customHeight="1">
      <c r="B16" s="1018"/>
      <c r="C16" s="440" t="s">
        <v>1408</v>
      </c>
      <c r="D16" s="441">
        <v>74320.12</v>
      </c>
      <c r="E16" s="441">
        <v>1400</v>
      </c>
      <c r="F16" s="441">
        <v>10806.49</v>
      </c>
      <c r="G16" s="441">
        <v>0</v>
      </c>
      <c r="H16" s="441">
        <v>86526.61</v>
      </c>
      <c r="I16" s="441">
        <v>1840</v>
      </c>
      <c r="J16" s="441">
        <v>7562.5</v>
      </c>
      <c r="K16" s="441">
        <v>29252.29</v>
      </c>
      <c r="L16" s="442">
        <v>125181.40000000001</v>
      </c>
      <c r="M16" s="443"/>
      <c r="N16" s="255">
        <v>72935.12</v>
      </c>
      <c r="O16" s="727">
        <f t="shared" si="0"/>
        <v>1385</v>
      </c>
      <c r="R16" s="255" t="s">
        <v>8</v>
      </c>
      <c r="S16" s="434">
        <f t="shared" si="1"/>
        <v>280.33999999999833</v>
      </c>
      <c r="V16" s="519"/>
      <c r="W16" s="520">
        <v>44256</v>
      </c>
      <c r="X16" s="520">
        <v>43891</v>
      </c>
      <c r="Y16" s="518" t="s">
        <v>22</v>
      </c>
    </row>
    <row r="17" spans="2:25" ht="19.5" customHeight="1">
      <c r="B17" s="1015" t="s">
        <v>1410</v>
      </c>
      <c r="C17" s="430" t="s">
        <v>122</v>
      </c>
      <c r="D17" s="431">
        <v>20322.5</v>
      </c>
      <c r="E17" s="431">
        <v>0</v>
      </c>
      <c r="F17" s="431">
        <v>791.98</v>
      </c>
      <c r="G17" s="431">
        <v>159.96</v>
      </c>
      <c r="H17" s="431">
        <v>21274.44</v>
      </c>
      <c r="I17" s="431">
        <v>0</v>
      </c>
      <c r="J17" s="431">
        <v>11774.83</v>
      </c>
      <c r="K17" s="431">
        <v>586.87700000000007</v>
      </c>
      <c r="L17" s="432">
        <v>33636.146999999997</v>
      </c>
      <c r="M17" s="433"/>
      <c r="N17" s="255">
        <v>19512.5</v>
      </c>
      <c r="O17" s="727">
        <f t="shared" si="0"/>
        <v>810</v>
      </c>
      <c r="R17" s="255" t="s">
        <v>5</v>
      </c>
      <c r="S17" s="434">
        <f t="shared" si="1"/>
        <v>22.04320000000007</v>
      </c>
      <c r="V17" s="519" t="s">
        <v>1484</v>
      </c>
      <c r="W17" s="519">
        <v>233104.21800000014</v>
      </c>
      <c r="X17" s="519">
        <v>231443.06800000006</v>
      </c>
      <c r="Y17" s="519">
        <f>W17-X17</f>
        <v>1661.1500000000815</v>
      </c>
    </row>
    <row r="18" spans="2:25" ht="19.5" customHeight="1">
      <c r="B18" s="1015"/>
      <c r="C18" s="435" t="s">
        <v>1311</v>
      </c>
      <c r="D18" s="436">
        <v>12747</v>
      </c>
      <c r="E18" s="436">
        <v>250</v>
      </c>
      <c r="F18" s="436">
        <v>5340.2439999999997</v>
      </c>
      <c r="G18" s="436">
        <v>273.70100000000002</v>
      </c>
      <c r="H18" s="436">
        <v>18610.945</v>
      </c>
      <c r="I18" s="436">
        <v>0</v>
      </c>
      <c r="J18" s="436">
        <v>0</v>
      </c>
      <c r="K18" s="436">
        <v>43471.373</v>
      </c>
      <c r="L18" s="437">
        <v>62082.317999999999</v>
      </c>
      <c r="M18" s="438"/>
      <c r="N18" s="255">
        <v>12747</v>
      </c>
      <c r="O18" s="727">
        <f t="shared" si="0"/>
        <v>0</v>
      </c>
      <c r="R18" s="255" t="s">
        <v>88</v>
      </c>
      <c r="S18" s="434">
        <f t="shared" si="1"/>
        <v>0</v>
      </c>
      <c r="W18" s="522"/>
      <c r="X18" s="522"/>
    </row>
    <row r="19" spans="2:25" ht="19.5" customHeight="1">
      <c r="B19" s="1015"/>
      <c r="C19" s="444" t="s">
        <v>1407</v>
      </c>
      <c r="D19" s="439">
        <v>11835.024000000001</v>
      </c>
      <c r="E19" s="439">
        <v>3390.0000000000005</v>
      </c>
      <c r="F19" s="439">
        <v>359.58000000000004</v>
      </c>
      <c r="G19" s="439">
        <v>0</v>
      </c>
      <c r="H19" s="439">
        <v>15584.604000000001</v>
      </c>
      <c r="I19" s="439">
        <v>3320</v>
      </c>
      <c r="J19" s="439">
        <v>0</v>
      </c>
      <c r="K19" s="439">
        <v>541.9</v>
      </c>
      <c r="L19" s="432">
        <v>19446.504000000001</v>
      </c>
      <c r="M19" s="433"/>
      <c r="N19" s="255">
        <v>11835.02</v>
      </c>
      <c r="O19" s="727">
        <f t="shared" si="0"/>
        <v>4.0000000008149073E-3</v>
      </c>
      <c r="R19" s="255" t="s">
        <v>89</v>
      </c>
      <c r="S19" s="434">
        <f t="shared" si="1"/>
        <v>53.721000000000117</v>
      </c>
      <c r="Y19" s="523"/>
    </row>
    <row r="20" spans="2:25" ht="19.5" customHeight="1">
      <c r="B20" s="1015"/>
      <c r="C20" s="440" t="s">
        <v>1408</v>
      </c>
      <c r="D20" s="441">
        <v>44904.524000000005</v>
      </c>
      <c r="E20" s="441">
        <v>3640.0000000000005</v>
      </c>
      <c r="F20" s="441">
        <v>6491.8040000000001</v>
      </c>
      <c r="G20" s="441">
        <v>433.66100000000006</v>
      </c>
      <c r="H20" s="441">
        <v>55469.988999999994</v>
      </c>
      <c r="I20" s="441">
        <v>3320</v>
      </c>
      <c r="J20" s="441">
        <v>11774.83</v>
      </c>
      <c r="K20" s="441">
        <v>44600.15</v>
      </c>
      <c r="L20" s="442">
        <v>115164.969</v>
      </c>
      <c r="M20" s="443"/>
      <c r="N20" s="255">
        <v>44094.52</v>
      </c>
      <c r="O20" s="727">
        <f t="shared" si="0"/>
        <v>810.00400000000809</v>
      </c>
      <c r="R20" s="255" t="s">
        <v>20</v>
      </c>
      <c r="S20" s="434">
        <f t="shared" si="1"/>
        <v>20.001999999999953</v>
      </c>
    </row>
    <row r="21" spans="2:25" ht="19.5" customHeight="1">
      <c r="B21" s="1016" t="s">
        <v>1411</v>
      </c>
      <c r="C21" s="444" t="s">
        <v>122</v>
      </c>
      <c r="D21" s="439">
        <v>7450</v>
      </c>
      <c r="E21" s="439">
        <v>0</v>
      </c>
      <c r="F21" s="439">
        <v>100</v>
      </c>
      <c r="G21" s="439">
        <v>0</v>
      </c>
      <c r="H21" s="439">
        <v>7550</v>
      </c>
      <c r="I21" s="439">
        <v>0</v>
      </c>
      <c r="J21" s="439">
        <v>3537.92</v>
      </c>
      <c r="K21" s="439">
        <v>275.11</v>
      </c>
      <c r="L21" s="432">
        <v>11363.029999999999</v>
      </c>
      <c r="M21" s="433"/>
      <c r="N21" s="255">
        <v>7450</v>
      </c>
      <c r="O21" s="727">
        <f t="shared" si="0"/>
        <v>0</v>
      </c>
      <c r="R21" s="255" t="s">
        <v>11</v>
      </c>
      <c r="S21" s="434">
        <f t="shared" si="1"/>
        <v>0</v>
      </c>
    </row>
    <row r="22" spans="2:25" ht="19.5" customHeight="1">
      <c r="B22" s="1017"/>
      <c r="C22" s="435" t="s">
        <v>1311</v>
      </c>
      <c r="D22" s="436">
        <v>6153</v>
      </c>
      <c r="E22" s="436">
        <v>0</v>
      </c>
      <c r="F22" s="436">
        <v>0</v>
      </c>
      <c r="G22" s="436">
        <v>0</v>
      </c>
      <c r="H22" s="436">
        <v>6153</v>
      </c>
      <c r="I22" s="436">
        <v>0</v>
      </c>
      <c r="J22" s="436">
        <v>96</v>
      </c>
      <c r="K22" s="436">
        <v>1300.2199999999998</v>
      </c>
      <c r="L22" s="437">
        <v>7549.2199999999993</v>
      </c>
      <c r="M22" s="438"/>
      <c r="N22" s="255">
        <v>6153</v>
      </c>
      <c r="O22" s="727">
        <f t="shared" si="0"/>
        <v>0</v>
      </c>
      <c r="R22" s="255" t="s">
        <v>12</v>
      </c>
      <c r="S22" s="434">
        <f t="shared" si="1"/>
        <v>0</v>
      </c>
    </row>
    <row r="23" spans="2:25" ht="19.5" customHeight="1">
      <c r="B23" s="1017"/>
      <c r="C23" s="430" t="s">
        <v>1407</v>
      </c>
      <c r="D23" s="439">
        <v>14249.444999999998</v>
      </c>
      <c r="E23" s="439">
        <v>0</v>
      </c>
      <c r="F23" s="439">
        <v>0</v>
      </c>
      <c r="G23" s="439">
        <v>0</v>
      </c>
      <c r="H23" s="439">
        <v>14249.444999999998</v>
      </c>
      <c r="I23" s="439">
        <v>0</v>
      </c>
      <c r="J23" s="439">
        <v>1005.2</v>
      </c>
      <c r="K23" s="439">
        <v>10</v>
      </c>
      <c r="L23" s="432">
        <v>15264.644999999999</v>
      </c>
      <c r="M23" s="433"/>
      <c r="N23" s="255">
        <v>13682.05</v>
      </c>
      <c r="O23" s="727">
        <f t="shared" si="0"/>
        <v>567.39499999999862</v>
      </c>
      <c r="R23" s="255" t="s">
        <v>9</v>
      </c>
      <c r="S23" s="434">
        <f t="shared" si="1"/>
        <v>473.71000000000095</v>
      </c>
    </row>
    <row r="24" spans="2:25" ht="19.5" customHeight="1">
      <c r="B24" s="1018"/>
      <c r="C24" s="440" t="s">
        <v>1408</v>
      </c>
      <c r="D24" s="441">
        <v>27852.445</v>
      </c>
      <c r="E24" s="441">
        <v>0</v>
      </c>
      <c r="F24" s="441">
        <v>100</v>
      </c>
      <c r="G24" s="441">
        <v>0</v>
      </c>
      <c r="H24" s="441">
        <v>27952.445</v>
      </c>
      <c r="I24" s="441">
        <v>0</v>
      </c>
      <c r="J24" s="441">
        <v>4639.12</v>
      </c>
      <c r="K24" s="441">
        <v>1585.33</v>
      </c>
      <c r="L24" s="442">
        <v>34176.894999999997</v>
      </c>
      <c r="M24" s="443"/>
      <c r="N24" s="255">
        <v>27285.05</v>
      </c>
      <c r="O24" s="727">
        <f t="shared" si="0"/>
        <v>567.39500000000044</v>
      </c>
      <c r="R24" s="255" t="s">
        <v>10</v>
      </c>
      <c r="S24" s="434">
        <f t="shared" si="1"/>
        <v>140.35800000000017</v>
      </c>
    </row>
    <row r="25" spans="2:25" ht="19.5" customHeight="1">
      <c r="B25" s="1015" t="s">
        <v>1412</v>
      </c>
      <c r="C25" s="430" t="s">
        <v>122</v>
      </c>
      <c r="D25" s="431">
        <v>0</v>
      </c>
      <c r="E25" s="431">
        <v>0</v>
      </c>
      <c r="F25" s="431">
        <v>466.35500000000002</v>
      </c>
      <c r="G25" s="431">
        <v>36</v>
      </c>
      <c r="H25" s="431">
        <v>502.35500000000002</v>
      </c>
      <c r="I25" s="431">
        <v>0</v>
      </c>
      <c r="J25" s="431">
        <v>422</v>
      </c>
      <c r="K25" s="431">
        <v>233.24499999999998</v>
      </c>
      <c r="L25" s="432">
        <v>1157.5999999999999</v>
      </c>
      <c r="M25" s="433"/>
      <c r="N25" s="255">
        <v>0</v>
      </c>
      <c r="O25" s="434">
        <f t="shared" si="0"/>
        <v>0</v>
      </c>
      <c r="R25" s="255" t="s">
        <v>16</v>
      </c>
      <c r="S25" s="434">
        <f t="shared" si="1"/>
        <v>0</v>
      </c>
    </row>
    <row r="26" spans="2:25" ht="19.5" customHeight="1">
      <c r="B26" s="1015"/>
      <c r="C26" s="435" t="s">
        <v>1311</v>
      </c>
      <c r="D26" s="436">
        <v>0</v>
      </c>
      <c r="E26" s="436">
        <v>0</v>
      </c>
      <c r="F26" s="436">
        <v>24.5</v>
      </c>
      <c r="G26" s="436">
        <v>0</v>
      </c>
      <c r="H26" s="436">
        <v>24.5</v>
      </c>
      <c r="I26" s="436">
        <v>0</v>
      </c>
      <c r="J26" s="436">
        <v>0</v>
      </c>
      <c r="K26" s="436">
        <v>105.92</v>
      </c>
      <c r="L26" s="437">
        <v>130.41999999999999</v>
      </c>
      <c r="M26" s="438"/>
      <c r="N26" s="255">
        <v>0</v>
      </c>
      <c r="O26" s="434">
        <f t="shared" si="0"/>
        <v>0</v>
      </c>
      <c r="R26" s="255" t="s">
        <v>1</v>
      </c>
      <c r="S26" s="434">
        <f t="shared" si="1"/>
        <v>24.028000000000247</v>
      </c>
    </row>
    <row r="27" spans="2:25" ht="19.5" customHeight="1">
      <c r="B27" s="1015"/>
      <c r="C27" s="444" t="s">
        <v>1407</v>
      </c>
      <c r="D27" s="439">
        <v>770.02</v>
      </c>
      <c r="E27" s="439">
        <v>0</v>
      </c>
      <c r="F27" s="439">
        <v>1253.5999999999999</v>
      </c>
      <c r="G27" s="439">
        <v>0</v>
      </c>
      <c r="H27" s="439">
        <v>2023.62</v>
      </c>
      <c r="I27" s="439">
        <v>0</v>
      </c>
      <c r="J27" s="439">
        <v>1522</v>
      </c>
      <c r="K27" s="439">
        <v>30</v>
      </c>
      <c r="L27" s="432">
        <v>3575.6199999999994</v>
      </c>
      <c r="M27" s="433"/>
      <c r="N27" s="255">
        <v>770.02</v>
      </c>
      <c r="O27" s="434">
        <f t="shared" si="0"/>
        <v>0</v>
      </c>
      <c r="R27" s="255" t="s">
        <v>6</v>
      </c>
      <c r="S27" s="434">
        <f>SUMIF($P$74:$P$235,R27,$O$74:$O$235)</f>
        <v>77.02100000000064</v>
      </c>
    </row>
    <row r="28" spans="2:25" ht="19.5" customHeight="1">
      <c r="B28" s="1015"/>
      <c r="C28" s="440" t="s">
        <v>1408</v>
      </c>
      <c r="D28" s="441">
        <v>770.02</v>
      </c>
      <c r="E28" s="441">
        <v>0</v>
      </c>
      <c r="F28" s="441">
        <v>1744.4549999999999</v>
      </c>
      <c r="G28" s="441">
        <v>36</v>
      </c>
      <c r="H28" s="441">
        <v>2550.4749999999999</v>
      </c>
      <c r="I28" s="441">
        <v>0</v>
      </c>
      <c r="J28" s="441">
        <v>1944</v>
      </c>
      <c r="K28" s="441">
        <v>369.16499999999996</v>
      </c>
      <c r="L28" s="442">
        <v>4863.6399999999994</v>
      </c>
      <c r="M28" s="443"/>
      <c r="N28" s="255">
        <v>770.02</v>
      </c>
      <c r="O28" s="434">
        <f t="shared" si="0"/>
        <v>0</v>
      </c>
      <c r="R28" s="255" t="s">
        <v>13</v>
      </c>
      <c r="S28" s="434">
        <f t="shared" si="1"/>
        <v>0</v>
      </c>
    </row>
    <row r="29" spans="2:25" ht="19.5" customHeight="1">
      <c r="B29" s="1016" t="s">
        <v>1413</v>
      </c>
      <c r="C29" s="444" t="s">
        <v>122</v>
      </c>
      <c r="D29" s="439">
        <v>0</v>
      </c>
      <c r="E29" s="439">
        <v>0</v>
      </c>
      <c r="F29" s="439">
        <v>0</v>
      </c>
      <c r="G29" s="439">
        <v>40.048000000000002</v>
      </c>
      <c r="H29" s="439">
        <v>40.048000000000002</v>
      </c>
      <c r="I29" s="439">
        <v>0</v>
      </c>
      <c r="J29" s="439">
        <v>0</v>
      </c>
      <c r="K29" s="439">
        <v>5.25</v>
      </c>
      <c r="L29" s="432">
        <v>45.298000000000002</v>
      </c>
      <c r="M29" s="433"/>
      <c r="N29" s="255">
        <v>0</v>
      </c>
      <c r="O29" s="434">
        <f t="shared" si="0"/>
        <v>0</v>
      </c>
      <c r="R29" s="255" t="s">
        <v>15</v>
      </c>
      <c r="S29" s="434">
        <f t="shared" si="1"/>
        <v>810.00394000000051</v>
      </c>
    </row>
    <row r="30" spans="2:25" ht="19.5" customHeight="1">
      <c r="B30" s="1017"/>
      <c r="C30" s="435" t="s">
        <v>1311</v>
      </c>
      <c r="D30" s="436">
        <v>0</v>
      </c>
      <c r="E30" s="436">
        <v>0</v>
      </c>
      <c r="F30" s="436">
        <v>0</v>
      </c>
      <c r="G30" s="436">
        <v>0</v>
      </c>
      <c r="H30" s="436">
        <v>0</v>
      </c>
      <c r="I30" s="436">
        <v>0</v>
      </c>
      <c r="J30" s="436">
        <v>0</v>
      </c>
      <c r="K30" s="436">
        <v>24.869999999999997</v>
      </c>
      <c r="L30" s="437">
        <v>24.869999999999997</v>
      </c>
      <c r="M30" s="438"/>
      <c r="N30" s="255">
        <v>0</v>
      </c>
      <c r="O30" s="434">
        <f t="shared" si="0"/>
        <v>0</v>
      </c>
      <c r="R30" s="255" t="s">
        <v>0</v>
      </c>
      <c r="S30" s="434">
        <f t="shared" si="1"/>
        <v>1063.5513999999966</v>
      </c>
    </row>
    <row r="31" spans="2:25" ht="19.5" customHeight="1">
      <c r="B31" s="1017"/>
      <c r="C31" s="444" t="s">
        <v>1407</v>
      </c>
      <c r="D31" s="439">
        <v>0</v>
      </c>
      <c r="E31" s="439">
        <v>0</v>
      </c>
      <c r="F31" s="439">
        <v>0</v>
      </c>
      <c r="G31" s="439">
        <v>0</v>
      </c>
      <c r="H31" s="439">
        <v>0</v>
      </c>
      <c r="I31" s="439">
        <v>0</v>
      </c>
      <c r="J31" s="439">
        <v>0</v>
      </c>
      <c r="K31" s="439">
        <v>5.0999999999999996</v>
      </c>
      <c r="L31" s="432">
        <v>5.0999999999999996</v>
      </c>
      <c r="M31" s="433"/>
      <c r="N31" s="255">
        <v>0</v>
      </c>
      <c r="O31" s="434">
        <f t="shared" si="0"/>
        <v>0</v>
      </c>
      <c r="R31" s="255" t="s">
        <v>4</v>
      </c>
      <c r="S31" s="434">
        <f t="shared" si="1"/>
        <v>0</v>
      </c>
    </row>
    <row r="32" spans="2:25" ht="19.5" customHeight="1">
      <c r="B32" s="1018"/>
      <c r="C32" s="440" t="s">
        <v>1408</v>
      </c>
      <c r="D32" s="441">
        <v>0</v>
      </c>
      <c r="E32" s="441">
        <v>0</v>
      </c>
      <c r="F32" s="441">
        <v>0</v>
      </c>
      <c r="G32" s="441">
        <v>40.048000000000002</v>
      </c>
      <c r="H32" s="441">
        <v>40.048000000000002</v>
      </c>
      <c r="I32" s="441">
        <v>0</v>
      </c>
      <c r="J32" s="441">
        <v>0</v>
      </c>
      <c r="K32" s="441">
        <v>35.22</v>
      </c>
      <c r="L32" s="442">
        <v>75.268000000000001</v>
      </c>
      <c r="M32" s="443"/>
      <c r="N32" s="255">
        <v>0</v>
      </c>
      <c r="O32" s="434">
        <f t="shared" si="0"/>
        <v>0</v>
      </c>
      <c r="R32" s="255" t="s">
        <v>17</v>
      </c>
      <c r="S32" s="434">
        <f t="shared" si="1"/>
        <v>0</v>
      </c>
    </row>
    <row r="33" spans="2:19" ht="19.5" customHeight="1">
      <c r="B33" s="1038" t="s">
        <v>1414</v>
      </c>
      <c r="C33" s="444" t="s">
        <v>122</v>
      </c>
      <c r="D33" s="439">
        <v>65931.5</v>
      </c>
      <c r="E33" s="439">
        <v>1150</v>
      </c>
      <c r="F33" s="439">
        <v>7087.3549999999996</v>
      </c>
      <c r="G33" s="439">
        <v>236.00800000000001</v>
      </c>
      <c r="H33" s="439">
        <v>74404.862999999998</v>
      </c>
      <c r="I33" s="439">
        <v>0</v>
      </c>
      <c r="J33" s="439">
        <v>27069.5</v>
      </c>
      <c r="K33" s="439">
        <v>2395.2719999999999</v>
      </c>
      <c r="L33" s="432">
        <v>103869.63499999999</v>
      </c>
      <c r="M33" s="433"/>
      <c r="N33" s="255">
        <v>65361.5</v>
      </c>
      <c r="O33" s="434">
        <f t="shared" si="0"/>
        <v>570</v>
      </c>
      <c r="R33" s="434" t="s">
        <v>92</v>
      </c>
      <c r="S33" s="434">
        <f t="shared" si="1"/>
        <v>30.917999999999971</v>
      </c>
    </row>
    <row r="34" spans="2:19" ht="19.5" customHeight="1">
      <c r="B34" s="1015"/>
      <c r="C34" s="435" t="s">
        <v>1311</v>
      </c>
      <c r="D34" s="436">
        <v>74173</v>
      </c>
      <c r="E34" s="436">
        <v>1830</v>
      </c>
      <c r="F34" s="436">
        <v>10598.743999999999</v>
      </c>
      <c r="G34" s="436">
        <v>273.70100000000002</v>
      </c>
      <c r="H34" s="436">
        <v>86875.445000000007</v>
      </c>
      <c r="I34" s="436">
        <v>0</v>
      </c>
      <c r="J34" s="436">
        <v>3493</v>
      </c>
      <c r="K34" s="436">
        <v>90406.213000000003</v>
      </c>
      <c r="L34" s="437">
        <v>180774.65800000002</v>
      </c>
      <c r="M34" s="438"/>
      <c r="N34" s="445">
        <v>74173</v>
      </c>
      <c r="O34" s="434">
        <f t="shared" si="0"/>
        <v>0</v>
      </c>
      <c r="R34" s="434" t="s">
        <v>93</v>
      </c>
      <c r="S34" s="434">
        <f t="shared" si="1"/>
        <v>0</v>
      </c>
    </row>
    <row r="35" spans="2:19" ht="19.5" customHeight="1">
      <c r="B35" s="1015"/>
      <c r="C35" s="444" t="s">
        <v>1407</v>
      </c>
      <c r="D35" s="439">
        <v>62570</v>
      </c>
      <c r="E35" s="439">
        <v>3640.0000000000005</v>
      </c>
      <c r="F35" s="439">
        <v>7237.9100000000017</v>
      </c>
      <c r="G35" s="439">
        <v>0</v>
      </c>
      <c r="H35" s="439">
        <v>73447.91</v>
      </c>
      <c r="I35" s="439">
        <v>6780</v>
      </c>
      <c r="J35" s="439">
        <v>15646.720000000003</v>
      </c>
      <c r="K35" s="439">
        <v>1632.2999999999997</v>
      </c>
      <c r="L35" s="432">
        <v>97506.93</v>
      </c>
      <c r="M35" s="433"/>
      <c r="N35" s="255">
        <v>58990</v>
      </c>
      <c r="O35" s="434">
        <f t="shared" si="0"/>
        <v>3580</v>
      </c>
      <c r="R35" s="434"/>
      <c r="S35" s="434"/>
    </row>
    <row r="36" spans="2:19" ht="19.5" customHeight="1" thickBot="1">
      <c r="B36" s="1039"/>
      <c r="C36" s="446" t="s">
        <v>7</v>
      </c>
      <c r="D36" s="447">
        <v>202674.5</v>
      </c>
      <c r="E36" s="447">
        <v>6620</v>
      </c>
      <c r="F36" s="448">
        <v>24924.008999999998</v>
      </c>
      <c r="G36" s="447">
        <v>509.70900000000006</v>
      </c>
      <c r="H36" s="447">
        <v>234728.21800000002</v>
      </c>
      <c r="I36" s="447">
        <v>6780</v>
      </c>
      <c r="J36" s="447">
        <v>46209.22</v>
      </c>
      <c r="K36" s="447">
        <v>94433.785000000003</v>
      </c>
      <c r="L36" s="449">
        <v>382151.223</v>
      </c>
      <c r="M36" s="443"/>
      <c r="N36" s="434">
        <v>198524.5</v>
      </c>
      <c r="O36" s="434">
        <f>D36-N36</f>
        <v>4150</v>
      </c>
      <c r="P36" s="434"/>
      <c r="R36" s="434"/>
      <c r="S36" s="434"/>
    </row>
    <row r="37" spans="2:19" ht="19.5" customHeight="1" thickTop="1">
      <c r="B37" s="450" t="s">
        <v>1415</v>
      </c>
      <c r="C37" s="451"/>
      <c r="D37" s="452"/>
      <c r="E37" s="452"/>
      <c r="F37" s="452"/>
      <c r="G37" s="452"/>
      <c r="H37" s="453"/>
      <c r="I37" s="453"/>
      <c r="J37" s="453"/>
      <c r="K37" s="452"/>
      <c r="L37" s="452"/>
      <c r="M37" s="454"/>
      <c r="N37" s="434"/>
      <c r="O37" s="434">
        <f t="shared" si="0"/>
        <v>0</v>
      </c>
      <c r="R37" s="255" t="s">
        <v>1485</v>
      </c>
      <c r="S37" s="434">
        <f>O110+O153+O237</f>
        <v>405.00000000000023</v>
      </c>
    </row>
    <row r="38" spans="2:19" ht="26.25" customHeight="1">
      <c r="B38" s="455" t="s">
        <v>1416</v>
      </c>
      <c r="C38" s="1040" t="s">
        <v>1417</v>
      </c>
      <c r="D38" s="1040"/>
      <c r="E38" s="1040"/>
      <c r="F38" s="1040"/>
      <c r="G38" s="1040"/>
      <c r="H38" s="1040"/>
      <c r="I38" s="1040"/>
      <c r="J38" s="1040"/>
      <c r="K38" s="1040"/>
      <c r="L38" s="1040"/>
      <c r="M38" s="676"/>
      <c r="N38" s="434"/>
      <c r="O38" s="434">
        <f t="shared" si="0"/>
        <v>0</v>
      </c>
    </row>
    <row r="39" spans="2:19" ht="19.5" customHeight="1">
      <c r="B39" s="456" t="s">
        <v>1418</v>
      </c>
      <c r="C39" s="1041" t="s">
        <v>1419</v>
      </c>
      <c r="D39" s="1041"/>
      <c r="E39" s="1041"/>
      <c r="F39" s="1041"/>
      <c r="G39" s="1041"/>
      <c r="H39" s="1041"/>
      <c r="I39" s="1041"/>
      <c r="J39" s="1041"/>
      <c r="K39" s="1041"/>
      <c r="L39" s="1041"/>
      <c r="M39" s="672"/>
      <c r="N39" s="445"/>
      <c r="O39" s="434">
        <f t="shared" si="0"/>
        <v>0</v>
      </c>
    </row>
    <row r="40" spans="2:19" ht="19.5" customHeight="1">
      <c r="B40" s="457"/>
      <c r="C40" s="457" t="s">
        <v>1420</v>
      </c>
      <c r="D40" s="457"/>
      <c r="E40" s="457"/>
      <c r="F40" s="457"/>
      <c r="G40" s="457"/>
      <c r="H40" s="457"/>
      <c r="I40" s="457"/>
      <c r="J40" s="457"/>
      <c r="K40" s="458"/>
      <c r="L40" s="458"/>
      <c r="M40" s="458"/>
      <c r="O40" s="434">
        <f t="shared" si="0"/>
        <v>0</v>
      </c>
    </row>
    <row r="41" spans="2:19" ht="19.5" customHeight="1">
      <c r="B41" s="457"/>
      <c r="C41" s="455" t="s">
        <v>1421</v>
      </c>
      <c r="D41" s="457"/>
      <c r="E41" s="457"/>
      <c r="F41" s="457"/>
      <c r="G41" s="457"/>
      <c r="H41" s="457"/>
      <c r="I41" s="457"/>
      <c r="J41" s="457"/>
      <c r="K41" s="455"/>
      <c r="L41" s="458" t="s">
        <v>1422</v>
      </c>
      <c r="M41" s="458"/>
      <c r="O41" s="434">
        <f t="shared" si="0"/>
        <v>0</v>
      </c>
    </row>
    <row r="42" spans="2:19" ht="19.5" customHeight="1">
      <c r="B42" s="459"/>
      <c r="C42" s="1042" t="s">
        <v>1423</v>
      </c>
      <c r="D42" s="1044" t="s">
        <v>38</v>
      </c>
      <c r="E42" s="1046" t="s">
        <v>1424</v>
      </c>
      <c r="F42" s="1047"/>
      <c r="G42" s="1047"/>
      <c r="H42" s="1048"/>
      <c r="I42" s="1049" t="s">
        <v>40</v>
      </c>
      <c r="J42" s="1051" t="s">
        <v>1425</v>
      </c>
      <c r="K42" s="460"/>
      <c r="L42" s="255"/>
      <c r="M42" s="255"/>
      <c r="O42" s="434" t="e">
        <f t="shared" si="0"/>
        <v>#VALUE!</v>
      </c>
    </row>
    <row r="43" spans="2:19" ht="19.5" customHeight="1">
      <c r="B43" s="459"/>
      <c r="C43" s="1043"/>
      <c r="D43" s="1045"/>
      <c r="E43" s="1058" t="s">
        <v>1426</v>
      </c>
      <c r="F43" s="1025"/>
      <c r="G43" s="1059" t="s">
        <v>44</v>
      </c>
      <c r="H43" s="1025"/>
      <c r="I43" s="1050"/>
      <c r="J43" s="1052"/>
      <c r="K43" s="460"/>
      <c r="L43" s="255"/>
      <c r="M43" s="255"/>
      <c r="O43" s="434">
        <f t="shared" si="0"/>
        <v>0</v>
      </c>
    </row>
    <row r="44" spans="2:19" ht="19.5" customHeight="1">
      <c r="B44" s="459"/>
      <c r="C44" s="674">
        <v>4786.8050000000003</v>
      </c>
      <c r="D44" s="461">
        <v>39247.050000000003</v>
      </c>
      <c r="E44" s="1060">
        <v>10145.919999999998</v>
      </c>
      <c r="F44" s="1061"/>
      <c r="G44" s="1062">
        <v>168.64</v>
      </c>
      <c r="H44" s="1061"/>
      <c r="I44" s="462">
        <v>40085.37000000001</v>
      </c>
      <c r="J44" s="675">
        <v>94433.785000000003</v>
      </c>
      <c r="K44" s="460"/>
      <c r="L44" s="255"/>
      <c r="M44" s="255"/>
      <c r="N44" s="434"/>
      <c r="O44" s="434">
        <f t="shared" si="0"/>
        <v>39247.050000000003</v>
      </c>
    </row>
    <row r="45" spans="2:19" ht="20.25" customHeight="1">
      <c r="B45" s="463"/>
      <c r="C45" s="463"/>
      <c r="D45" s="463"/>
      <c r="E45" s="463"/>
      <c r="F45" s="463"/>
      <c r="G45" s="463"/>
      <c r="H45" s="463"/>
      <c r="I45" s="463"/>
      <c r="J45" s="463"/>
      <c r="K45" s="464"/>
      <c r="L45" s="464"/>
      <c r="M45" s="464"/>
    </row>
    <row r="46" spans="2:19" ht="20.25" customHeight="1">
      <c r="B46" s="465" t="s">
        <v>1427</v>
      </c>
      <c r="C46" s="1054" t="s">
        <v>1428</v>
      </c>
      <c r="D46" s="1055"/>
      <c r="E46" s="1055" t="s">
        <v>1429</v>
      </c>
      <c r="F46" s="1055"/>
      <c r="G46" s="466" t="s">
        <v>1430</v>
      </c>
      <c r="H46" s="467"/>
      <c r="I46" s="467"/>
      <c r="J46" s="460"/>
      <c r="K46" s="460"/>
      <c r="L46" s="255"/>
      <c r="M46" s="255"/>
    </row>
    <row r="47" spans="2:19" ht="20.25" customHeight="1">
      <c r="B47" s="465"/>
      <c r="C47" s="468" t="s">
        <v>1431</v>
      </c>
      <c r="D47" s="255"/>
      <c r="E47" s="255"/>
      <c r="F47" s="255"/>
      <c r="G47" s="255"/>
      <c r="H47" s="255"/>
      <c r="I47" s="255"/>
      <c r="J47" s="255"/>
      <c r="K47" s="255"/>
      <c r="L47" s="255"/>
      <c r="M47" s="255"/>
    </row>
    <row r="48" spans="2:19" ht="20.25" customHeight="1">
      <c r="B48" s="465"/>
      <c r="C48" s="468" t="s">
        <v>1432</v>
      </c>
      <c r="D48" s="255"/>
      <c r="E48" s="255"/>
      <c r="F48" s="255"/>
      <c r="G48" s="255"/>
      <c r="H48" s="255"/>
      <c r="I48" s="255"/>
      <c r="J48" s="255"/>
      <c r="K48" s="255"/>
      <c r="L48" s="255"/>
      <c r="M48" s="255"/>
    </row>
    <row r="49" spans="2:16" ht="20.25" customHeight="1">
      <c r="B49" s="465"/>
      <c r="C49" s="1053" t="s">
        <v>1433</v>
      </c>
      <c r="D49" s="1053"/>
      <c r="E49" s="1053"/>
      <c r="F49" s="1053"/>
      <c r="G49" s="1053"/>
      <c r="H49" s="1053"/>
      <c r="I49" s="1053"/>
      <c r="J49" s="1053"/>
      <c r="K49" s="1053"/>
      <c r="L49" s="1053"/>
      <c r="M49" s="671"/>
    </row>
    <row r="50" spans="2:16" ht="20.25" customHeight="1">
      <c r="B50" s="465" t="s">
        <v>1434</v>
      </c>
      <c r="C50" s="1054" t="s">
        <v>1435</v>
      </c>
      <c r="D50" s="1055"/>
      <c r="E50" s="1055" t="s">
        <v>1429</v>
      </c>
      <c r="F50" s="1056"/>
      <c r="G50" s="466" t="s">
        <v>1436</v>
      </c>
      <c r="H50" s="467"/>
      <c r="I50" s="467"/>
      <c r="J50" s="460"/>
      <c r="K50" s="459"/>
      <c r="L50" s="255"/>
      <c r="M50" s="255"/>
    </row>
    <row r="51" spans="2:16" ht="20.25" customHeight="1">
      <c r="B51" s="465"/>
      <c r="C51" s="1041" t="s">
        <v>1437</v>
      </c>
      <c r="D51" s="1041"/>
      <c r="E51" s="1041"/>
      <c r="F51" s="1041"/>
      <c r="G51" s="1041"/>
      <c r="H51" s="1041"/>
      <c r="I51" s="1041"/>
      <c r="J51" s="1041"/>
      <c r="K51" s="1041"/>
      <c r="L51" s="1041"/>
      <c r="M51" s="672"/>
      <c r="P51" s="434"/>
    </row>
    <row r="52" spans="2:16" ht="20.25" customHeight="1">
      <c r="B52" s="255"/>
      <c r="C52" s="1041" t="s">
        <v>1438</v>
      </c>
      <c r="D52" s="1041"/>
      <c r="E52" s="1041"/>
      <c r="F52" s="1041"/>
      <c r="G52" s="1041"/>
      <c r="H52" s="1041"/>
      <c r="I52" s="1041"/>
      <c r="J52" s="1041"/>
      <c r="K52" s="1041"/>
      <c r="L52" s="1041"/>
      <c r="M52" s="672"/>
    </row>
    <row r="53" spans="2:16" ht="20.25" customHeight="1">
      <c r="B53" s="255"/>
      <c r="C53" s="1057"/>
      <c r="D53" s="1057"/>
      <c r="E53" s="1057"/>
      <c r="F53" s="1057"/>
      <c r="G53" s="1057"/>
      <c r="H53" s="1057"/>
      <c r="I53" s="1057"/>
      <c r="J53" s="1057"/>
      <c r="K53" s="1057"/>
      <c r="L53" s="1057"/>
      <c r="M53" s="673"/>
    </row>
    <row r="54" spans="2:16" ht="33" customHeight="1">
      <c r="B54" s="465" t="s">
        <v>1439</v>
      </c>
      <c r="C54" s="1063" t="s">
        <v>1440</v>
      </c>
      <c r="D54" s="1064"/>
      <c r="E54" s="1065" t="s">
        <v>1429</v>
      </c>
      <c r="F54" s="1066"/>
      <c r="G54" s="466" t="s">
        <v>1441</v>
      </c>
      <c r="H54" s="469"/>
      <c r="I54" s="469"/>
      <c r="J54" s="469"/>
      <c r="K54" s="469"/>
      <c r="L54" s="255"/>
      <c r="M54" s="255"/>
    </row>
    <row r="55" spans="2:16" ht="20.25" customHeight="1">
      <c r="B55" s="465"/>
      <c r="C55" s="470"/>
      <c r="D55" s="470"/>
      <c r="E55" s="470"/>
      <c r="F55" s="470"/>
      <c r="G55" s="470"/>
      <c r="H55" s="470"/>
      <c r="I55" s="470"/>
      <c r="J55" s="470"/>
      <c r="K55" s="470"/>
      <c r="L55" s="470"/>
      <c r="M55" s="470"/>
    </row>
    <row r="56" spans="2:16" ht="20.25" customHeight="1">
      <c r="B56" s="465" t="s">
        <v>1442</v>
      </c>
      <c r="C56" s="1054" t="s">
        <v>1443</v>
      </c>
      <c r="D56" s="1056"/>
      <c r="E56" s="471" t="s">
        <v>1429</v>
      </c>
      <c r="F56" s="677" t="s">
        <v>1444</v>
      </c>
      <c r="G56" s="472" t="s">
        <v>1445</v>
      </c>
      <c r="H56" s="469"/>
      <c r="I56" s="469"/>
      <c r="J56" s="469"/>
      <c r="K56" s="469"/>
      <c r="L56" s="445"/>
      <c r="M56" s="445"/>
      <c r="N56" s="445"/>
    </row>
    <row r="57" spans="2:16">
      <c r="B57" s="255"/>
      <c r="C57" s="255"/>
      <c r="D57" s="255"/>
      <c r="E57" s="255"/>
      <c r="F57" s="255"/>
      <c r="G57" s="255"/>
      <c r="H57" s="255"/>
      <c r="I57" s="255"/>
      <c r="J57" s="255"/>
      <c r="K57" s="255"/>
      <c r="L57" s="445"/>
      <c r="M57" s="445"/>
      <c r="N57" s="445"/>
    </row>
    <row r="58" spans="2:16">
      <c r="B58" s="255"/>
      <c r="C58" s="473"/>
      <c r="D58" s="473"/>
      <c r="E58" s="473"/>
      <c r="F58" s="473"/>
      <c r="G58" s="473"/>
      <c r="H58" s="473"/>
      <c r="I58" s="473"/>
      <c r="J58" s="473"/>
      <c r="K58" s="473"/>
      <c r="L58" s="445"/>
      <c r="M58" s="445"/>
      <c r="N58" s="445"/>
    </row>
    <row r="59" spans="2:16" ht="15.75">
      <c r="B59" s="465" t="s">
        <v>1446</v>
      </c>
      <c r="C59" s="474" t="s">
        <v>1447</v>
      </c>
      <c r="D59" s="473"/>
      <c r="E59" s="473"/>
      <c r="F59" s="473"/>
      <c r="G59" s="473"/>
      <c r="H59" s="473"/>
      <c r="I59" s="473"/>
      <c r="J59" s="473"/>
      <c r="K59" s="475"/>
      <c r="L59" s="445"/>
      <c r="M59" s="445"/>
      <c r="N59" s="445"/>
    </row>
    <row r="60" spans="2:16" ht="15" customHeight="1">
      <c r="B60" s="476"/>
      <c r="C60" s="477" t="s">
        <v>1448</v>
      </c>
      <c r="D60" s="478"/>
      <c r="E60" s="478"/>
      <c r="F60" s="478"/>
      <c r="G60" s="478"/>
      <c r="H60" s="479"/>
      <c r="I60" s="479"/>
      <c r="J60" s="479"/>
      <c r="K60" s="479"/>
      <c r="L60" s="255"/>
      <c r="M60" s="255"/>
    </row>
    <row r="61" spans="2:16" ht="15" customHeight="1">
      <c r="B61" s="480"/>
      <c r="C61" s="481" t="s">
        <v>1449</v>
      </c>
      <c r="D61" s="481"/>
      <c r="E61" s="481"/>
      <c r="F61" s="481"/>
      <c r="G61" s="481"/>
      <c r="H61" s="481"/>
      <c r="I61" s="481"/>
      <c r="J61" s="481"/>
      <c r="K61" s="481"/>
      <c r="L61" s="481"/>
      <c r="M61" s="481"/>
    </row>
    <row r="62" spans="2:16" ht="15" customHeight="1">
      <c r="B62" s="481"/>
      <c r="C62" s="477" t="s">
        <v>1450</v>
      </c>
      <c r="D62" s="255"/>
      <c r="E62" s="255"/>
      <c r="F62" s="255"/>
      <c r="G62" s="255"/>
      <c r="H62" s="255"/>
      <c r="I62" s="255"/>
      <c r="J62" s="255"/>
      <c r="K62" s="255"/>
      <c r="L62" s="481"/>
      <c r="M62" s="481"/>
    </row>
    <row r="63" spans="2:16" ht="15" customHeight="1">
      <c r="B63" s="255"/>
      <c r="C63" s="255"/>
      <c r="D63" s="481"/>
      <c r="E63" s="481"/>
      <c r="F63" s="481"/>
      <c r="G63" s="481"/>
      <c r="H63" s="481"/>
      <c r="I63" s="481"/>
      <c r="J63" s="481"/>
      <c r="K63" s="481"/>
      <c r="L63" s="255"/>
      <c r="M63" s="255"/>
    </row>
    <row r="64" spans="2:16" ht="15" customHeight="1">
      <c r="B64" s="255"/>
      <c r="C64" s="255"/>
      <c r="D64" s="481"/>
      <c r="E64" s="481"/>
      <c r="F64" s="481"/>
      <c r="G64" s="481"/>
      <c r="H64" s="481"/>
      <c r="I64" s="481"/>
      <c r="J64" s="481"/>
      <c r="K64" s="481"/>
      <c r="L64" s="255"/>
      <c r="M64" s="255"/>
    </row>
    <row r="65" spans="2:16" ht="19.5" customHeight="1">
      <c r="B65" s="482"/>
      <c r="C65" s="482"/>
      <c r="D65" s="482"/>
      <c r="E65" s="482"/>
      <c r="F65" s="482"/>
      <c r="G65" s="482"/>
      <c r="H65" s="482"/>
      <c r="I65" s="482"/>
      <c r="J65" s="482"/>
      <c r="K65" s="483"/>
      <c r="L65" s="424"/>
      <c r="M65" s="424"/>
    </row>
    <row r="66" spans="2:16" ht="19.5" customHeight="1">
      <c r="B66" s="1067" t="s">
        <v>1451</v>
      </c>
      <c r="C66" s="1067"/>
      <c r="D66" s="1067"/>
      <c r="E66" s="1067"/>
      <c r="F66" s="1067"/>
      <c r="G66" s="1067"/>
      <c r="H66" s="1067"/>
      <c r="I66" s="1067"/>
      <c r="J66" s="1067"/>
      <c r="K66" s="1067"/>
      <c r="L66" s="1067"/>
      <c r="M66" s="666"/>
    </row>
    <row r="67" spans="2:16" ht="19.5" customHeight="1">
      <c r="B67" s="1067"/>
      <c r="C67" s="1067"/>
      <c r="D67" s="1067"/>
      <c r="E67" s="1067"/>
      <c r="F67" s="1067"/>
      <c r="G67" s="1067"/>
      <c r="H67" s="1067"/>
      <c r="I67" s="1067"/>
      <c r="J67" s="1067"/>
      <c r="K67" s="1067"/>
      <c r="L67" s="1067"/>
      <c r="M67" s="666"/>
    </row>
    <row r="68" spans="2:16" ht="19.5" customHeight="1">
      <c r="B68" s="1067"/>
      <c r="C68" s="1067"/>
      <c r="D68" s="1067"/>
      <c r="E68" s="1067"/>
      <c r="F68" s="1067"/>
      <c r="G68" s="1067"/>
      <c r="H68" s="1067"/>
      <c r="I68" s="1067"/>
      <c r="J68" s="1067"/>
      <c r="K68" s="1067"/>
      <c r="L68" s="1067"/>
      <c r="M68" s="666"/>
    </row>
    <row r="69" spans="2:16" ht="19.5" customHeight="1">
      <c r="B69" s="1021" t="s">
        <v>1452</v>
      </c>
      <c r="C69" s="1021"/>
      <c r="D69" s="1021"/>
      <c r="E69" s="1021"/>
      <c r="F69" s="1021"/>
      <c r="G69" s="1021"/>
      <c r="H69" s="1021"/>
      <c r="I69" s="1021"/>
      <c r="J69" s="1021"/>
      <c r="K69" s="1021"/>
      <c r="L69" s="1021"/>
      <c r="M69" s="667"/>
    </row>
    <row r="70" spans="2:16" ht="19.5" customHeight="1">
      <c r="B70" s="484" t="s">
        <v>1453</v>
      </c>
      <c r="C70" s="484"/>
      <c r="D70" s="484"/>
      <c r="E70" s="484"/>
      <c r="F70" s="485"/>
      <c r="G70" s="486"/>
      <c r="H70" s="485"/>
      <c r="I70" s="485"/>
      <c r="J70" s="485"/>
      <c r="K70" s="1068" t="s">
        <v>1392</v>
      </c>
      <c r="L70" s="1068"/>
      <c r="M70" s="668"/>
    </row>
    <row r="71" spans="2:16" ht="19.5" customHeight="1">
      <c r="B71" s="1023" t="s">
        <v>680</v>
      </c>
      <c r="C71" s="1026" t="s">
        <v>1394</v>
      </c>
      <c r="D71" s="1029" t="s">
        <v>1395</v>
      </c>
      <c r="E71" s="1030"/>
      <c r="F71" s="1030"/>
      <c r="G71" s="1030"/>
      <c r="H71" s="1030"/>
      <c r="I71" s="1030"/>
      <c r="J71" s="1030"/>
      <c r="K71" s="1031"/>
      <c r="L71" s="1032" t="s">
        <v>1396</v>
      </c>
      <c r="M71" s="426"/>
      <c r="O71" s="487"/>
    </row>
    <row r="72" spans="2:16" ht="19.5" customHeight="1">
      <c r="B72" s="1024"/>
      <c r="C72" s="1027"/>
      <c r="D72" s="1035" t="s">
        <v>1397</v>
      </c>
      <c r="E72" s="1036"/>
      <c r="F72" s="1036"/>
      <c r="G72" s="1036"/>
      <c r="H72" s="1036"/>
      <c r="I72" s="1037" t="s">
        <v>1398</v>
      </c>
      <c r="J72" s="1011" t="s">
        <v>1454</v>
      </c>
      <c r="K72" s="1013" t="s">
        <v>1455</v>
      </c>
      <c r="L72" s="1033"/>
      <c r="M72" s="426"/>
      <c r="N72" s="427" t="s">
        <v>1401</v>
      </c>
    </row>
    <row r="73" spans="2:16" ht="19.5" customHeight="1">
      <c r="B73" s="1025"/>
      <c r="C73" s="1028"/>
      <c r="D73" s="669" t="s">
        <v>1402</v>
      </c>
      <c r="E73" s="428" t="s">
        <v>1403</v>
      </c>
      <c r="F73" s="428" t="s">
        <v>1404</v>
      </c>
      <c r="G73" s="428" t="s">
        <v>1405</v>
      </c>
      <c r="H73" s="428" t="s">
        <v>7</v>
      </c>
      <c r="I73" s="1035"/>
      <c r="J73" s="1012"/>
      <c r="K73" s="1014"/>
      <c r="L73" s="1034"/>
      <c r="M73" s="426"/>
      <c r="N73" s="669" t="s">
        <v>1402</v>
      </c>
      <c r="O73" s="669" t="s">
        <v>1479</v>
      </c>
    </row>
    <row r="74" spans="2:16" ht="19.5" customHeight="1">
      <c r="B74" s="1015" t="s">
        <v>82</v>
      </c>
      <c r="C74" s="430" t="s">
        <v>122</v>
      </c>
      <c r="D74" s="431">
        <v>0</v>
      </c>
      <c r="E74" s="431">
        <v>0</v>
      </c>
      <c r="F74" s="431">
        <v>1800.4</v>
      </c>
      <c r="G74" s="431">
        <v>0</v>
      </c>
      <c r="H74" s="431">
        <v>1800.4</v>
      </c>
      <c r="I74" s="431">
        <v>0</v>
      </c>
      <c r="J74" s="431">
        <v>0</v>
      </c>
      <c r="K74" s="431">
        <v>0</v>
      </c>
      <c r="L74" s="432">
        <v>1800.4</v>
      </c>
      <c r="M74" s="433"/>
      <c r="N74" s="255">
        <v>0</v>
      </c>
      <c r="O74" s="434">
        <f>D74-N74</f>
        <v>0</v>
      </c>
    </row>
    <row r="75" spans="2:16" ht="19.5" customHeight="1">
      <c r="B75" s="1015"/>
      <c r="C75" s="435" t="s">
        <v>1311</v>
      </c>
      <c r="D75" s="436">
        <v>878.22</v>
      </c>
      <c r="E75" s="436">
        <v>0</v>
      </c>
      <c r="F75" s="436">
        <v>108</v>
      </c>
      <c r="G75" s="436">
        <v>0</v>
      </c>
      <c r="H75" s="436">
        <v>986.22</v>
      </c>
      <c r="I75" s="436">
        <v>0</v>
      </c>
      <c r="J75" s="436">
        <v>0</v>
      </c>
      <c r="K75" s="436">
        <v>244.97</v>
      </c>
      <c r="L75" s="437">
        <v>1231.19</v>
      </c>
      <c r="M75" s="438"/>
      <c r="N75" s="255">
        <v>878.22</v>
      </c>
      <c r="O75" s="434">
        <f t="shared" ref="O75:O115" si="4">D75-N75</f>
        <v>0</v>
      </c>
    </row>
    <row r="76" spans="2:16" ht="19.5" customHeight="1">
      <c r="B76" s="1015"/>
      <c r="C76" s="444" t="s">
        <v>1407</v>
      </c>
      <c r="D76" s="439">
        <v>3525.3443999999995</v>
      </c>
      <c r="E76" s="439">
        <v>0</v>
      </c>
      <c r="F76" s="439">
        <v>207.01443399999999</v>
      </c>
      <c r="G76" s="439">
        <v>0</v>
      </c>
      <c r="H76" s="439">
        <v>3732.3588339999997</v>
      </c>
      <c r="I76" s="439">
        <v>102.82799999999999</v>
      </c>
      <c r="J76" s="439">
        <v>723.09436000000005</v>
      </c>
      <c r="K76" s="439">
        <v>0</v>
      </c>
      <c r="L76" s="432">
        <v>4558.2811939999992</v>
      </c>
      <c r="M76" s="433"/>
      <c r="N76" s="255">
        <v>3528.13</v>
      </c>
      <c r="O76" s="434">
        <f t="shared" si="4"/>
        <v>-2.7856000000006134</v>
      </c>
      <c r="P76" s="434"/>
    </row>
    <row r="77" spans="2:16" ht="19.5" customHeight="1">
      <c r="B77" s="1015"/>
      <c r="C77" s="440" t="s">
        <v>1456</v>
      </c>
      <c r="D77" s="441">
        <v>4403.5643999999993</v>
      </c>
      <c r="E77" s="441">
        <v>0</v>
      </c>
      <c r="F77" s="441">
        <v>2115.4144340000003</v>
      </c>
      <c r="G77" s="441">
        <v>0</v>
      </c>
      <c r="H77" s="441">
        <v>6518.9788339999996</v>
      </c>
      <c r="I77" s="441">
        <v>102.82799999999999</v>
      </c>
      <c r="J77" s="441">
        <v>723.09436000000005</v>
      </c>
      <c r="K77" s="441">
        <v>244.97</v>
      </c>
      <c r="L77" s="442">
        <v>7589.8711939999994</v>
      </c>
      <c r="M77" s="443"/>
      <c r="N77" s="255">
        <v>4406.3500000000004</v>
      </c>
      <c r="O77" s="434">
        <f t="shared" si="4"/>
        <v>-2.7856000000010681</v>
      </c>
    </row>
    <row r="78" spans="2:16" ht="19.5" customHeight="1">
      <c r="B78" s="1016" t="s">
        <v>56</v>
      </c>
      <c r="C78" s="444" t="s">
        <v>122</v>
      </c>
      <c r="D78" s="439">
        <v>2510</v>
      </c>
      <c r="E78" s="439">
        <v>0</v>
      </c>
      <c r="F78" s="439">
        <v>150</v>
      </c>
      <c r="G78" s="439">
        <v>0</v>
      </c>
      <c r="H78" s="439">
        <v>2660</v>
      </c>
      <c r="I78" s="439">
        <v>0</v>
      </c>
      <c r="J78" s="439">
        <v>200</v>
      </c>
      <c r="K78" s="439">
        <v>69.3</v>
      </c>
      <c r="L78" s="432">
        <v>2929.3</v>
      </c>
      <c r="M78" s="433"/>
      <c r="N78" s="255">
        <v>2510</v>
      </c>
      <c r="O78" s="434">
        <f t="shared" si="4"/>
        <v>0</v>
      </c>
    </row>
    <row r="79" spans="2:16" ht="19.5" customHeight="1">
      <c r="B79" s="1017"/>
      <c r="C79" s="435" t="s">
        <v>1311</v>
      </c>
      <c r="D79" s="436">
        <v>4561.78</v>
      </c>
      <c r="E79" s="436">
        <v>0</v>
      </c>
      <c r="F79" s="436">
        <v>0</v>
      </c>
      <c r="G79" s="436">
        <v>0</v>
      </c>
      <c r="H79" s="436">
        <v>4561.78</v>
      </c>
      <c r="I79" s="436">
        <v>0</v>
      </c>
      <c r="J79" s="436">
        <v>539</v>
      </c>
      <c r="K79" s="436">
        <v>618.89</v>
      </c>
      <c r="L79" s="437">
        <v>5719.67</v>
      </c>
      <c r="M79" s="438"/>
      <c r="N79" s="255">
        <v>4561.78</v>
      </c>
      <c r="O79" s="434">
        <f t="shared" si="4"/>
        <v>0</v>
      </c>
    </row>
    <row r="80" spans="2:16" ht="19.5" customHeight="1">
      <c r="B80" s="1017"/>
      <c r="C80" s="444" t="s">
        <v>1407</v>
      </c>
      <c r="D80" s="439">
        <v>1610.8332</v>
      </c>
      <c r="E80" s="439">
        <v>0</v>
      </c>
      <c r="F80" s="439">
        <v>535.61430899999993</v>
      </c>
      <c r="G80" s="439">
        <v>0</v>
      </c>
      <c r="H80" s="439">
        <v>2146.4475090000001</v>
      </c>
      <c r="I80" s="439">
        <v>100.93600000000001</v>
      </c>
      <c r="J80" s="439">
        <v>1579.5189399999999</v>
      </c>
      <c r="K80" s="439">
        <v>5</v>
      </c>
      <c r="L80" s="432">
        <v>3831.9024490000002</v>
      </c>
      <c r="M80" s="433"/>
      <c r="N80" s="255">
        <v>1588.79</v>
      </c>
      <c r="O80" s="434">
        <f t="shared" si="4"/>
        <v>22.04320000000007</v>
      </c>
    </row>
    <row r="81" spans="2:17" ht="19.5" customHeight="1">
      <c r="B81" s="1018"/>
      <c r="C81" s="440" t="s">
        <v>1456</v>
      </c>
      <c r="D81" s="441">
        <v>8682.6131999999998</v>
      </c>
      <c r="E81" s="441">
        <v>0</v>
      </c>
      <c r="F81" s="441">
        <v>685.61430899999993</v>
      </c>
      <c r="G81" s="441">
        <v>0</v>
      </c>
      <c r="H81" s="441">
        <v>9368.2275090000003</v>
      </c>
      <c r="I81" s="441">
        <v>100.93600000000001</v>
      </c>
      <c r="J81" s="441">
        <v>2318.5189399999999</v>
      </c>
      <c r="K81" s="441">
        <v>693.18999999999994</v>
      </c>
      <c r="L81" s="442">
        <v>12480.872449000002</v>
      </c>
      <c r="M81" s="443"/>
      <c r="N81" s="255">
        <v>8660.57</v>
      </c>
      <c r="O81" s="434">
        <f t="shared" si="4"/>
        <v>22.04320000000007</v>
      </c>
      <c r="P81" s="434" t="s">
        <v>5</v>
      </c>
      <c r="Q81" s="255">
        <v>1</v>
      </c>
    </row>
    <row r="82" spans="2:17" ht="19.5" customHeight="1">
      <c r="B82" s="1015" t="s">
        <v>1457</v>
      </c>
      <c r="C82" s="430" t="s">
        <v>122</v>
      </c>
      <c r="D82" s="431">
        <v>0</v>
      </c>
      <c r="E82" s="431">
        <v>0</v>
      </c>
      <c r="F82" s="431">
        <v>0</v>
      </c>
      <c r="G82" s="431">
        <v>0</v>
      </c>
      <c r="H82" s="431">
        <v>0</v>
      </c>
      <c r="I82" s="431">
        <v>0</v>
      </c>
      <c r="J82" s="431">
        <v>805.6</v>
      </c>
      <c r="K82" s="431">
        <v>256.61</v>
      </c>
      <c r="L82" s="432">
        <v>1062.21</v>
      </c>
      <c r="M82" s="433"/>
      <c r="N82" s="255">
        <v>0</v>
      </c>
      <c r="O82" s="434">
        <f t="shared" si="4"/>
        <v>0</v>
      </c>
    </row>
    <row r="83" spans="2:17" ht="19.5" customHeight="1">
      <c r="B83" s="1015"/>
      <c r="C83" s="435" t="s">
        <v>1311</v>
      </c>
      <c r="D83" s="436">
        <v>0</v>
      </c>
      <c r="E83" s="436">
        <v>0</v>
      </c>
      <c r="F83" s="436">
        <v>0</v>
      </c>
      <c r="G83" s="436">
        <v>0</v>
      </c>
      <c r="H83" s="436">
        <v>0</v>
      </c>
      <c r="I83" s="436">
        <v>0</v>
      </c>
      <c r="J83" s="436">
        <v>894.4</v>
      </c>
      <c r="K83" s="436">
        <v>731.43000000000006</v>
      </c>
      <c r="L83" s="437">
        <v>1625.83</v>
      </c>
      <c r="M83" s="438"/>
      <c r="N83" s="255">
        <v>0</v>
      </c>
      <c r="O83" s="434">
        <f t="shared" si="4"/>
        <v>0</v>
      </c>
    </row>
    <row r="84" spans="2:17" ht="19.5" customHeight="1">
      <c r="B84" s="1015"/>
      <c r="C84" s="444" t="s">
        <v>1407</v>
      </c>
      <c r="D84" s="439">
        <v>151.68699999999998</v>
      </c>
      <c r="E84" s="439">
        <v>0</v>
      </c>
      <c r="F84" s="439">
        <v>62.011943999999993</v>
      </c>
      <c r="G84" s="439">
        <v>0</v>
      </c>
      <c r="H84" s="439">
        <v>213.69894399999998</v>
      </c>
      <c r="I84" s="439">
        <v>28.952000000000002</v>
      </c>
      <c r="J84" s="439">
        <v>1223.8798620000002</v>
      </c>
      <c r="K84" s="439">
        <v>0</v>
      </c>
      <c r="L84" s="432">
        <v>1466.5308060000002</v>
      </c>
      <c r="M84" s="433"/>
      <c r="N84" s="255">
        <v>151.69</v>
      </c>
      <c r="O84" s="434">
        <f t="shared" si="4"/>
        <v>-3.0000000000143245E-3</v>
      </c>
      <c r="P84" s="434"/>
    </row>
    <row r="85" spans="2:17" ht="19.5" customHeight="1">
      <c r="B85" s="1015"/>
      <c r="C85" s="440" t="s">
        <v>1456</v>
      </c>
      <c r="D85" s="441">
        <v>151.68699999999998</v>
      </c>
      <c r="E85" s="441">
        <v>0</v>
      </c>
      <c r="F85" s="441">
        <v>62.011943999999993</v>
      </c>
      <c r="G85" s="441">
        <v>0</v>
      </c>
      <c r="H85" s="441">
        <v>213.69894399999998</v>
      </c>
      <c r="I85" s="441">
        <v>28.952000000000002</v>
      </c>
      <c r="J85" s="441">
        <v>2923.8798620000002</v>
      </c>
      <c r="K85" s="441">
        <v>988.04000000000008</v>
      </c>
      <c r="L85" s="442">
        <v>4154.5708059999997</v>
      </c>
      <c r="M85" s="443"/>
      <c r="N85" s="255">
        <v>151.69</v>
      </c>
      <c r="O85" s="434">
        <f t="shared" si="4"/>
        <v>-3.0000000000143245E-3</v>
      </c>
    </row>
    <row r="86" spans="2:17" ht="19.5" customHeight="1">
      <c r="B86" s="1016" t="s">
        <v>1458</v>
      </c>
      <c r="C86" s="444" t="s">
        <v>122</v>
      </c>
      <c r="D86" s="439">
        <v>0</v>
      </c>
      <c r="E86" s="439">
        <v>0</v>
      </c>
      <c r="F86" s="439">
        <v>175</v>
      </c>
      <c r="G86" s="439">
        <v>0</v>
      </c>
      <c r="H86" s="439">
        <v>175</v>
      </c>
      <c r="I86" s="439">
        <v>0</v>
      </c>
      <c r="J86" s="439">
        <v>1230</v>
      </c>
      <c r="K86" s="439">
        <v>130.97999999999999</v>
      </c>
      <c r="L86" s="432">
        <v>1535.98</v>
      </c>
      <c r="M86" s="433"/>
      <c r="N86" s="255">
        <v>0</v>
      </c>
      <c r="O86" s="434">
        <f t="shared" si="4"/>
        <v>0</v>
      </c>
    </row>
    <row r="87" spans="2:17" ht="19.5" customHeight="1">
      <c r="B87" s="1017"/>
      <c r="C87" s="435" t="s">
        <v>1311</v>
      </c>
      <c r="D87" s="436">
        <v>0</v>
      </c>
      <c r="E87" s="436">
        <v>0</v>
      </c>
      <c r="F87" s="436">
        <v>0</v>
      </c>
      <c r="G87" s="436">
        <v>0</v>
      </c>
      <c r="H87" s="436">
        <v>0</v>
      </c>
      <c r="I87" s="436">
        <v>0</v>
      </c>
      <c r="J87" s="436">
        <v>0</v>
      </c>
      <c r="K87" s="436">
        <v>75.73</v>
      </c>
      <c r="L87" s="437">
        <v>75.73</v>
      </c>
      <c r="M87" s="438"/>
      <c r="N87" s="255">
        <v>0</v>
      </c>
      <c r="O87" s="434">
        <f t="shared" si="4"/>
        <v>0</v>
      </c>
    </row>
    <row r="88" spans="2:17" ht="19.5" customHeight="1">
      <c r="B88" s="1017"/>
      <c r="C88" s="444" t="s">
        <v>1407</v>
      </c>
      <c r="D88" s="439">
        <v>577.14100000000008</v>
      </c>
      <c r="E88" s="439">
        <v>0</v>
      </c>
      <c r="F88" s="439">
        <v>129.07488999999998</v>
      </c>
      <c r="G88" s="439">
        <v>0</v>
      </c>
      <c r="H88" s="439">
        <v>706.21589000000006</v>
      </c>
      <c r="I88" s="439">
        <v>67.97999999999999</v>
      </c>
      <c r="J88" s="439">
        <v>1091.882404</v>
      </c>
      <c r="K88" s="439">
        <v>0</v>
      </c>
      <c r="L88" s="432">
        <v>1866.0782939999999</v>
      </c>
      <c r="M88" s="433"/>
      <c r="N88" s="255">
        <v>523.41999999999996</v>
      </c>
      <c r="O88" s="434">
        <f t="shared" si="4"/>
        <v>53.721000000000117</v>
      </c>
    </row>
    <row r="89" spans="2:17" ht="19.5" customHeight="1">
      <c r="B89" s="1018"/>
      <c r="C89" s="440" t="s">
        <v>1456</v>
      </c>
      <c r="D89" s="441">
        <v>577.14100000000008</v>
      </c>
      <c r="E89" s="441">
        <v>0</v>
      </c>
      <c r="F89" s="441">
        <v>304.07488999999998</v>
      </c>
      <c r="G89" s="441">
        <v>0</v>
      </c>
      <c r="H89" s="441">
        <v>881.21589000000006</v>
      </c>
      <c r="I89" s="441">
        <v>67.97999999999999</v>
      </c>
      <c r="J89" s="441">
        <v>2321.882404</v>
      </c>
      <c r="K89" s="441">
        <v>206.70999999999998</v>
      </c>
      <c r="L89" s="442">
        <v>3477.788294</v>
      </c>
      <c r="M89" s="443"/>
      <c r="N89" s="255">
        <v>523.41999999999996</v>
      </c>
      <c r="O89" s="434">
        <f t="shared" si="4"/>
        <v>53.721000000000117</v>
      </c>
      <c r="P89" s="434" t="s">
        <v>89</v>
      </c>
      <c r="Q89" s="255">
        <v>1</v>
      </c>
    </row>
    <row r="90" spans="2:17" ht="19.5" customHeight="1">
      <c r="B90" s="1015" t="s">
        <v>69</v>
      </c>
      <c r="C90" s="430" t="s">
        <v>122</v>
      </c>
      <c r="D90" s="431">
        <v>1760</v>
      </c>
      <c r="E90" s="431">
        <v>0</v>
      </c>
      <c r="F90" s="431">
        <v>150</v>
      </c>
      <c r="G90" s="431">
        <v>0</v>
      </c>
      <c r="H90" s="431">
        <v>1910</v>
      </c>
      <c r="I90" s="431">
        <v>0</v>
      </c>
      <c r="J90" s="431">
        <v>1243.4000000000001</v>
      </c>
      <c r="K90" s="431">
        <v>127.80000000000001</v>
      </c>
      <c r="L90" s="432">
        <v>3281.2</v>
      </c>
      <c r="M90" s="433"/>
      <c r="N90" s="255">
        <v>1760</v>
      </c>
      <c r="O90" s="434">
        <f t="shared" si="4"/>
        <v>0</v>
      </c>
    </row>
    <row r="91" spans="2:17" ht="19.5" customHeight="1">
      <c r="B91" s="1015"/>
      <c r="C91" s="435" t="s">
        <v>1311</v>
      </c>
      <c r="D91" s="436">
        <v>5115.5</v>
      </c>
      <c r="E91" s="436">
        <v>0</v>
      </c>
      <c r="F91" s="436">
        <v>0</v>
      </c>
      <c r="G91" s="436">
        <v>0</v>
      </c>
      <c r="H91" s="436">
        <v>5115.5</v>
      </c>
      <c r="I91" s="436">
        <v>0</v>
      </c>
      <c r="J91" s="436">
        <v>288</v>
      </c>
      <c r="K91" s="436">
        <v>1489.45</v>
      </c>
      <c r="L91" s="437">
        <v>6892.95</v>
      </c>
      <c r="M91" s="438"/>
      <c r="N91" s="255">
        <v>5115.5</v>
      </c>
      <c r="O91" s="434">
        <f t="shared" si="4"/>
        <v>0</v>
      </c>
    </row>
    <row r="92" spans="2:17" ht="19.5" customHeight="1">
      <c r="B92" s="1015"/>
      <c r="C92" s="444" t="s">
        <v>1407</v>
      </c>
      <c r="D92" s="439">
        <v>1475.9979999999998</v>
      </c>
      <c r="E92" s="439">
        <v>0</v>
      </c>
      <c r="F92" s="439">
        <v>264.00736899999998</v>
      </c>
      <c r="G92" s="439">
        <v>0</v>
      </c>
      <c r="H92" s="439">
        <v>1740.0053689999997</v>
      </c>
      <c r="I92" s="439">
        <v>196.81200000000001</v>
      </c>
      <c r="J92" s="439">
        <v>2277.722154</v>
      </c>
      <c r="K92" s="439">
        <v>0</v>
      </c>
      <c r="L92" s="432">
        <v>4214.5395229999995</v>
      </c>
      <c r="M92" s="433"/>
      <c r="N92" s="255">
        <v>1451.97</v>
      </c>
      <c r="O92" s="434">
        <f t="shared" si="4"/>
        <v>24.027999999999793</v>
      </c>
    </row>
    <row r="93" spans="2:17" ht="19.5" customHeight="1">
      <c r="B93" s="1015"/>
      <c r="C93" s="440" t="s">
        <v>1456</v>
      </c>
      <c r="D93" s="441">
        <v>8351.4979999999996</v>
      </c>
      <c r="E93" s="441">
        <v>0</v>
      </c>
      <c r="F93" s="441">
        <v>414.00736899999998</v>
      </c>
      <c r="G93" s="441">
        <v>0</v>
      </c>
      <c r="H93" s="441">
        <v>8765.5053690000004</v>
      </c>
      <c r="I93" s="441">
        <v>196.81200000000001</v>
      </c>
      <c r="J93" s="441">
        <v>3809.1221540000001</v>
      </c>
      <c r="K93" s="441">
        <v>1617.25</v>
      </c>
      <c r="L93" s="442">
        <v>14388.689522999999</v>
      </c>
      <c r="M93" s="443"/>
      <c r="N93" s="255">
        <v>8327.4699999999993</v>
      </c>
      <c r="O93" s="434">
        <f t="shared" si="4"/>
        <v>24.028000000000247</v>
      </c>
      <c r="P93" s="434" t="s">
        <v>1</v>
      </c>
      <c r="Q93" s="255">
        <v>1</v>
      </c>
    </row>
    <row r="94" spans="2:17" ht="19.5" customHeight="1">
      <c r="B94" s="1016" t="s">
        <v>70</v>
      </c>
      <c r="C94" s="444" t="s">
        <v>122</v>
      </c>
      <c r="D94" s="439">
        <v>6920</v>
      </c>
      <c r="E94" s="439">
        <v>250</v>
      </c>
      <c r="F94" s="439">
        <v>603.79999999999995</v>
      </c>
      <c r="G94" s="439">
        <v>0</v>
      </c>
      <c r="H94" s="439">
        <v>7773.8</v>
      </c>
      <c r="I94" s="439">
        <v>0</v>
      </c>
      <c r="J94" s="439">
        <v>433</v>
      </c>
      <c r="K94" s="439">
        <v>23.85</v>
      </c>
      <c r="L94" s="432">
        <v>8230.65</v>
      </c>
      <c r="M94" s="433"/>
      <c r="N94" s="255">
        <v>6920</v>
      </c>
      <c r="O94" s="434">
        <f t="shared" si="4"/>
        <v>0</v>
      </c>
    </row>
    <row r="95" spans="2:17" ht="19.5" customHeight="1">
      <c r="B95" s="1017"/>
      <c r="C95" s="435" t="s">
        <v>1311</v>
      </c>
      <c r="D95" s="436">
        <v>2957</v>
      </c>
      <c r="E95" s="436">
        <v>1080</v>
      </c>
      <c r="F95" s="436">
        <v>0</v>
      </c>
      <c r="G95" s="436">
        <v>0</v>
      </c>
      <c r="H95" s="436">
        <v>4037</v>
      </c>
      <c r="I95" s="436">
        <v>0</v>
      </c>
      <c r="J95" s="436">
        <v>104</v>
      </c>
      <c r="K95" s="436">
        <v>9836.65</v>
      </c>
      <c r="L95" s="437">
        <v>13977.65</v>
      </c>
      <c r="M95" s="438"/>
      <c r="N95" s="255">
        <v>2957</v>
      </c>
      <c r="O95" s="434">
        <f t="shared" si="4"/>
        <v>0</v>
      </c>
    </row>
    <row r="96" spans="2:17" ht="19.5" customHeight="1">
      <c r="B96" s="1017"/>
      <c r="C96" s="444" t="s">
        <v>1407</v>
      </c>
      <c r="D96" s="439">
        <v>1062.5909999999999</v>
      </c>
      <c r="E96" s="439">
        <v>250</v>
      </c>
      <c r="F96" s="439">
        <v>221.10197699999998</v>
      </c>
      <c r="G96" s="439">
        <v>0</v>
      </c>
      <c r="H96" s="439">
        <v>1533.6929769999999</v>
      </c>
      <c r="I96" s="439">
        <v>556.74</v>
      </c>
      <c r="J96" s="439">
        <v>1402.1888040000001</v>
      </c>
      <c r="K96" s="439">
        <v>344</v>
      </c>
      <c r="L96" s="432">
        <v>3836.6217809999998</v>
      </c>
      <c r="M96" s="433"/>
      <c r="N96" s="255">
        <v>985.57</v>
      </c>
      <c r="O96" s="434">
        <f t="shared" si="4"/>
        <v>77.020999999999844</v>
      </c>
    </row>
    <row r="97" spans="2:18" ht="19.5" customHeight="1">
      <c r="B97" s="1018"/>
      <c r="C97" s="440" t="s">
        <v>1456</v>
      </c>
      <c r="D97" s="441">
        <v>10939.591</v>
      </c>
      <c r="E97" s="441">
        <v>1580</v>
      </c>
      <c r="F97" s="441">
        <v>824.90197699999999</v>
      </c>
      <c r="G97" s="441">
        <v>0</v>
      </c>
      <c r="H97" s="441">
        <v>13344.492977</v>
      </c>
      <c r="I97" s="441">
        <v>556.74</v>
      </c>
      <c r="J97" s="441">
        <v>1939.1888040000001</v>
      </c>
      <c r="K97" s="441">
        <v>10204.5</v>
      </c>
      <c r="L97" s="442">
        <v>26044.921780999997</v>
      </c>
      <c r="M97" s="443"/>
      <c r="N97" s="255">
        <v>10862.57</v>
      </c>
      <c r="O97" s="434">
        <f t="shared" si="4"/>
        <v>77.02100000000064</v>
      </c>
      <c r="P97" s="434" t="s">
        <v>6</v>
      </c>
      <c r="Q97" s="255">
        <v>1</v>
      </c>
    </row>
    <row r="98" spans="2:18" ht="19.5" customHeight="1">
      <c r="B98" s="1015" t="s">
        <v>75</v>
      </c>
      <c r="C98" s="430" t="s">
        <v>122</v>
      </c>
      <c r="D98" s="431">
        <v>5469</v>
      </c>
      <c r="E98" s="431">
        <v>0</v>
      </c>
      <c r="F98" s="431">
        <v>0</v>
      </c>
      <c r="G98" s="431">
        <v>0</v>
      </c>
      <c r="H98" s="431">
        <v>5469</v>
      </c>
      <c r="I98" s="431">
        <v>0</v>
      </c>
      <c r="J98" s="431">
        <v>724.1</v>
      </c>
      <c r="K98" s="431">
        <v>49.1</v>
      </c>
      <c r="L98" s="432">
        <v>6242.2</v>
      </c>
      <c r="M98" s="433"/>
      <c r="N98" s="255">
        <v>5469</v>
      </c>
      <c r="O98" s="434">
        <f t="shared" si="4"/>
        <v>0</v>
      </c>
    </row>
    <row r="99" spans="2:18" ht="19.5" customHeight="1">
      <c r="B99" s="1015"/>
      <c r="C99" s="435" t="s">
        <v>1311</v>
      </c>
      <c r="D99" s="436">
        <v>8814.33</v>
      </c>
      <c r="E99" s="436">
        <v>0</v>
      </c>
      <c r="F99" s="436">
        <v>0</v>
      </c>
      <c r="G99" s="436">
        <v>0</v>
      </c>
      <c r="H99" s="436">
        <v>8814.33</v>
      </c>
      <c r="I99" s="436">
        <v>0</v>
      </c>
      <c r="J99" s="436">
        <v>842.4</v>
      </c>
      <c r="K99" s="436">
        <v>3799.76</v>
      </c>
      <c r="L99" s="437">
        <v>13456.49</v>
      </c>
      <c r="M99" s="438"/>
      <c r="N99" s="255">
        <v>8814.33</v>
      </c>
      <c r="O99" s="434">
        <f t="shared" si="4"/>
        <v>0</v>
      </c>
    </row>
    <row r="100" spans="2:18" ht="19.5" customHeight="1">
      <c r="B100" s="1015"/>
      <c r="C100" s="444" t="s">
        <v>1407</v>
      </c>
      <c r="D100" s="439">
        <v>5470.5113999999994</v>
      </c>
      <c r="E100" s="439">
        <v>0</v>
      </c>
      <c r="F100" s="439">
        <v>549.49237099999993</v>
      </c>
      <c r="G100" s="439">
        <v>0</v>
      </c>
      <c r="H100" s="439">
        <v>6020.0037709999997</v>
      </c>
      <c r="I100" s="439">
        <v>289.476</v>
      </c>
      <c r="J100" s="439">
        <v>1857.5322719999999</v>
      </c>
      <c r="K100" s="439">
        <v>30</v>
      </c>
      <c r="L100" s="432">
        <v>8197.0120429999988</v>
      </c>
      <c r="M100" s="433"/>
      <c r="N100" s="255">
        <v>4406.96</v>
      </c>
      <c r="O100" s="434">
        <f t="shared" si="4"/>
        <v>1063.5513999999994</v>
      </c>
    </row>
    <row r="101" spans="2:18" ht="19.5" customHeight="1">
      <c r="B101" s="1015"/>
      <c r="C101" s="440" t="s">
        <v>1456</v>
      </c>
      <c r="D101" s="441">
        <v>19753.841399999998</v>
      </c>
      <c r="E101" s="441">
        <v>0</v>
      </c>
      <c r="F101" s="441">
        <v>549.49237099999993</v>
      </c>
      <c r="G101" s="441">
        <v>0</v>
      </c>
      <c r="H101" s="441">
        <v>20303.333770999998</v>
      </c>
      <c r="I101" s="441">
        <v>289.476</v>
      </c>
      <c r="J101" s="441">
        <v>3424.0322719999999</v>
      </c>
      <c r="K101" s="441">
        <v>3878.86</v>
      </c>
      <c r="L101" s="442">
        <v>27895.702042999998</v>
      </c>
      <c r="M101" s="443"/>
      <c r="N101" s="255">
        <v>18690.29</v>
      </c>
      <c r="O101" s="434">
        <f t="shared" si="4"/>
        <v>1063.5513999999966</v>
      </c>
      <c r="P101" s="434" t="s">
        <v>0</v>
      </c>
      <c r="Q101" s="255">
        <v>1</v>
      </c>
      <c r="R101" s="434"/>
    </row>
    <row r="102" spans="2:18" ht="19.5" customHeight="1">
      <c r="B102" s="1016" t="s">
        <v>76</v>
      </c>
      <c r="C102" s="444" t="s">
        <v>122</v>
      </c>
      <c r="D102" s="439">
        <v>0</v>
      </c>
      <c r="E102" s="439">
        <v>0</v>
      </c>
      <c r="F102" s="439">
        <v>0</v>
      </c>
      <c r="G102" s="439">
        <v>0</v>
      </c>
      <c r="H102" s="439">
        <v>0</v>
      </c>
      <c r="I102" s="439">
        <v>0</v>
      </c>
      <c r="J102" s="439">
        <v>1252.1500000000001</v>
      </c>
      <c r="K102" s="439">
        <v>67.87</v>
      </c>
      <c r="L102" s="432">
        <v>1320.02</v>
      </c>
      <c r="M102" s="433"/>
      <c r="N102" s="255">
        <v>0</v>
      </c>
      <c r="O102" s="434">
        <f t="shared" si="4"/>
        <v>0</v>
      </c>
    </row>
    <row r="103" spans="2:18" ht="19.5" customHeight="1">
      <c r="B103" s="1017"/>
      <c r="C103" s="435" t="s">
        <v>1311</v>
      </c>
      <c r="D103" s="436">
        <v>99</v>
      </c>
      <c r="E103" s="436">
        <v>0</v>
      </c>
      <c r="F103" s="436">
        <v>450</v>
      </c>
      <c r="G103" s="436">
        <v>0</v>
      </c>
      <c r="H103" s="436">
        <v>549</v>
      </c>
      <c r="I103" s="436">
        <v>0</v>
      </c>
      <c r="J103" s="436">
        <v>248.20000000000002</v>
      </c>
      <c r="K103" s="436">
        <v>645.07999999999993</v>
      </c>
      <c r="L103" s="437">
        <v>1442.28</v>
      </c>
      <c r="M103" s="438"/>
      <c r="N103" s="255">
        <v>99</v>
      </c>
      <c r="O103" s="434">
        <f t="shared" si="4"/>
        <v>0</v>
      </c>
    </row>
    <row r="104" spans="2:18" ht="19.5" customHeight="1">
      <c r="B104" s="1017"/>
      <c r="C104" s="444" t="s">
        <v>1407</v>
      </c>
      <c r="D104" s="439">
        <v>392.59500000000003</v>
      </c>
      <c r="E104" s="439">
        <v>0</v>
      </c>
      <c r="F104" s="439">
        <v>69.661128999999988</v>
      </c>
      <c r="G104" s="439">
        <v>0</v>
      </c>
      <c r="H104" s="439">
        <v>462.25612899999999</v>
      </c>
      <c r="I104" s="439">
        <v>31.240000000000002</v>
      </c>
      <c r="J104" s="439">
        <v>475.54010600000004</v>
      </c>
      <c r="K104" s="439">
        <v>0</v>
      </c>
      <c r="L104" s="432">
        <v>969.03623500000003</v>
      </c>
      <c r="M104" s="433"/>
      <c r="N104" s="255">
        <v>362.17</v>
      </c>
      <c r="O104" s="434">
        <f t="shared" si="4"/>
        <v>30.425000000000011</v>
      </c>
      <c r="P104" s="434"/>
    </row>
    <row r="105" spans="2:18" ht="19.5" customHeight="1">
      <c r="B105" s="1018"/>
      <c r="C105" s="440" t="s">
        <v>1456</v>
      </c>
      <c r="D105" s="441">
        <v>491.59500000000003</v>
      </c>
      <c r="E105" s="441">
        <v>0</v>
      </c>
      <c r="F105" s="441">
        <v>519.66112899999996</v>
      </c>
      <c r="G105" s="441">
        <v>0</v>
      </c>
      <c r="H105" s="441">
        <v>1011.256129</v>
      </c>
      <c r="I105" s="441">
        <v>31.240000000000002</v>
      </c>
      <c r="J105" s="441">
        <v>1975.8901060000003</v>
      </c>
      <c r="K105" s="441">
        <v>712.94999999999993</v>
      </c>
      <c r="L105" s="442">
        <v>3731.3362350000002</v>
      </c>
      <c r="M105" s="443"/>
      <c r="N105" s="255">
        <v>461.17</v>
      </c>
      <c r="O105" s="434">
        <f t="shared" si="4"/>
        <v>30.425000000000011</v>
      </c>
    </row>
    <row r="106" spans="2:18" ht="19.5" customHeight="1">
      <c r="B106" s="1015" t="s">
        <v>79</v>
      </c>
      <c r="C106" s="430" t="s">
        <v>122</v>
      </c>
      <c r="D106" s="431">
        <v>0</v>
      </c>
      <c r="E106" s="431">
        <v>0</v>
      </c>
      <c r="F106" s="431">
        <v>0</v>
      </c>
      <c r="G106" s="431">
        <v>0</v>
      </c>
      <c r="H106" s="431">
        <v>0</v>
      </c>
      <c r="I106" s="431">
        <v>0</v>
      </c>
      <c r="J106" s="431">
        <v>0</v>
      </c>
      <c r="K106" s="431">
        <v>0</v>
      </c>
      <c r="L106" s="432">
        <v>0</v>
      </c>
      <c r="M106" s="433"/>
      <c r="N106" s="255">
        <v>0</v>
      </c>
      <c r="O106" s="434">
        <f t="shared" si="4"/>
        <v>0</v>
      </c>
    </row>
    <row r="107" spans="2:18" ht="19.5" customHeight="1">
      <c r="B107" s="1015"/>
      <c r="C107" s="435" t="s">
        <v>1311</v>
      </c>
      <c r="D107" s="436">
        <v>0</v>
      </c>
      <c r="E107" s="436">
        <v>0</v>
      </c>
      <c r="F107" s="436">
        <v>0</v>
      </c>
      <c r="G107" s="436">
        <v>0</v>
      </c>
      <c r="H107" s="436">
        <v>0</v>
      </c>
      <c r="I107" s="436">
        <v>0</v>
      </c>
      <c r="J107" s="436">
        <v>0</v>
      </c>
      <c r="K107" s="436">
        <v>45.16</v>
      </c>
      <c r="L107" s="437">
        <v>45.16</v>
      </c>
      <c r="M107" s="438"/>
      <c r="N107" s="255">
        <v>0</v>
      </c>
      <c r="O107" s="434">
        <f t="shared" si="4"/>
        <v>0</v>
      </c>
    </row>
    <row r="108" spans="2:18" ht="19.5" customHeight="1">
      <c r="B108" s="1015"/>
      <c r="C108" s="444" t="s">
        <v>1407</v>
      </c>
      <c r="D108" s="439">
        <v>44.83</v>
      </c>
      <c r="E108" s="439">
        <v>0</v>
      </c>
      <c r="F108" s="439">
        <v>15.026884999999998</v>
      </c>
      <c r="G108" s="439">
        <v>0</v>
      </c>
      <c r="H108" s="439">
        <v>59.856884999999998</v>
      </c>
      <c r="I108" s="439">
        <v>8.0080000000000009</v>
      </c>
      <c r="J108" s="439">
        <v>101.70726999999998</v>
      </c>
      <c r="K108" s="439">
        <v>0</v>
      </c>
      <c r="L108" s="432">
        <v>169.57215499999998</v>
      </c>
      <c r="M108" s="433"/>
      <c r="N108" s="255">
        <v>40.74</v>
      </c>
      <c r="O108" s="434">
        <f t="shared" si="4"/>
        <v>4.0899999999999963</v>
      </c>
      <c r="P108" s="434"/>
    </row>
    <row r="109" spans="2:18" ht="19.5" customHeight="1">
      <c r="B109" s="1015"/>
      <c r="C109" s="440" t="s">
        <v>1456</v>
      </c>
      <c r="D109" s="441">
        <v>44.83</v>
      </c>
      <c r="E109" s="441">
        <v>0</v>
      </c>
      <c r="F109" s="441">
        <v>15.026884999999998</v>
      </c>
      <c r="G109" s="441">
        <v>0</v>
      </c>
      <c r="H109" s="441">
        <v>59.856884999999998</v>
      </c>
      <c r="I109" s="441">
        <v>8.0080000000000009</v>
      </c>
      <c r="J109" s="441">
        <v>101.70726999999998</v>
      </c>
      <c r="K109" s="441">
        <v>45.16</v>
      </c>
      <c r="L109" s="442">
        <v>214.73215499999998</v>
      </c>
      <c r="M109" s="443"/>
      <c r="N109" s="255">
        <v>40.74</v>
      </c>
      <c r="O109" s="434">
        <f t="shared" si="4"/>
        <v>4.0899999999999963</v>
      </c>
      <c r="P109" s="255" t="s">
        <v>92</v>
      </c>
      <c r="Q109" s="255">
        <v>1</v>
      </c>
    </row>
    <row r="110" spans="2:18" ht="19.5" customHeight="1">
      <c r="B110" s="1069" t="s">
        <v>1459</v>
      </c>
      <c r="C110" s="1070"/>
      <c r="D110" s="488">
        <v>1431.0300000000002</v>
      </c>
      <c r="E110" s="488">
        <v>0</v>
      </c>
      <c r="F110" s="488">
        <v>291.05469199999999</v>
      </c>
      <c r="G110" s="488">
        <v>0</v>
      </c>
      <c r="H110" s="488">
        <v>1722.0846920000001</v>
      </c>
      <c r="I110" s="488">
        <v>237.02799999999996</v>
      </c>
      <c r="J110" s="488">
        <v>751.45382800000016</v>
      </c>
      <c r="K110" s="488">
        <v>0</v>
      </c>
      <c r="L110" s="489">
        <v>2710.5665200000003</v>
      </c>
      <c r="M110" s="490"/>
      <c r="N110" s="255">
        <v>1315.53</v>
      </c>
      <c r="O110" s="727">
        <f t="shared" si="4"/>
        <v>115.50000000000023</v>
      </c>
      <c r="P110" s="434"/>
    </row>
    <row r="111" spans="2:18" ht="19.5" customHeight="1">
      <c r="B111" s="1016" t="s">
        <v>1460</v>
      </c>
      <c r="C111" s="444" t="s">
        <v>122</v>
      </c>
      <c r="D111" s="439">
        <v>16659</v>
      </c>
      <c r="E111" s="439">
        <v>250</v>
      </c>
      <c r="F111" s="439">
        <v>2879.2</v>
      </c>
      <c r="G111" s="439">
        <v>0</v>
      </c>
      <c r="H111" s="439">
        <v>19788.2</v>
      </c>
      <c r="I111" s="439">
        <v>0</v>
      </c>
      <c r="J111" s="439">
        <v>5888.25</v>
      </c>
      <c r="K111" s="439">
        <v>725.51</v>
      </c>
      <c r="L111" s="432">
        <v>26401.96</v>
      </c>
      <c r="M111" s="433"/>
      <c r="N111" s="255">
        <v>16659</v>
      </c>
      <c r="O111" s="434">
        <f t="shared" si="4"/>
        <v>0</v>
      </c>
    </row>
    <row r="112" spans="2:18" ht="19.5" customHeight="1">
      <c r="B112" s="1017"/>
      <c r="C112" s="435" t="s">
        <v>1311</v>
      </c>
      <c r="D112" s="436">
        <v>22425.83</v>
      </c>
      <c r="E112" s="436">
        <v>1080</v>
      </c>
      <c r="F112" s="436">
        <v>558</v>
      </c>
      <c r="G112" s="436">
        <v>0</v>
      </c>
      <c r="H112" s="436">
        <v>24063.83</v>
      </c>
      <c r="I112" s="436">
        <v>0</v>
      </c>
      <c r="J112" s="436">
        <v>2916</v>
      </c>
      <c r="K112" s="436">
        <v>17487.12</v>
      </c>
      <c r="L112" s="437">
        <v>44466.950000000004</v>
      </c>
      <c r="M112" s="438"/>
      <c r="N112" s="255">
        <v>22425.83</v>
      </c>
      <c r="O112" s="434">
        <f t="shared" si="4"/>
        <v>0</v>
      </c>
    </row>
    <row r="113" spans="2:17" ht="19.5" customHeight="1">
      <c r="B113" s="1017"/>
      <c r="C113" s="444" t="s">
        <v>1407</v>
      </c>
      <c r="D113" s="439">
        <v>15742.560999999998</v>
      </c>
      <c r="E113" s="439">
        <v>250</v>
      </c>
      <c r="F113" s="439">
        <v>2344.0600000000004</v>
      </c>
      <c r="G113" s="439">
        <v>0</v>
      </c>
      <c r="H113" s="439">
        <v>18336.620999999999</v>
      </c>
      <c r="I113" s="439">
        <v>1620.0000000000002</v>
      </c>
      <c r="J113" s="439">
        <v>11484.520000000002</v>
      </c>
      <c r="K113" s="439">
        <v>379</v>
      </c>
      <c r="L113" s="432">
        <v>31820.140999999996</v>
      </c>
      <c r="M113" s="433"/>
      <c r="N113" s="255">
        <v>14354.96</v>
      </c>
      <c r="O113" s="434">
        <f t="shared" si="4"/>
        <v>1387.6009999999987</v>
      </c>
    </row>
    <row r="114" spans="2:17" ht="19.5" customHeight="1">
      <c r="B114" s="1071"/>
      <c r="C114" s="446" t="s">
        <v>1396</v>
      </c>
      <c r="D114" s="447">
        <v>54827.391000000003</v>
      </c>
      <c r="E114" s="447">
        <v>1580</v>
      </c>
      <c r="F114" s="447">
        <v>5781.26</v>
      </c>
      <c r="G114" s="447">
        <v>0</v>
      </c>
      <c r="H114" s="447">
        <v>62188.650999999998</v>
      </c>
      <c r="I114" s="447">
        <v>1620.0000000000002</v>
      </c>
      <c r="J114" s="447">
        <v>20288.770000000004</v>
      </c>
      <c r="K114" s="447">
        <v>18591.629999999997</v>
      </c>
      <c r="L114" s="449">
        <v>102689.05100000001</v>
      </c>
      <c r="M114" s="443"/>
      <c r="N114" s="255">
        <v>53439.79</v>
      </c>
      <c r="O114" s="434">
        <f t="shared" si="4"/>
        <v>1387.6010000000024</v>
      </c>
    </row>
    <row r="115" spans="2:17" ht="19.5" customHeight="1">
      <c r="B115" s="491"/>
      <c r="C115" s="492"/>
      <c r="D115" s="493"/>
      <c r="E115" s="493"/>
      <c r="F115" s="493"/>
      <c r="G115" s="493"/>
      <c r="H115" s="493"/>
      <c r="I115" s="493"/>
      <c r="J115" s="493"/>
      <c r="K115" s="493"/>
      <c r="L115" s="493" t="s">
        <v>1422</v>
      </c>
      <c r="M115" s="493"/>
      <c r="O115" s="434">
        <f t="shared" si="4"/>
        <v>0</v>
      </c>
    </row>
    <row r="116" spans="2:17" ht="19.5" customHeight="1">
      <c r="B116" s="482"/>
      <c r="C116" s="494"/>
      <c r="D116" s="495"/>
      <c r="E116" s="495"/>
      <c r="F116" s="495"/>
      <c r="G116" s="495"/>
      <c r="H116" s="495"/>
      <c r="I116" s="495"/>
      <c r="J116" s="495"/>
      <c r="K116" s="483"/>
      <c r="L116" s="424"/>
      <c r="M116" s="424"/>
    </row>
    <row r="117" spans="2:17" ht="19.5" customHeight="1">
      <c r="B117" s="1067" t="s">
        <v>1461</v>
      </c>
      <c r="C117" s="1067"/>
      <c r="D117" s="1067"/>
      <c r="E117" s="1067"/>
      <c r="F117" s="1067"/>
      <c r="G117" s="1067"/>
      <c r="H117" s="1067"/>
      <c r="I117" s="1067"/>
      <c r="J117" s="1067"/>
      <c r="K117" s="1067"/>
      <c r="L117" s="1067"/>
      <c r="M117" s="666"/>
    </row>
    <row r="118" spans="2:17" ht="19.5" customHeight="1">
      <c r="B118" s="1067"/>
      <c r="C118" s="1067"/>
      <c r="D118" s="1067"/>
      <c r="E118" s="1067"/>
      <c r="F118" s="1067"/>
      <c r="G118" s="1067"/>
      <c r="H118" s="1067"/>
      <c r="I118" s="1067"/>
      <c r="J118" s="1067"/>
      <c r="K118" s="1067"/>
      <c r="L118" s="1067"/>
      <c r="M118" s="666"/>
    </row>
    <row r="119" spans="2:17" ht="19.5" customHeight="1">
      <c r="B119" s="1067"/>
      <c r="C119" s="1067"/>
      <c r="D119" s="1067"/>
      <c r="E119" s="1067"/>
      <c r="F119" s="1067"/>
      <c r="G119" s="1067"/>
      <c r="H119" s="1067"/>
      <c r="I119" s="1067"/>
      <c r="J119" s="1067"/>
      <c r="K119" s="1067"/>
      <c r="L119" s="1067"/>
      <c r="M119" s="666"/>
    </row>
    <row r="120" spans="2:17" ht="19.5" customHeight="1">
      <c r="B120" s="1021" t="s">
        <v>1452</v>
      </c>
      <c r="C120" s="1021"/>
      <c r="D120" s="1021"/>
      <c r="E120" s="1021"/>
      <c r="F120" s="1021"/>
      <c r="G120" s="1021"/>
      <c r="H120" s="1021"/>
      <c r="I120" s="1021"/>
      <c r="J120" s="1021"/>
      <c r="K120" s="1021"/>
      <c r="L120" s="1021"/>
      <c r="M120" s="667"/>
    </row>
    <row r="121" spans="2:17" ht="19.5" customHeight="1">
      <c r="B121" s="496"/>
      <c r="C121" s="496"/>
      <c r="D121" s="496"/>
      <c r="E121" s="496"/>
      <c r="F121" s="496"/>
      <c r="G121" s="496"/>
      <c r="H121" s="496"/>
      <c r="I121" s="497"/>
      <c r="J121" s="496"/>
      <c r="K121" s="1072" t="s">
        <v>1392</v>
      </c>
      <c r="L121" s="1072"/>
      <c r="M121" s="670"/>
    </row>
    <row r="122" spans="2:17" ht="19.5" customHeight="1">
      <c r="B122" s="1023" t="s">
        <v>680</v>
      </c>
      <c r="C122" s="1026" t="s">
        <v>1394</v>
      </c>
      <c r="D122" s="1029" t="s">
        <v>1395</v>
      </c>
      <c r="E122" s="1030"/>
      <c r="F122" s="1030"/>
      <c r="G122" s="1030"/>
      <c r="H122" s="1030"/>
      <c r="I122" s="1030"/>
      <c r="J122" s="1030"/>
      <c r="K122" s="1031"/>
      <c r="L122" s="1032" t="s">
        <v>1396</v>
      </c>
      <c r="M122" s="426"/>
    </row>
    <row r="123" spans="2:17" ht="19.5" customHeight="1">
      <c r="B123" s="1024"/>
      <c r="C123" s="1027"/>
      <c r="D123" s="1035" t="s">
        <v>1397</v>
      </c>
      <c r="E123" s="1036"/>
      <c r="F123" s="1036"/>
      <c r="G123" s="1036"/>
      <c r="H123" s="1036"/>
      <c r="I123" s="1037" t="s">
        <v>1398</v>
      </c>
      <c r="J123" s="1011" t="s">
        <v>1454</v>
      </c>
      <c r="K123" s="1013" t="s">
        <v>1455</v>
      </c>
      <c r="L123" s="1033"/>
      <c r="M123" s="426"/>
      <c r="N123" s="427" t="s">
        <v>1401</v>
      </c>
    </row>
    <row r="124" spans="2:17" ht="19.5" customHeight="1">
      <c r="B124" s="1025"/>
      <c r="C124" s="1028"/>
      <c r="D124" s="669" t="s">
        <v>1402</v>
      </c>
      <c r="E124" s="428" t="s">
        <v>1403</v>
      </c>
      <c r="F124" s="428" t="s">
        <v>1404</v>
      </c>
      <c r="G124" s="428" t="s">
        <v>1405</v>
      </c>
      <c r="H124" s="428" t="s">
        <v>7</v>
      </c>
      <c r="I124" s="1035"/>
      <c r="J124" s="1012"/>
      <c r="K124" s="1014"/>
      <c r="L124" s="1034"/>
      <c r="M124" s="426"/>
      <c r="N124" s="669" t="s">
        <v>1402</v>
      </c>
      <c r="O124" s="669" t="s">
        <v>1479</v>
      </c>
    </row>
    <row r="125" spans="2:17" ht="19.5" customHeight="1">
      <c r="B125" s="1015" t="s">
        <v>54</v>
      </c>
      <c r="C125" s="430" t="s">
        <v>122</v>
      </c>
      <c r="D125" s="431">
        <v>0</v>
      </c>
      <c r="E125" s="431">
        <v>0</v>
      </c>
      <c r="F125" s="431">
        <v>0</v>
      </c>
      <c r="G125" s="431">
        <v>0</v>
      </c>
      <c r="H125" s="431">
        <v>0</v>
      </c>
      <c r="I125" s="431">
        <v>0</v>
      </c>
      <c r="J125" s="431">
        <v>0</v>
      </c>
      <c r="K125" s="431">
        <v>0.05</v>
      </c>
      <c r="L125" s="432">
        <v>0.05</v>
      </c>
      <c r="M125" s="433"/>
      <c r="N125" s="255">
        <v>0</v>
      </c>
      <c r="O125" s="434">
        <f>D125-N125</f>
        <v>0</v>
      </c>
    </row>
    <row r="126" spans="2:17" ht="19.5" customHeight="1">
      <c r="B126" s="1015"/>
      <c r="C126" s="435" t="s">
        <v>1311</v>
      </c>
      <c r="D126" s="436">
        <v>0</v>
      </c>
      <c r="E126" s="436">
        <v>0</v>
      </c>
      <c r="F126" s="436">
        <v>48</v>
      </c>
      <c r="G126" s="436">
        <v>0</v>
      </c>
      <c r="H126" s="436">
        <v>48</v>
      </c>
      <c r="I126" s="436">
        <v>0</v>
      </c>
      <c r="J126" s="436">
        <v>0</v>
      </c>
      <c r="K126" s="436">
        <v>7.78</v>
      </c>
      <c r="L126" s="437">
        <v>55.78</v>
      </c>
      <c r="M126" s="438"/>
      <c r="N126" s="255">
        <v>0</v>
      </c>
      <c r="O126" s="434">
        <f t="shared" ref="O126:O157" si="5">D126-N126</f>
        <v>0</v>
      </c>
    </row>
    <row r="127" spans="2:17" ht="19.5" customHeight="1">
      <c r="B127" s="1015"/>
      <c r="C127" s="444" t="s">
        <v>1407</v>
      </c>
      <c r="D127" s="439">
        <v>492.26799999999997</v>
      </c>
      <c r="E127" s="439">
        <v>0</v>
      </c>
      <c r="F127" s="439">
        <v>19.670000000000002</v>
      </c>
      <c r="G127" s="439">
        <v>0</v>
      </c>
      <c r="H127" s="439">
        <v>511.93799999999999</v>
      </c>
      <c r="I127" s="439">
        <v>26</v>
      </c>
      <c r="J127" s="439">
        <v>2</v>
      </c>
      <c r="K127" s="439">
        <v>0</v>
      </c>
      <c r="L127" s="432">
        <v>539.93799999999999</v>
      </c>
      <c r="M127" s="433"/>
      <c r="N127" s="255">
        <v>481.33</v>
      </c>
      <c r="O127" s="434">
        <f t="shared" si="5"/>
        <v>10.937999999999988</v>
      </c>
    </row>
    <row r="128" spans="2:17" ht="19.5" customHeight="1">
      <c r="B128" s="1015"/>
      <c r="C128" s="440" t="s">
        <v>1456</v>
      </c>
      <c r="D128" s="441">
        <v>492.26799999999997</v>
      </c>
      <c r="E128" s="441">
        <v>0</v>
      </c>
      <c r="F128" s="441">
        <v>67.67</v>
      </c>
      <c r="G128" s="441">
        <v>0</v>
      </c>
      <c r="H128" s="441">
        <v>559.93799999999999</v>
      </c>
      <c r="I128" s="441">
        <v>26</v>
      </c>
      <c r="J128" s="441">
        <v>2</v>
      </c>
      <c r="K128" s="441">
        <v>7.83</v>
      </c>
      <c r="L128" s="442">
        <v>595.76800000000003</v>
      </c>
      <c r="M128" s="443"/>
      <c r="N128" s="255">
        <v>481.33</v>
      </c>
      <c r="O128" s="434">
        <f t="shared" si="5"/>
        <v>10.937999999999988</v>
      </c>
      <c r="P128" s="255" t="s">
        <v>91</v>
      </c>
      <c r="Q128" s="255">
        <v>1</v>
      </c>
    </row>
    <row r="129" spans="2:17" ht="19.5" customHeight="1">
      <c r="B129" s="1016" t="s">
        <v>81</v>
      </c>
      <c r="C129" s="444" t="s">
        <v>122</v>
      </c>
      <c r="D129" s="439">
        <v>0</v>
      </c>
      <c r="E129" s="439">
        <v>0</v>
      </c>
      <c r="F129" s="439">
        <v>0</v>
      </c>
      <c r="G129" s="439">
        <v>0</v>
      </c>
      <c r="H129" s="439">
        <v>0</v>
      </c>
      <c r="I129" s="439">
        <v>0</v>
      </c>
      <c r="J129" s="439">
        <v>0</v>
      </c>
      <c r="K129" s="439">
        <v>0</v>
      </c>
      <c r="L129" s="432">
        <v>0</v>
      </c>
      <c r="M129" s="433"/>
      <c r="N129" s="255">
        <v>0</v>
      </c>
      <c r="O129" s="434">
        <f t="shared" si="5"/>
        <v>0</v>
      </c>
    </row>
    <row r="130" spans="2:17" ht="19.5" customHeight="1">
      <c r="B130" s="1017"/>
      <c r="C130" s="435" t="s">
        <v>1311</v>
      </c>
      <c r="D130" s="436">
        <v>0</v>
      </c>
      <c r="E130" s="436">
        <v>0</v>
      </c>
      <c r="F130" s="436">
        <v>0</v>
      </c>
      <c r="G130" s="436">
        <v>0</v>
      </c>
      <c r="H130" s="436">
        <v>0</v>
      </c>
      <c r="I130" s="436">
        <v>0</v>
      </c>
      <c r="J130" s="436">
        <v>0</v>
      </c>
      <c r="K130" s="436">
        <v>40.549999999999997</v>
      </c>
      <c r="L130" s="437">
        <v>40.549999999999997</v>
      </c>
      <c r="M130" s="438"/>
      <c r="N130" s="255">
        <v>0</v>
      </c>
      <c r="O130" s="434">
        <f t="shared" si="5"/>
        <v>0</v>
      </c>
    </row>
    <row r="131" spans="2:17" ht="19.5" customHeight="1">
      <c r="B131" s="1017"/>
      <c r="C131" s="444" t="s">
        <v>1407</v>
      </c>
      <c r="D131" s="439">
        <v>164.74399999999997</v>
      </c>
      <c r="E131" s="439">
        <v>0</v>
      </c>
      <c r="F131" s="439">
        <v>43.34</v>
      </c>
      <c r="G131" s="439">
        <v>0</v>
      </c>
      <c r="H131" s="439">
        <v>208.08399999999997</v>
      </c>
      <c r="I131" s="439">
        <v>7</v>
      </c>
      <c r="J131" s="439">
        <v>0</v>
      </c>
      <c r="K131" s="439">
        <v>0</v>
      </c>
      <c r="L131" s="432">
        <v>215.08399999999997</v>
      </c>
      <c r="M131" s="433"/>
      <c r="N131" s="255">
        <v>153.55000000000001</v>
      </c>
      <c r="O131" s="434">
        <f t="shared" si="5"/>
        <v>11.19399999999996</v>
      </c>
    </row>
    <row r="132" spans="2:17" ht="19.5" customHeight="1">
      <c r="B132" s="1018"/>
      <c r="C132" s="440" t="s">
        <v>1456</v>
      </c>
      <c r="D132" s="441">
        <v>164.74399999999997</v>
      </c>
      <c r="E132" s="441">
        <v>0</v>
      </c>
      <c r="F132" s="441">
        <v>43.34</v>
      </c>
      <c r="G132" s="441">
        <v>0</v>
      </c>
      <c r="H132" s="441">
        <v>208.08399999999997</v>
      </c>
      <c r="I132" s="441">
        <v>7</v>
      </c>
      <c r="J132" s="441">
        <v>0</v>
      </c>
      <c r="K132" s="441">
        <v>40.549999999999997</v>
      </c>
      <c r="L132" s="442">
        <v>255.63399999999996</v>
      </c>
      <c r="M132" s="443"/>
      <c r="N132" s="255">
        <v>153.55000000000001</v>
      </c>
      <c r="O132" s="434">
        <f t="shared" si="5"/>
        <v>11.19399999999996</v>
      </c>
      <c r="P132" s="255" t="s">
        <v>92</v>
      </c>
      <c r="Q132" s="255">
        <v>1</v>
      </c>
    </row>
    <row r="133" spans="2:17" ht="19.5" customHeight="1">
      <c r="B133" s="1015" t="s">
        <v>55</v>
      </c>
      <c r="C133" s="430" t="s">
        <v>122</v>
      </c>
      <c r="D133" s="431">
        <v>4510</v>
      </c>
      <c r="E133" s="431">
        <v>900</v>
      </c>
      <c r="F133" s="431">
        <v>2177.8200000000002</v>
      </c>
      <c r="G133" s="431">
        <v>0</v>
      </c>
      <c r="H133" s="431">
        <v>7587.82</v>
      </c>
      <c r="I133" s="431">
        <v>0</v>
      </c>
      <c r="J133" s="431">
        <v>772</v>
      </c>
      <c r="K133" s="431">
        <v>86.09</v>
      </c>
      <c r="L133" s="432">
        <v>8445.91</v>
      </c>
      <c r="M133" s="433"/>
      <c r="N133" s="255">
        <v>4510</v>
      </c>
      <c r="O133" s="434">
        <f t="shared" si="5"/>
        <v>0</v>
      </c>
    </row>
    <row r="134" spans="2:17" ht="19.5" customHeight="1">
      <c r="B134" s="1015"/>
      <c r="C134" s="435" t="s">
        <v>1311</v>
      </c>
      <c r="D134" s="436">
        <v>7144.67</v>
      </c>
      <c r="E134" s="436">
        <v>500</v>
      </c>
      <c r="F134" s="436">
        <v>3985</v>
      </c>
      <c r="G134" s="436">
        <v>0</v>
      </c>
      <c r="H134" s="436">
        <v>11629.67</v>
      </c>
      <c r="I134" s="436">
        <v>0</v>
      </c>
      <c r="J134" s="436">
        <v>0</v>
      </c>
      <c r="K134" s="436">
        <v>12823.24</v>
      </c>
      <c r="L134" s="437">
        <v>24452.91</v>
      </c>
      <c r="M134" s="438"/>
      <c r="N134" s="255">
        <v>7144.67</v>
      </c>
      <c r="O134" s="434">
        <f t="shared" si="5"/>
        <v>0</v>
      </c>
    </row>
    <row r="135" spans="2:17" ht="19.5" customHeight="1">
      <c r="B135" s="1015"/>
      <c r="C135" s="444" t="s">
        <v>1407</v>
      </c>
      <c r="D135" s="439">
        <v>3768.29</v>
      </c>
      <c r="E135" s="439">
        <v>0</v>
      </c>
      <c r="F135" s="439">
        <v>424</v>
      </c>
      <c r="G135" s="439">
        <v>0</v>
      </c>
      <c r="H135" s="439">
        <v>4192.29</v>
      </c>
      <c r="I135" s="439">
        <v>559</v>
      </c>
      <c r="J135" s="439">
        <v>0</v>
      </c>
      <c r="K135" s="439">
        <v>243.3</v>
      </c>
      <c r="L135" s="432">
        <v>4994.59</v>
      </c>
      <c r="M135" s="433"/>
      <c r="N135" s="255">
        <v>3487.95</v>
      </c>
      <c r="O135" s="434">
        <f t="shared" si="5"/>
        <v>280.34000000000015</v>
      </c>
    </row>
    <row r="136" spans="2:17" ht="19.5" customHeight="1">
      <c r="B136" s="1015"/>
      <c r="C136" s="440" t="s">
        <v>1456</v>
      </c>
      <c r="D136" s="441">
        <v>15422.96</v>
      </c>
      <c r="E136" s="441">
        <v>1400</v>
      </c>
      <c r="F136" s="441">
        <v>6586.82</v>
      </c>
      <c r="G136" s="441">
        <v>0</v>
      </c>
      <c r="H136" s="441">
        <v>23409.78</v>
      </c>
      <c r="I136" s="441">
        <v>559</v>
      </c>
      <c r="J136" s="441">
        <v>772</v>
      </c>
      <c r="K136" s="441">
        <v>13152.63</v>
      </c>
      <c r="L136" s="442">
        <v>37893.410000000003</v>
      </c>
      <c r="M136" s="443"/>
      <c r="N136" s="255">
        <v>15142.62</v>
      </c>
      <c r="O136" s="434">
        <f t="shared" si="5"/>
        <v>280.33999999999833</v>
      </c>
      <c r="P136" s="255" t="s">
        <v>8</v>
      </c>
      <c r="Q136" s="255">
        <v>1</v>
      </c>
    </row>
    <row r="137" spans="2:17" ht="19.5" customHeight="1">
      <c r="B137" s="1016" t="s">
        <v>169</v>
      </c>
      <c r="C137" s="444" t="s">
        <v>122</v>
      </c>
      <c r="D137" s="439">
        <v>5400</v>
      </c>
      <c r="E137" s="439">
        <v>0</v>
      </c>
      <c r="F137" s="439">
        <v>0</v>
      </c>
      <c r="G137" s="439">
        <v>0</v>
      </c>
      <c r="H137" s="439">
        <v>5400</v>
      </c>
      <c r="I137" s="439">
        <v>0</v>
      </c>
      <c r="J137" s="439">
        <v>1703.66</v>
      </c>
      <c r="K137" s="439">
        <v>83.96</v>
      </c>
      <c r="L137" s="432">
        <v>7187.62</v>
      </c>
      <c r="M137" s="433"/>
      <c r="N137" s="255">
        <v>5400</v>
      </c>
      <c r="O137" s="434">
        <f t="shared" si="5"/>
        <v>0</v>
      </c>
    </row>
    <row r="138" spans="2:17" ht="19.5" customHeight="1">
      <c r="B138" s="1017"/>
      <c r="C138" s="435" t="s">
        <v>1311</v>
      </c>
      <c r="D138" s="436">
        <v>6079</v>
      </c>
      <c r="E138" s="436">
        <v>0</v>
      </c>
      <c r="F138" s="436">
        <v>75</v>
      </c>
      <c r="G138" s="436">
        <v>0</v>
      </c>
      <c r="H138" s="436">
        <v>6154</v>
      </c>
      <c r="I138" s="436">
        <v>0</v>
      </c>
      <c r="J138" s="436">
        <v>0</v>
      </c>
      <c r="K138" s="436">
        <v>4821.6099999999997</v>
      </c>
      <c r="L138" s="437">
        <v>10975.61</v>
      </c>
      <c r="M138" s="438"/>
      <c r="N138" s="255">
        <v>6079</v>
      </c>
      <c r="O138" s="434">
        <f t="shared" si="5"/>
        <v>0</v>
      </c>
    </row>
    <row r="139" spans="2:17" ht="19.5" customHeight="1">
      <c r="B139" s="1017"/>
      <c r="C139" s="444" t="s">
        <v>1407</v>
      </c>
      <c r="D139" s="439">
        <v>4976.0899999999992</v>
      </c>
      <c r="E139" s="439">
        <v>0</v>
      </c>
      <c r="F139" s="439">
        <v>257</v>
      </c>
      <c r="G139" s="439">
        <v>0</v>
      </c>
      <c r="H139" s="439">
        <v>5233.0899999999992</v>
      </c>
      <c r="I139" s="439">
        <v>273</v>
      </c>
      <c r="J139" s="439">
        <v>1520</v>
      </c>
      <c r="K139" s="439">
        <v>300</v>
      </c>
      <c r="L139" s="432">
        <v>7326.0899999999992</v>
      </c>
      <c r="M139" s="433"/>
      <c r="N139" s="255">
        <v>4502.38</v>
      </c>
      <c r="O139" s="434">
        <f t="shared" si="5"/>
        <v>473.70999999999913</v>
      </c>
    </row>
    <row r="140" spans="2:17" ht="19.5" customHeight="1">
      <c r="B140" s="1018"/>
      <c r="C140" s="440" t="s">
        <v>1456</v>
      </c>
      <c r="D140" s="441">
        <v>16455.09</v>
      </c>
      <c r="E140" s="441">
        <v>0</v>
      </c>
      <c r="F140" s="441">
        <v>332</v>
      </c>
      <c r="G140" s="441">
        <v>0</v>
      </c>
      <c r="H140" s="441">
        <v>16787.09</v>
      </c>
      <c r="I140" s="441">
        <v>273</v>
      </c>
      <c r="J140" s="441">
        <v>3223.66</v>
      </c>
      <c r="K140" s="441">
        <v>5205.57</v>
      </c>
      <c r="L140" s="442">
        <v>25489.32</v>
      </c>
      <c r="M140" s="443"/>
      <c r="N140" s="255">
        <v>15981.38</v>
      </c>
      <c r="O140" s="434">
        <f t="shared" si="5"/>
        <v>473.71000000000095</v>
      </c>
      <c r="P140" s="255" t="s">
        <v>9</v>
      </c>
      <c r="Q140" s="255">
        <v>1</v>
      </c>
    </row>
    <row r="141" spans="2:17" ht="19.5" customHeight="1">
      <c r="B141" s="1015" t="s">
        <v>624</v>
      </c>
      <c r="C141" s="430" t="s">
        <v>122</v>
      </c>
      <c r="D141" s="431">
        <v>1840</v>
      </c>
      <c r="E141" s="431">
        <v>0</v>
      </c>
      <c r="F141" s="431">
        <v>0</v>
      </c>
      <c r="G141" s="431">
        <v>0</v>
      </c>
      <c r="H141" s="431">
        <v>1840</v>
      </c>
      <c r="I141" s="431">
        <v>0</v>
      </c>
      <c r="J141" s="431">
        <v>120</v>
      </c>
      <c r="K141" s="431">
        <v>11.049999999999997</v>
      </c>
      <c r="L141" s="432">
        <v>1971.05</v>
      </c>
      <c r="M141" s="433"/>
      <c r="N141" s="255">
        <v>2080</v>
      </c>
      <c r="O141" s="434">
        <f t="shared" si="5"/>
        <v>-240</v>
      </c>
    </row>
    <row r="142" spans="2:17" ht="19.5" customHeight="1">
      <c r="B142" s="1015"/>
      <c r="C142" s="435" t="s">
        <v>1311</v>
      </c>
      <c r="D142" s="436">
        <v>7667.5</v>
      </c>
      <c r="E142" s="436">
        <v>0</v>
      </c>
      <c r="F142" s="436">
        <v>0</v>
      </c>
      <c r="G142" s="436">
        <v>0</v>
      </c>
      <c r="H142" s="436">
        <v>7667.5</v>
      </c>
      <c r="I142" s="436">
        <v>0</v>
      </c>
      <c r="J142" s="436">
        <v>0</v>
      </c>
      <c r="K142" s="436">
        <v>562.33000000000004</v>
      </c>
      <c r="L142" s="437">
        <v>8229.83</v>
      </c>
      <c r="M142" s="438"/>
      <c r="N142" s="255">
        <v>7667.5</v>
      </c>
      <c r="O142" s="434">
        <f t="shared" si="5"/>
        <v>0</v>
      </c>
    </row>
    <row r="143" spans="2:17" ht="19.5" customHeight="1">
      <c r="B143" s="1015"/>
      <c r="C143" s="444" t="s">
        <v>1407</v>
      </c>
      <c r="D143" s="439">
        <v>2714.3860000000004</v>
      </c>
      <c r="E143" s="439">
        <v>0</v>
      </c>
      <c r="F143" s="439">
        <v>0</v>
      </c>
      <c r="G143" s="439">
        <v>0</v>
      </c>
      <c r="H143" s="439">
        <v>2714.3860000000004</v>
      </c>
      <c r="I143" s="439">
        <v>48</v>
      </c>
      <c r="J143" s="439">
        <v>113</v>
      </c>
      <c r="K143" s="439">
        <v>0</v>
      </c>
      <c r="L143" s="432">
        <v>2875.3860000000004</v>
      </c>
      <c r="M143" s="433"/>
      <c r="N143" s="255">
        <v>2261.5500000000002</v>
      </c>
      <c r="O143" s="434">
        <f t="shared" si="5"/>
        <v>452.83600000000024</v>
      </c>
    </row>
    <row r="144" spans="2:17" ht="19.5" customHeight="1">
      <c r="B144" s="1015"/>
      <c r="C144" s="440" t="s">
        <v>1456</v>
      </c>
      <c r="D144" s="441">
        <v>12221.886</v>
      </c>
      <c r="E144" s="441">
        <v>0</v>
      </c>
      <c r="F144" s="441">
        <v>0</v>
      </c>
      <c r="G144" s="441">
        <v>0</v>
      </c>
      <c r="H144" s="441">
        <v>12221.886</v>
      </c>
      <c r="I144" s="441">
        <v>48</v>
      </c>
      <c r="J144" s="441">
        <v>233</v>
      </c>
      <c r="K144" s="441">
        <v>573.38</v>
      </c>
      <c r="L144" s="442">
        <v>13076.266</v>
      </c>
      <c r="M144" s="443"/>
      <c r="N144" s="255">
        <v>12009.05</v>
      </c>
      <c r="O144" s="434">
        <f t="shared" si="5"/>
        <v>212.83600000000115</v>
      </c>
      <c r="P144" s="255" t="s">
        <v>18</v>
      </c>
      <c r="Q144" s="255">
        <v>1</v>
      </c>
    </row>
    <row r="145" spans="2:17" ht="19.5" customHeight="1">
      <c r="B145" s="1016" t="s">
        <v>63</v>
      </c>
      <c r="C145" s="444" t="s">
        <v>122</v>
      </c>
      <c r="D145" s="439">
        <v>9750</v>
      </c>
      <c r="E145" s="439">
        <v>0</v>
      </c>
      <c r="F145" s="439">
        <v>672</v>
      </c>
      <c r="G145" s="439">
        <v>0</v>
      </c>
      <c r="H145" s="439">
        <v>10422</v>
      </c>
      <c r="I145" s="439">
        <v>0</v>
      </c>
      <c r="J145" s="439">
        <v>2850.84</v>
      </c>
      <c r="K145" s="439">
        <v>388.13</v>
      </c>
      <c r="L145" s="432">
        <v>13660.970000000001</v>
      </c>
      <c r="M145" s="433"/>
      <c r="N145" s="255">
        <v>9750</v>
      </c>
      <c r="O145" s="434">
        <f t="shared" si="5"/>
        <v>0</v>
      </c>
    </row>
    <row r="146" spans="2:17" ht="19.5" customHeight="1">
      <c r="B146" s="1017"/>
      <c r="C146" s="435" t="s">
        <v>1311</v>
      </c>
      <c r="D146" s="436">
        <v>11756</v>
      </c>
      <c r="E146" s="436">
        <v>0</v>
      </c>
      <c r="F146" s="436">
        <v>568</v>
      </c>
      <c r="G146" s="436">
        <v>0</v>
      </c>
      <c r="H146" s="436">
        <v>12324</v>
      </c>
      <c r="I146" s="436">
        <v>0</v>
      </c>
      <c r="J146" s="436">
        <v>481</v>
      </c>
      <c r="K146" s="436">
        <v>9755.74</v>
      </c>
      <c r="L146" s="437">
        <v>22560.739999999998</v>
      </c>
      <c r="M146" s="438"/>
      <c r="N146" s="255">
        <v>11756</v>
      </c>
      <c r="O146" s="434">
        <f t="shared" si="5"/>
        <v>0</v>
      </c>
    </row>
    <row r="147" spans="2:17" ht="19.5" customHeight="1">
      <c r="B147" s="1017"/>
      <c r="C147" s="444" t="s">
        <v>1407</v>
      </c>
      <c r="D147" s="439">
        <v>4858.1780000000008</v>
      </c>
      <c r="E147" s="439">
        <v>0</v>
      </c>
      <c r="F147" s="439">
        <v>2272.73</v>
      </c>
      <c r="G147" s="439">
        <v>0</v>
      </c>
      <c r="H147" s="439">
        <v>7130.9080000000013</v>
      </c>
      <c r="I147" s="439">
        <v>690</v>
      </c>
      <c r="J147" s="439">
        <v>0</v>
      </c>
      <c r="K147" s="439">
        <v>123</v>
      </c>
      <c r="L147" s="432">
        <v>7943.9080000000013</v>
      </c>
      <c r="M147" s="433"/>
      <c r="N147" s="255">
        <v>4717.82</v>
      </c>
      <c r="O147" s="434">
        <f t="shared" si="5"/>
        <v>140.35800000000108</v>
      </c>
    </row>
    <row r="148" spans="2:17" ht="19.5" customHeight="1">
      <c r="B148" s="1018"/>
      <c r="C148" s="440" t="s">
        <v>1456</v>
      </c>
      <c r="D148" s="441">
        <v>26364.178</v>
      </c>
      <c r="E148" s="441">
        <v>0</v>
      </c>
      <c r="F148" s="441">
        <v>3512.73</v>
      </c>
      <c r="G148" s="441">
        <v>0</v>
      </c>
      <c r="H148" s="441">
        <v>29876.908000000003</v>
      </c>
      <c r="I148" s="441">
        <v>690</v>
      </c>
      <c r="J148" s="441">
        <v>3331.84</v>
      </c>
      <c r="K148" s="441">
        <v>10266.869999999999</v>
      </c>
      <c r="L148" s="442">
        <v>44165.618000000002</v>
      </c>
      <c r="M148" s="443"/>
      <c r="N148" s="255">
        <v>26223.82</v>
      </c>
      <c r="O148" s="434">
        <f t="shared" si="5"/>
        <v>140.35800000000017</v>
      </c>
      <c r="P148" s="255" t="s">
        <v>10</v>
      </c>
      <c r="Q148" s="255">
        <v>1</v>
      </c>
    </row>
    <row r="149" spans="2:17" ht="19.5" customHeight="1">
      <c r="B149" s="1015" t="s">
        <v>1260</v>
      </c>
      <c r="C149" s="430" t="s">
        <v>122</v>
      </c>
      <c r="D149" s="431">
        <v>0</v>
      </c>
      <c r="E149" s="431">
        <v>0</v>
      </c>
      <c r="F149" s="431">
        <v>0</v>
      </c>
      <c r="G149" s="431">
        <v>0</v>
      </c>
      <c r="H149" s="431">
        <v>0</v>
      </c>
      <c r="I149" s="431">
        <v>0</v>
      </c>
      <c r="J149" s="431">
        <v>0</v>
      </c>
      <c r="K149" s="431">
        <v>0</v>
      </c>
      <c r="L149" s="432">
        <v>0</v>
      </c>
      <c r="M149" s="433"/>
      <c r="N149" s="498">
        <v>0</v>
      </c>
      <c r="O149" s="434">
        <f t="shared" si="5"/>
        <v>0</v>
      </c>
    </row>
    <row r="150" spans="2:17" ht="19.5" customHeight="1">
      <c r="B150" s="1015"/>
      <c r="C150" s="435" t="s">
        <v>1311</v>
      </c>
      <c r="D150" s="436">
        <v>200</v>
      </c>
      <c r="E150" s="436">
        <v>0</v>
      </c>
      <c r="F150" s="436">
        <v>0</v>
      </c>
      <c r="G150" s="436">
        <v>0</v>
      </c>
      <c r="H150" s="436">
        <v>200</v>
      </c>
      <c r="I150" s="436">
        <v>0</v>
      </c>
      <c r="J150" s="436">
        <v>0</v>
      </c>
      <c r="K150" s="436">
        <v>5.4600000000000009</v>
      </c>
      <c r="L150" s="437">
        <v>205.46</v>
      </c>
      <c r="M150" s="438"/>
      <c r="N150" s="255">
        <v>200</v>
      </c>
      <c r="O150" s="434">
        <f t="shared" si="5"/>
        <v>0</v>
      </c>
    </row>
    <row r="151" spans="2:17" ht="19.5" customHeight="1">
      <c r="B151" s="1015"/>
      <c r="C151" s="444" t="s">
        <v>1407</v>
      </c>
      <c r="D151" s="439">
        <v>227.99400000000006</v>
      </c>
      <c r="E151" s="439">
        <v>0</v>
      </c>
      <c r="F151" s="439">
        <v>66.34</v>
      </c>
      <c r="G151" s="439">
        <v>0</v>
      </c>
      <c r="H151" s="439">
        <v>294.33400000000006</v>
      </c>
      <c r="I151" s="439">
        <v>9</v>
      </c>
      <c r="J151" s="439">
        <v>0</v>
      </c>
      <c r="K151" s="439">
        <v>0</v>
      </c>
      <c r="L151" s="432">
        <v>303.33400000000006</v>
      </c>
      <c r="M151" s="433"/>
      <c r="N151" s="255">
        <v>212.36</v>
      </c>
      <c r="O151" s="434">
        <f t="shared" si="5"/>
        <v>15.634000000000043</v>
      </c>
    </row>
    <row r="152" spans="2:17" ht="19.5" customHeight="1">
      <c r="B152" s="1015"/>
      <c r="C152" s="440" t="s">
        <v>1456</v>
      </c>
      <c r="D152" s="441">
        <v>427.99400000000003</v>
      </c>
      <c r="E152" s="441">
        <v>0</v>
      </c>
      <c r="F152" s="441">
        <v>66.34</v>
      </c>
      <c r="G152" s="441">
        <v>0</v>
      </c>
      <c r="H152" s="441">
        <v>494.33400000000006</v>
      </c>
      <c r="I152" s="441">
        <v>9</v>
      </c>
      <c r="J152" s="441">
        <v>0</v>
      </c>
      <c r="K152" s="441">
        <v>5.4600000000000009</v>
      </c>
      <c r="L152" s="442">
        <v>508.7940000000001</v>
      </c>
      <c r="M152" s="443"/>
      <c r="N152" s="255">
        <v>412.36</v>
      </c>
      <c r="O152" s="434">
        <f t="shared" si="5"/>
        <v>15.634000000000015</v>
      </c>
      <c r="P152" s="255" t="s">
        <v>92</v>
      </c>
      <c r="Q152" s="255">
        <v>1</v>
      </c>
    </row>
    <row r="153" spans="2:17" ht="19.5" customHeight="1">
      <c r="B153" s="1069" t="s">
        <v>1459</v>
      </c>
      <c r="C153" s="1070"/>
      <c r="D153" s="488">
        <v>2771</v>
      </c>
      <c r="E153" s="488">
        <v>0</v>
      </c>
      <c r="F153" s="488">
        <v>197.59</v>
      </c>
      <c r="G153" s="488">
        <v>0</v>
      </c>
      <c r="H153" s="488">
        <v>2968.59</v>
      </c>
      <c r="I153" s="488">
        <v>228</v>
      </c>
      <c r="J153" s="488">
        <v>0</v>
      </c>
      <c r="K153" s="488">
        <v>0</v>
      </c>
      <c r="L153" s="489">
        <v>3196.59</v>
      </c>
      <c r="M153" s="490"/>
      <c r="N153" s="434">
        <v>2531</v>
      </c>
      <c r="O153" s="727">
        <f t="shared" si="5"/>
        <v>240</v>
      </c>
    </row>
    <row r="154" spans="2:17" ht="19.5" customHeight="1">
      <c r="B154" s="1016" t="s">
        <v>1462</v>
      </c>
      <c r="C154" s="444" t="s">
        <v>122</v>
      </c>
      <c r="D154" s="439">
        <v>21500</v>
      </c>
      <c r="E154" s="439">
        <v>900</v>
      </c>
      <c r="F154" s="439">
        <v>2849.82</v>
      </c>
      <c r="G154" s="439">
        <v>0</v>
      </c>
      <c r="H154" s="439">
        <v>25249.82</v>
      </c>
      <c r="I154" s="439">
        <v>0</v>
      </c>
      <c r="J154" s="439">
        <v>5446.5</v>
      </c>
      <c r="K154" s="439">
        <v>569.28</v>
      </c>
      <c r="L154" s="432">
        <v>31265.599999999999</v>
      </c>
      <c r="M154" s="433"/>
      <c r="N154" s="498">
        <v>21740</v>
      </c>
      <c r="O154" s="434">
        <f t="shared" si="5"/>
        <v>-240</v>
      </c>
    </row>
    <row r="155" spans="2:17" ht="19.5" customHeight="1">
      <c r="B155" s="1017"/>
      <c r="C155" s="435" t="s">
        <v>1311</v>
      </c>
      <c r="D155" s="436">
        <v>32847.17</v>
      </c>
      <c r="E155" s="436">
        <v>500</v>
      </c>
      <c r="F155" s="436">
        <v>4676</v>
      </c>
      <c r="G155" s="436">
        <v>0</v>
      </c>
      <c r="H155" s="436">
        <v>38023.17</v>
      </c>
      <c r="I155" s="436">
        <v>0</v>
      </c>
      <c r="J155" s="436">
        <v>481</v>
      </c>
      <c r="K155" s="436">
        <v>28016.710000000003</v>
      </c>
      <c r="L155" s="437">
        <v>66520.88</v>
      </c>
      <c r="M155" s="438"/>
      <c r="N155" s="498">
        <v>32847.17</v>
      </c>
      <c r="O155" s="434">
        <f t="shared" si="5"/>
        <v>0</v>
      </c>
    </row>
    <row r="156" spans="2:17" ht="19.5" customHeight="1">
      <c r="B156" s="1017"/>
      <c r="C156" s="444" t="s">
        <v>1407</v>
      </c>
      <c r="D156" s="439">
        <v>19972.950000000004</v>
      </c>
      <c r="E156" s="439">
        <v>0</v>
      </c>
      <c r="F156" s="439">
        <v>3280.6700000000005</v>
      </c>
      <c r="G156" s="439">
        <v>0</v>
      </c>
      <c r="H156" s="439">
        <v>23253.620000000006</v>
      </c>
      <c r="I156" s="439">
        <v>1840</v>
      </c>
      <c r="J156" s="439">
        <v>1635</v>
      </c>
      <c r="K156" s="439">
        <v>666.3</v>
      </c>
      <c r="L156" s="432">
        <v>27394.919999999995</v>
      </c>
      <c r="M156" s="433"/>
      <c r="N156" s="499">
        <v>18347.95</v>
      </c>
      <c r="O156" s="434">
        <f t="shared" si="5"/>
        <v>1625.0000000000036</v>
      </c>
    </row>
    <row r="157" spans="2:17" ht="19.5" customHeight="1">
      <c r="B157" s="1071"/>
      <c r="C157" s="446" t="s">
        <v>1396</v>
      </c>
      <c r="D157" s="447">
        <v>74320.12</v>
      </c>
      <c r="E157" s="447">
        <v>1400</v>
      </c>
      <c r="F157" s="447">
        <v>10806.49</v>
      </c>
      <c r="G157" s="447">
        <v>0</v>
      </c>
      <c r="H157" s="447">
        <v>86526.61</v>
      </c>
      <c r="I157" s="447">
        <v>1840</v>
      </c>
      <c r="J157" s="447">
        <v>7562.5</v>
      </c>
      <c r="K157" s="447">
        <v>29252.29</v>
      </c>
      <c r="L157" s="449">
        <v>125181.40000000001</v>
      </c>
      <c r="M157" s="443"/>
      <c r="N157" s="500">
        <v>72935.12</v>
      </c>
      <c r="O157" s="434">
        <f t="shared" si="5"/>
        <v>1385</v>
      </c>
    </row>
    <row r="158" spans="2:17" ht="19.5" customHeight="1">
      <c r="B158" s="482"/>
      <c r="C158" s="492"/>
      <c r="D158" s="493"/>
      <c r="E158" s="493"/>
      <c r="F158" s="493"/>
      <c r="G158" s="493"/>
      <c r="H158" s="493"/>
      <c r="I158" s="493"/>
      <c r="J158" s="493"/>
      <c r="K158" s="493"/>
      <c r="L158" s="493"/>
      <c r="M158" s="493"/>
    </row>
    <row r="159" spans="2:17" ht="19.5" customHeight="1">
      <c r="B159" s="482"/>
      <c r="C159" s="492"/>
      <c r="D159" s="493"/>
      <c r="E159" s="493"/>
      <c r="F159" s="493"/>
      <c r="G159" s="493"/>
      <c r="H159" s="493"/>
      <c r="I159" s="493"/>
      <c r="J159" s="493"/>
      <c r="K159" s="493"/>
      <c r="L159" s="493"/>
      <c r="M159" s="493"/>
    </row>
    <row r="160" spans="2:17" ht="19.5" customHeight="1">
      <c r="B160" s="482"/>
      <c r="C160" s="492"/>
      <c r="D160" s="493"/>
      <c r="E160" s="493"/>
      <c r="F160" s="493"/>
      <c r="G160" s="493"/>
      <c r="H160" s="493"/>
      <c r="I160" s="493"/>
      <c r="J160" s="493"/>
      <c r="K160" s="493"/>
      <c r="L160" s="424"/>
      <c r="M160" s="424"/>
    </row>
    <row r="161" spans="2:17" ht="19.5" customHeight="1">
      <c r="B161" s="482"/>
      <c r="C161" s="492"/>
      <c r="D161" s="493"/>
      <c r="E161" s="493"/>
      <c r="F161" s="493"/>
      <c r="G161" s="493"/>
      <c r="H161" s="493"/>
      <c r="I161" s="493"/>
      <c r="J161" s="493"/>
      <c r="K161" s="493"/>
      <c r="L161" s="424"/>
      <c r="M161" s="424"/>
    </row>
    <row r="162" spans="2:17" ht="19.5" customHeight="1">
      <c r="B162" s="1067" t="s">
        <v>1463</v>
      </c>
      <c r="C162" s="1067"/>
      <c r="D162" s="1067"/>
      <c r="E162" s="1067"/>
      <c r="F162" s="1067"/>
      <c r="G162" s="1067"/>
      <c r="H162" s="1067"/>
      <c r="I162" s="1067"/>
      <c r="J162" s="1067"/>
      <c r="K162" s="1067"/>
      <c r="L162" s="1067"/>
      <c r="M162" s="666"/>
    </row>
    <row r="163" spans="2:17" ht="19.5" customHeight="1">
      <c r="B163" s="1067"/>
      <c r="C163" s="1067"/>
      <c r="D163" s="1067"/>
      <c r="E163" s="1067"/>
      <c r="F163" s="1067"/>
      <c r="G163" s="1067"/>
      <c r="H163" s="1067"/>
      <c r="I163" s="1067"/>
      <c r="J163" s="1067"/>
      <c r="K163" s="1067"/>
      <c r="L163" s="1067"/>
      <c r="M163" s="666"/>
    </row>
    <row r="164" spans="2:17" ht="19.5" customHeight="1">
      <c r="B164" s="1067"/>
      <c r="C164" s="1067"/>
      <c r="D164" s="1067"/>
      <c r="E164" s="1067"/>
      <c r="F164" s="1067"/>
      <c r="G164" s="1067"/>
      <c r="H164" s="1067"/>
      <c r="I164" s="1067"/>
      <c r="J164" s="1067"/>
      <c r="K164" s="1067"/>
      <c r="L164" s="1067"/>
      <c r="M164" s="666"/>
    </row>
    <row r="165" spans="2:17" ht="19.5" customHeight="1">
      <c r="B165" s="1021" t="s">
        <v>1452</v>
      </c>
      <c r="C165" s="1021"/>
      <c r="D165" s="1021"/>
      <c r="E165" s="1021"/>
      <c r="F165" s="1021"/>
      <c r="G165" s="1021"/>
      <c r="H165" s="1021"/>
      <c r="I165" s="1021"/>
      <c r="J165" s="1021"/>
      <c r="K165" s="1021"/>
      <c r="L165" s="1021"/>
      <c r="M165" s="667"/>
    </row>
    <row r="166" spans="2:17" ht="19.5" customHeight="1">
      <c r="B166" s="484"/>
      <c r="C166" s="484"/>
      <c r="D166" s="484"/>
      <c r="E166" s="484"/>
      <c r="F166" s="484"/>
      <c r="G166" s="484"/>
      <c r="H166" s="485"/>
      <c r="I166" s="485"/>
      <c r="J166" s="484"/>
      <c r="K166" s="1072" t="s">
        <v>1392</v>
      </c>
      <c r="L166" s="1072"/>
      <c r="M166" s="670"/>
    </row>
    <row r="167" spans="2:17" ht="19.5" customHeight="1">
      <c r="B167" s="1023" t="s">
        <v>680</v>
      </c>
      <c r="C167" s="1026" t="s">
        <v>1394</v>
      </c>
      <c r="D167" s="1029" t="s">
        <v>1395</v>
      </c>
      <c r="E167" s="1030"/>
      <c r="F167" s="1030"/>
      <c r="G167" s="1030"/>
      <c r="H167" s="1030"/>
      <c r="I167" s="1030"/>
      <c r="J167" s="1030"/>
      <c r="K167" s="1031"/>
      <c r="L167" s="1032" t="s">
        <v>1396</v>
      </c>
      <c r="M167" s="426"/>
    </row>
    <row r="168" spans="2:17" ht="19.5" customHeight="1">
      <c r="B168" s="1024"/>
      <c r="C168" s="1027"/>
      <c r="D168" s="1035" t="s">
        <v>1397</v>
      </c>
      <c r="E168" s="1036"/>
      <c r="F168" s="1036"/>
      <c r="G168" s="1036"/>
      <c r="H168" s="1036"/>
      <c r="I168" s="1037" t="s">
        <v>1398</v>
      </c>
      <c r="J168" s="1011" t="s">
        <v>1454</v>
      </c>
      <c r="K168" s="1013" t="s">
        <v>1455</v>
      </c>
      <c r="L168" s="1033"/>
      <c r="M168" s="426"/>
      <c r="N168" s="427" t="s">
        <v>1401</v>
      </c>
    </row>
    <row r="169" spans="2:17" ht="19.5" customHeight="1">
      <c r="B169" s="1025"/>
      <c r="C169" s="1028"/>
      <c r="D169" s="669" t="s">
        <v>1402</v>
      </c>
      <c r="E169" s="428" t="s">
        <v>1403</v>
      </c>
      <c r="F169" s="428" t="s">
        <v>1404</v>
      </c>
      <c r="G169" s="428" t="s">
        <v>1405</v>
      </c>
      <c r="H169" s="428" t="s">
        <v>7</v>
      </c>
      <c r="I169" s="1035"/>
      <c r="J169" s="1012"/>
      <c r="K169" s="1014"/>
      <c r="L169" s="1034"/>
      <c r="M169" s="426"/>
      <c r="N169" s="669" t="s">
        <v>1402</v>
      </c>
      <c r="O169" s="669" t="s">
        <v>1479</v>
      </c>
    </row>
    <row r="170" spans="2:17" ht="19.5" customHeight="1">
      <c r="B170" s="1015" t="s">
        <v>49</v>
      </c>
      <c r="C170" s="430" t="s">
        <v>680</v>
      </c>
      <c r="D170" s="431">
        <v>5010</v>
      </c>
      <c r="E170" s="431">
        <v>0</v>
      </c>
      <c r="F170" s="431">
        <v>235.39999999999998</v>
      </c>
      <c r="G170" s="431">
        <v>0</v>
      </c>
      <c r="H170" s="431">
        <v>5245.4</v>
      </c>
      <c r="I170" s="431">
        <v>0</v>
      </c>
      <c r="J170" s="431">
        <v>1673.6</v>
      </c>
      <c r="K170" s="431">
        <v>56.176000000000016</v>
      </c>
      <c r="L170" s="432">
        <v>6975.1759999999995</v>
      </c>
      <c r="M170" s="433"/>
      <c r="N170" s="501">
        <v>5010</v>
      </c>
      <c r="O170" s="434">
        <f>D170-N170</f>
        <v>0</v>
      </c>
    </row>
    <row r="171" spans="2:17" ht="19.5" customHeight="1">
      <c r="B171" s="1015"/>
      <c r="C171" s="435" t="s">
        <v>1311</v>
      </c>
      <c r="D171" s="436">
        <v>3873.88</v>
      </c>
      <c r="E171" s="436">
        <v>0</v>
      </c>
      <c r="F171" s="436">
        <v>3831.3239999999996</v>
      </c>
      <c r="G171" s="436">
        <v>36.799999999999997</v>
      </c>
      <c r="H171" s="436">
        <v>7742.0039999999999</v>
      </c>
      <c r="I171" s="436">
        <v>0</v>
      </c>
      <c r="J171" s="436">
        <v>0</v>
      </c>
      <c r="K171" s="436">
        <v>8662.4139999999989</v>
      </c>
      <c r="L171" s="437">
        <v>16404.417999999998</v>
      </c>
      <c r="M171" s="438"/>
      <c r="N171" s="501">
        <v>3873.88</v>
      </c>
      <c r="O171" s="434">
        <f t="shared" ref="O171:O202" si="6">D171-N171</f>
        <v>0</v>
      </c>
      <c r="P171" s="476"/>
    </row>
    <row r="172" spans="2:17" ht="19.5" customHeight="1">
      <c r="B172" s="1015"/>
      <c r="C172" s="444" t="s">
        <v>1407</v>
      </c>
      <c r="D172" s="439">
        <v>1546.8260599999999</v>
      </c>
      <c r="E172" s="439">
        <v>180.23</v>
      </c>
      <c r="F172" s="439">
        <v>0</v>
      </c>
      <c r="G172" s="439">
        <v>0</v>
      </c>
      <c r="H172" s="439">
        <v>1727.0560599999999</v>
      </c>
      <c r="I172" s="439">
        <v>127.27</v>
      </c>
      <c r="J172" s="439">
        <v>0</v>
      </c>
      <c r="K172" s="439">
        <v>250</v>
      </c>
      <c r="L172" s="432">
        <v>2104.3260599999999</v>
      </c>
      <c r="M172" s="433"/>
      <c r="N172" s="502">
        <v>1546.83</v>
      </c>
      <c r="O172" s="434">
        <f t="shared" si="6"/>
        <v>-3.940000000056898E-3</v>
      </c>
      <c r="Q172" s="434"/>
    </row>
    <row r="173" spans="2:17" ht="19.5" customHeight="1">
      <c r="B173" s="1015"/>
      <c r="C173" s="440" t="s">
        <v>1456</v>
      </c>
      <c r="D173" s="441">
        <v>10430.70606</v>
      </c>
      <c r="E173" s="441">
        <v>180.23</v>
      </c>
      <c r="F173" s="441">
        <v>4066.7239999999997</v>
      </c>
      <c r="G173" s="441">
        <v>36.799999999999997</v>
      </c>
      <c r="H173" s="441">
        <v>14714.460059999998</v>
      </c>
      <c r="I173" s="441">
        <v>127.27</v>
      </c>
      <c r="J173" s="441">
        <v>1673.6</v>
      </c>
      <c r="K173" s="441">
        <v>8968.5899999999983</v>
      </c>
      <c r="L173" s="442">
        <v>25483.920059999997</v>
      </c>
      <c r="M173" s="443"/>
      <c r="N173" s="501">
        <v>10430.709999999999</v>
      </c>
      <c r="O173" s="434">
        <f t="shared" si="6"/>
        <v>-3.9399999986926559E-3</v>
      </c>
    </row>
    <row r="174" spans="2:17" ht="19.5" customHeight="1">
      <c r="B174" s="1016" t="s">
        <v>73</v>
      </c>
      <c r="C174" s="444" t="s">
        <v>680</v>
      </c>
      <c r="D174" s="439">
        <v>5972.5</v>
      </c>
      <c r="E174" s="439">
        <v>0</v>
      </c>
      <c r="F174" s="439">
        <v>0</v>
      </c>
      <c r="G174" s="439">
        <v>0</v>
      </c>
      <c r="H174" s="439">
        <v>5972.5</v>
      </c>
      <c r="I174" s="439">
        <v>0</v>
      </c>
      <c r="J174" s="439">
        <v>2479.9299999999998</v>
      </c>
      <c r="K174" s="439">
        <v>41.220000000000006</v>
      </c>
      <c r="L174" s="432">
        <v>8493.65</v>
      </c>
      <c r="M174" s="433"/>
      <c r="N174" s="501">
        <v>5162.5</v>
      </c>
      <c r="O174" s="434">
        <f t="shared" si="6"/>
        <v>810</v>
      </c>
    </row>
    <row r="175" spans="2:17" ht="19.5" customHeight="1">
      <c r="B175" s="1017"/>
      <c r="C175" s="435" t="s">
        <v>1311</v>
      </c>
      <c r="D175" s="436">
        <v>1389.45</v>
      </c>
      <c r="E175" s="436">
        <v>0</v>
      </c>
      <c r="F175" s="436">
        <v>831.82</v>
      </c>
      <c r="G175" s="436">
        <v>0</v>
      </c>
      <c r="H175" s="436">
        <v>2221.27</v>
      </c>
      <c r="I175" s="436">
        <v>0</v>
      </c>
      <c r="J175" s="436">
        <v>0</v>
      </c>
      <c r="K175" s="436">
        <v>4326.7699999999995</v>
      </c>
      <c r="L175" s="437">
        <v>6548.0399999999991</v>
      </c>
      <c r="M175" s="438"/>
      <c r="N175" s="501">
        <v>1389.45</v>
      </c>
      <c r="O175" s="434">
        <f t="shared" si="6"/>
        <v>0</v>
      </c>
    </row>
    <row r="176" spans="2:17" ht="19.5" customHeight="1">
      <c r="B176" s="1017"/>
      <c r="C176" s="444" t="s">
        <v>1407</v>
      </c>
      <c r="D176" s="439">
        <v>1806.85394</v>
      </c>
      <c r="E176" s="439">
        <v>210.57</v>
      </c>
      <c r="F176" s="439">
        <v>0</v>
      </c>
      <c r="G176" s="439">
        <v>0</v>
      </c>
      <c r="H176" s="439">
        <v>2017.4239399999999</v>
      </c>
      <c r="I176" s="439">
        <v>148.72999999999999</v>
      </c>
      <c r="J176" s="439">
        <v>0</v>
      </c>
      <c r="K176" s="439">
        <v>10</v>
      </c>
      <c r="L176" s="432">
        <v>2176.1539399999997</v>
      </c>
      <c r="M176" s="433"/>
      <c r="N176" s="501">
        <v>1806.85</v>
      </c>
      <c r="O176" s="434">
        <f t="shared" si="6"/>
        <v>3.940000000056898E-3</v>
      </c>
      <c r="P176" s="434"/>
      <c r="Q176" s="434"/>
    </row>
    <row r="177" spans="2:17" ht="19.5" customHeight="1">
      <c r="B177" s="1018"/>
      <c r="C177" s="440" t="s">
        <v>1456</v>
      </c>
      <c r="D177" s="441">
        <v>9168.8039399999998</v>
      </c>
      <c r="E177" s="441">
        <v>210.57</v>
      </c>
      <c r="F177" s="441">
        <v>831.82</v>
      </c>
      <c r="G177" s="441">
        <v>0</v>
      </c>
      <c r="H177" s="441">
        <v>10211.193940000001</v>
      </c>
      <c r="I177" s="441">
        <v>148.72999999999999</v>
      </c>
      <c r="J177" s="441">
        <v>2479.9299999999998</v>
      </c>
      <c r="K177" s="441">
        <v>4377.99</v>
      </c>
      <c r="L177" s="442">
        <v>17217.843939999999</v>
      </c>
      <c r="M177" s="443"/>
      <c r="N177" s="501">
        <v>8358.7999999999993</v>
      </c>
      <c r="O177" s="434">
        <f t="shared" si="6"/>
        <v>810.00394000000051</v>
      </c>
      <c r="P177" s="255" t="s">
        <v>15</v>
      </c>
      <c r="Q177" s="255">
        <v>1</v>
      </c>
    </row>
    <row r="178" spans="2:17" ht="19.5" customHeight="1">
      <c r="B178" s="1015" t="s">
        <v>60</v>
      </c>
      <c r="C178" s="430" t="s">
        <v>122</v>
      </c>
      <c r="D178" s="431">
        <v>5020</v>
      </c>
      <c r="E178" s="431">
        <v>0</v>
      </c>
      <c r="F178" s="431">
        <v>0</v>
      </c>
      <c r="G178" s="431">
        <v>0</v>
      </c>
      <c r="H178" s="431">
        <v>5020</v>
      </c>
      <c r="I178" s="431">
        <v>0</v>
      </c>
      <c r="J178" s="431">
        <v>3586.6</v>
      </c>
      <c r="K178" s="431">
        <v>193.88499999999993</v>
      </c>
      <c r="L178" s="432">
        <v>8800.4850000000006</v>
      </c>
      <c r="M178" s="433"/>
      <c r="N178" s="501">
        <v>5020</v>
      </c>
      <c r="O178" s="434">
        <f t="shared" si="6"/>
        <v>0</v>
      </c>
    </row>
    <row r="179" spans="2:17" ht="19.5" customHeight="1">
      <c r="B179" s="1015"/>
      <c r="C179" s="435" t="s">
        <v>1311</v>
      </c>
      <c r="D179" s="436">
        <v>1948.5</v>
      </c>
      <c r="E179" s="436">
        <v>0</v>
      </c>
      <c r="F179" s="436">
        <v>0</v>
      </c>
      <c r="G179" s="436">
        <v>25.2</v>
      </c>
      <c r="H179" s="436">
        <v>1973.7</v>
      </c>
      <c r="I179" s="436">
        <v>0</v>
      </c>
      <c r="J179" s="436">
        <v>0</v>
      </c>
      <c r="K179" s="436">
        <v>15268.915000000001</v>
      </c>
      <c r="L179" s="437">
        <v>17242.615000000002</v>
      </c>
      <c r="M179" s="438"/>
      <c r="N179" s="501">
        <v>1948.5</v>
      </c>
      <c r="O179" s="434">
        <f t="shared" si="6"/>
        <v>0</v>
      </c>
    </row>
    <row r="180" spans="2:17" ht="19.5" customHeight="1">
      <c r="B180" s="1015"/>
      <c r="C180" s="444" t="s">
        <v>1407</v>
      </c>
      <c r="D180" s="439">
        <v>2877.8</v>
      </c>
      <c r="E180" s="439">
        <v>471.9</v>
      </c>
      <c r="F180" s="439">
        <v>0</v>
      </c>
      <c r="G180" s="439">
        <v>0</v>
      </c>
      <c r="H180" s="439">
        <v>3349.7000000000003</v>
      </c>
      <c r="I180" s="439">
        <v>698</v>
      </c>
      <c r="J180" s="439">
        <v>0</v>
      </c>
      <c r="K180" s="439">
        <v>0</v>
      </c>
      <c r="L180" s="432">
        <v>4047.7000000000003</v>
      </c>
      <c r="M180" s="433"/>
      <c r="N180" s="502">
        <v>2877.8</v>
      </c>
      <c r="O180" s="434">
        <f t="shared" si="6"/>
        <v>0</v>
      </c>
      <c r="P180" s="434"/>
      <c r="Q180" s="434"/>
    </row>
    <row r="181" spans="2:17" ht="19.5" customHeight="1">
      <c r="B181" s="1015"/>
      <c r="C181" s="440" t="s">
        <v>1456</v>
      </c>
      <c r="D181" s="441">
        <v>9846.2999999999993</v>
      </c>
      <c r="E181" s="441">
        <v>471.9</v>
      </c>
      <c r="F181" s="441">
        <v>0</v>
      </c>
      <c r="G181" s="441">
        <v>25.2</v>
      </c>
      <c r="H181" s="441">
        <v>10343.4</v>
      </c>
      <c r="I181" s="441">
        <v>698</v>
      </c>
      <c r="J181" s="441">
        <v>3586.6</v>
      </c>
      <c r="K181" s="441">
        <v>15462.800000000001</v>
      </c>
      <c r="L181" s="442">
        <v>30090.800000000003</v>
      </c>
      <c r="M181" s="443"/>
      <c r="N181" s="501">
        <v>9846.2999999999993</v>
      </c>
      <c r="O181" s="434">
        <f t="shared" si="6"/>
        <v>0</v>
      </c>
    </row>
    <row r="182" spans="2:17" ht="19.5" customHeight="1">
      <c r="B182" s="1016" t="s">
        <v>61</v>
      </c>
      <c r="C182" s="444" t="s">
        <v>122</v>
      </c>
      <c r="D182" s="439">
        <v>0</v>
      </c>
      <c r="E182" s="439">
        <v>0</v>
      </c>
      <c r="F182" s="439">
        <v>0</v>
      </c>
      <c r="G182" s="439">
        <v>159.96</v>
      </c>
      <c r="H182" s="439">
        <v>159.96</v>
      </c>
      <c r="I182" s="439">
        <v>0</v>
      </c>
      <c r="J182" s="439">
        <v>1856.5</v>
      </c>
      <c r="K182" s="439">
        <v>172.89600000000002</v>
      </c>
      <c r="L182" s="432">
        <v>2189.3559999999998</v>
      </c>
      <c r="M182" s="433"/>
      <c r="N182" s="501">
        <v>0</v>
      </c>
      <c r="O182" s="434">
        <f t="shared" si="6"/>
        <v>0</v>
      </c>
    </row>
    <row r="183" spans="2:17" ht="19.5" customHeight="1">
      <c r="B183" s="1017"/>
      <c r="C183" s="435" t="s">
        <v>1311</v>
      </c>
      <c r="D183" s="436">
        <v>1047.5</v>
      </c>
      <c r="E183" s="436">
        <v>0</v>
      </c>
      <c r="F183" s="436">
        <v>174</v>
      </c>
      <c r="G183" s="436">
        <v>0</v>
      </c>
      <c r="H183" s="436">
        <v>1221.5</v>
      </c>
      <c r="I183" s="436">
        <v>0</v>
      </c>
      <c r="J183" s="436">
        <v>0</v>
      </c>
      <c r="K183" s="436">
        <v>328.89400000000001</v>
      </c>
      <c r="L183" s="437">
        <v>1550.394</v>
      </c>
      <c r="M183" s="438"/>
      <c r="N183" s="501">
        <v>1047.5</v>
      </c>
      <c r="O183" s="434">
        <f t="shared" si="6"/>
        <v>0</v>
      </c>
    </row>
    <row r="184" spans="2:17" ht="19.5" customHeight="1">
      <c r="B184" s="1017"/>
      <c r="C184" s="444" t="s">
        <v>1407</v>
      </c>
      <c r="D184" s="439">
        <v>1011.424</v>
      </c>
      <c r="E184" s="439">
        <v>314.2</v>
      </c>
      <c r="F184" s="439">
        <v>359.58000000000004</v>
      </c>
      <c r="G184" s="439">
        <v>0</v>
      </c>
      <c r="H184" s="439">
        <v>1685.2040000000002</v>
      </c>
      <c r="I184" s="439">
        <v>362</v>
      </c>
      <c r="J184" s="439">
        <v>0</v>
      </c>
      <c r="K184" s="439">
        <v>50</v>
      </c>
      <c r="L184" s="432">
        <v>2097.2040000000002</v>
      </c>
      <c r="M184" s="433"/>
      <c r="N184" s="502">
        <v>1011.42</v>
      </c>
      <c r="O184" s="434">
        <f t="shared" si="6"/>
        <v>4.0000000000190994E-3</v>
      </c>
    </row>
    <row r="185" spans="2:17" ht="19.5" customHeight="1">
      <c r="B185" s="1018"/>
      <c r="C185" s="440" t="s">
        <v>1456</v>
      </c>
      <c r="D185" s="441">
        <v>2058.924</v>
      </c>
      <c r="E185" s="441">
        <v>314.2</v>
      </c>
      <c r="F185" s="441">
        <v>533.58000000000004</v>
      </c>
      <c r="G185" s="441">
        <v>159.96</v>
      </c>
      <c r="H185" s="441">
        <v>3066.6640000000002</v>
      </c>
      <c r="I185" s="441">
        <v>362</v>
      </c>
      <c r="J185" s="441">
        <v>1856.5</v>
      </c>
      <c r="K185" s="441">
        <v>551.79</v>
      </c>
      <c r="L185" s="442">
        <v>5836.9539999999997</v>
      </c>
      <c r="M185" s="443"/>
      <c r="N185" s="501">
        <v>2058.92</v>
      </c>
      <c r="O185" s="434">
        <f t="shared" si="6"/>
        <v>3.9999999999054126E-3</v>
      </c>
    </row>
    <row r="186" spans="2:17" ht="19.5" customHeight="1">
      <c r="B186" s="1015" t="s">
        <v>72</v>
      </c>
      <c r="C186" s="430" t="s">
        <v>122</v>
      </c>
      <c r="D186" s="431">
        <v>4320</v>
      </c>
      <c r="E186" s="431">
        <v>0</v>
      </c>
      <c r="F186" s="431">
        <v>524.08000000000004</v>
      </c>
      <c r="G186" s="431">
        <v>0</v>
      </c>
      <c r="H186" s="431">
        <v>4844.08</v>
      </c>
      <c r="I186" s="431">
        <v>0</v>
      </c>
      <c r="J186" s="431">
        <v>2178.1999999999998</v>
      </c>
      <c r="K186" s="431">
        <v>122.7</v>
      </c>
      <c r="L186" s="432">
        <v>7144.98</v>
      </c>
      <c r="M186" s="433"/>
      <c r="N186" s="501">
        <v>4320</v>
      </c>
      <c r="O186" s="434">
        <f t="shared" si="6"/>
        <v>0</v>
      </c>
    </row>
    <row r="187" spans="2:17" ht="19.5" customHeight="1">
      <c r="B187" s="1015"/>
      <c r="C187" s="435" t="s">
        <v>1311</v>
      </c>
      <c r="D187" s="436">
        <v>4487.67</v>
      </c>
      <c r="E187" s="436">
        <v>250</v>
      </c>
      <c r="F187" s="436">
        <v>503.1</v>
      </c>
      <c r="G187" s="436">
        <v>211.70100000000002</v>
      </c>
      <c r="H187" s="436">
        <v>5452.4710000000005</v>
      </c>
      <c r="I187" s="436">
        <v>0</v>
      </c>
      <c r="J187" s="436">
        <v>0</v>
      </c>
      <c r="K187" s="436">
        <v>14875.05</v>
      </c>
      <c r="L187" s="437">
        <v>20327.521000000001</v>
      </c>
      <c r="M187" s="438"/>
      <c r="N187" s="501">
        <v>4487.67</v>
      </c>
      <c r="O187" s="434">
        <f t="shared" si="6"/>
        <v>0</v>
      </c>
    </row>
    <row r="188" spans="2:17" ht="19.5" customHeight="1">
      <c r="B188" s="1015"/>
      <c r="C188" s="444" t="s">
        <v>1407</v>
      </c>
      <c r="D188" s="439">
        <v>3025.3199999999997</v>
      </c>
      <c r="E188" s="439">
        <v>1517.3000000000002</v>
      </c>
      <c r="F188" s="439">
        <v>0</v>
      </c>
      <c r="G188" s="439">
        <v>0</v>
      </c>
      <c r="H188" s="439">
        <v>4542.62</v>
      </c>
      <c r="I188" s="439">
        <v>1448</v>
      </c>
      <c r="J188" s="439">
        <v>0</v>
      </c>
      <c r="K188" s="439">
        <v>231.9</v>
      </c>
      <c r="L188" s="432">
        <v>6222.52</v>
      </c>
      <c r="M188" s="433"/>
      <c r="N188" s="502">
        <v>3025.32</v>
      </c>
      <c r="O188" s="434">
        <f t="shared" si="6"/>
        <v>0</v>
      </c>
      <c r="P188" s="434"/>
    </row>
    <row r="189" spans="2:17" ht="19.5" customHeight="1">
      <c r="B189" s="1015"/>
      <c r="C189" s="440" t="s">
        <v>1456</v>
      </c>
      <c r="D189" s="441">
        <v>11832.99</v>
      </c>
      <c r="E189" s="441">
        <v>1767.3000000000002</v>
      </c>
      <c r="F189" s="441">
        <v>1027.18</v>
      </c>
      <c r="G189" s="441">
        <v>211.70100000000002</v>
      </c>
      <c r="H189" s="441">
        <v>14839.170999999998</v>
      </c>
      <c r="I189" s="441">
        <v>1448</v>
      </c>
      <c r="J189" s="441">
        <v>2178.1999999999998</v>
      </c>
      <c r="K189" s="441">
        <v>15229.65</v>
      </c>
      <c r="L189" s="442">
        <v>33695.021000000001</v>
      </c>
      <c r="M189" s="443"/>
      <c r="N189" s="501">
        <v>11832.99</v>
      </c>
      <c r="O189" s="434">
        <f t="shared" si="6"/>
        <v>0</v>
      </c>
    </row>
    <row r="190" spans="2:17" ht="19.5" customHeight="1">
      <c r="B190" s="1016" t="s">
        <v>1464</v>
      </c>
      <c r="C190" s="444" t="s">
        <v>122</v>
      </c>
      <c r="D190" s="439">
        <v>0</v>
      </c>
      <c r="E190" s="439">
        <v>0</v>
      </c>
      <c r="F190" s="439">
        <v>0</v>
      </c>
      <c r="G190" s="439">
        <v>0</v>
      </c>
      <c r="H190" s="439">
        <v>0</v>
      </c>
      <c r="I190" s="439">
        <v>0</v>
      </c>
      <c r="J190" s="439">
        <v>0</v>
      </c>
      <c r="K190" s="439">
        <v>0</v>
      </c>
      <c r="L190" s="432">
        <v>0</v>
      </c>
      <c r="M190" s="433"/>
      <c r="N190" s="501">
        <v>0</v>
      </c>
      <c r="O190" s="434">
        <f t="shared" si="6"/>
        <v>0</v>
      </c>
    </row>
    <row r="191" spans="2:17" ht="19.5" customHeight="1">
      <c r="B191" s="1017"/>
      <c r="C191" s="435" t="s">
        <v>1311</v>
      </c>
      <c r="D191" s="436">
        <v>0</v>
      </c>
      <c r="E191" s="436">
        <v>0</v>
      </c>
      <c r="F191" s="436">
        <v>0</v>
      </c>
      <c r="G191" s="436">
        <v>0</v>
      </c>
      <c r="H191" s="436">
        <v>0</v>
      </c>
      <c r="I191" s="436">
        <v>0</v>
      </c>
      <c r="J191" s="436">
        <v>0</v>
      </c>
      <c r="K191" s="436">
        <v>0</v>
      </c>
      <c r="L191" s="437">
        <v>0</v>
      </c>
      <c r="M191" s="438"/>
      <c r="N191" s="501">
        <v>0</v>
      </c>
      <c r="O191" s="434">
        <f t="shared" si="6"/>
        <v>0</v>
      </c>
    </row>
    <row r="192" spans="2:17" ht="19.5" customHeight="1">
      <c r="B192" s="1017"/>
      <c r="C192" s="444" t="s">
        <v>1407</v>
      </c>
      <c r="D192" s="439">
        <v>0</v>
      </c>
      <c r="E192" s="439">
        <v>166</v>
      </c>
      <c r="F192" s="439">
        <v>0</v>
      </c>
      <c r="G192" s="439">
        <v>0</v>
      </c>
      <c r="H192" s="439">
        <v>166</v>
      </c>
      <c r="I192" s="439">
        <v>0</v>
      </c>
      <c r="J192" s="439">
        <v>0</v>
      </c>
      <c r="K192" s="439">
        <v>0</v>
      </c>
      <c r="L192" s="432">
        <v>166</v>
      </c>
      <c r="M192" s="433"/>
      <c r="N192" s="502">
        <v>0</v>
      </c>
      <c r="O192" s="434">
        <f t="shared" si="6"/>
        <v>0</v>
      </c>
      <c r="P192" s="434"/>
      <c r="Q192" s="434"/>
    </row>
    <row r="193" spans="2:17" ht="19.5" customHeight="1">
      <c r="B193" s="1018"/>
      <c r="C193" s="440" t="s">
        <v>1456</v>
      </c>
      <c r="D193" s="441">
        <v>0</v>
      </c>
      <c r="E193" s="441">
        <v>166</v>
      </c>
      <c r="F193" s="441">
        <v>0</v>
      </c>
      <c r="G193" s="441">
        <v>0</v>
      </c>
      <c r="H193" s="441">
        <v>166</v>
      </c>
      <c r="I193" s="441">
        <v>0</v>
      </c>
      <c r="J193" s="441">
        <v>0</v>
      </c>
      <c r="K193" s="441">
        <v>0</v>
      </c>
      <c r="L193" s="442">
        <v>166</v>
      </c>
      <c r="M193" s="443"/>
      <c r="N193" s="501">
        <v>0</v>
      </c>
      <c r="O193" s="434">
        <f t="shared" si="6"/>
        <v>0</v>
      </c>
      <c r="P193" s="434"/>
      <c r="Q193" s="434"/>
    </row>
    <row r="194" spans="2:17" ht="19.5" customHeight="1">
      <c r="B194" s="1015" t="s">
        <v>1465</v>
      </c>
      <c r="C194" s="430" t="s">
        <v>122</v>
      </c>
      <c r="D194" s="431">
        <v>0</v>
      </c>
      <c r="E194" s="431">
        <v>0</v>
      </c>
      <c r="F194" s="431">
        <v>32.5</v>
      </c>
      <c r="G194" s="431">
        <v>0</v>
      </c>
      <c r="H194" s="431">
        <v>32.5</v>
      </c>
      <c r="I194" s="431">
        <v>0</v>
      </c>
      <c r="J194" s="431">
        <v>0</v>
      </c>
      <c r="K194" s="431">
        <v>0</v>
      </c>
      <c r="L194" s="432">
        <v>32.5</v>
      </c>
      <c r="M194" s="433"/>
      <c r="N194" s="501">
        <v>0</v>
      </c>
      <c r="O194" s="434">
        <f t="shared" si="6"/>
        <v>0</v>
      </c>
      <c r="P194" s="434"/>
      <c r="Q194" s="434"/>
    </row>
    <row r="195" spans="2:17" ht="19.5" customHeight="1">
      <c r="B195" s="1015"/>
      <c r="C195" s="435" t="s">
        <v>1311</v>
      </c>
      <c r="D195" s="436">
        <v>0</v>
      </c>
      <c r="E195" s="436">
        <v>0</v>
      </c>
      <c r="F195" s="436">
        <v>0</v>
      </c>
      <c r="G195" s="436">
        <v>0</v>
      </c>
      <c r="H195" s="436">
        <v>0</v>
      </c>
      <c r="I195" s="436">
        <v>0</v>
      </c>
      <c r="J195" s="436">
        <v>0</v>
      </c>
      <c r="K195" s="436">
        <v>9.33</v>
      </c>
      <c r="L195" s="437">
        <v>9.33</v>
      </c>
      <c r="M195" s="438"/>
      <c r="N195" s="501">
        <v>0</v>
      </c>
      <c r="O195" s="434">
        <f t="shared" si="6"/>
        <v>0</v>
      </c>
      <c r="P195" s="434"/>
      <c r="Q195" s="434"/>
    </row>
    <row r="196" spans="2:17" ht="19.5" customHeight="1">
      <c r="B196" s="1015"/>
      <c r="C196" s="444" t="s">
        <v>1407</v>
      </c>
      <c r="D196" s="439">
        <v>140.80000000000001</v>
      </c>
      <c r="E196" s="439">
        <v>111.8</v>
      </c>
      <c r="F196" s="439">
        <v>0</v>
      </c>
      <c r="G196" s="439">
        <v>0</v>
      </c>
      <c r="H196" s="439">
        <v>252.60000000000002</v>
      </c>
      <c r="I196" s="439">
        <v>86</v>
      </c>
      <c r="J196" s="439">
        <v>0</v>
      </c>
      <c r="K196" s="439">
        <v>0</v>
      </c>
      <c r="L196" s="432">
        <v>338.6</v>
      </c>
      <c r="M196" s="433"/>
      <c r="N196" s="502">
        <v>140.80000000000001</v>
      </c>
      <c r="O196" s="434">
        <f t="shared" si="6"/>
        <v>0</v>
      </c>
      <c r="P196" s="434"/>
      <c r="Q196" s="434"/>
    </row>
    <row r="197" spans="2:17" ht="19.5" customHeight="1">
      <c r="B197" s="1015"/>
      <c r="C197" s="440" t="s">
        <v>1456</v>
      </c>
      <c r="D197" s="441">
        <v>140.80000000000001</v>
      </c>
      <c r="E197" s="441">
        <v>111.8</v>
      </c>
      <c r="F197" s="441">
        <v>32.5</v>
      </c>
      <c r="G197" s="441">
        <v>0</v>
      </c>
      <c r="H197" s="441">
        <v>285.10000000000002</v>
      </c>
      <c r="I197" s="441">
        <v>86</v>
      </c>
      <c r="J197" s="441">
        <v>0</v>
      </c>
      <c r="K197" s="441">
        <v>9.33</v>
      </c>
      <c r="L197" s="442">
        <v>380.43</v>
      </c>
      <c r="M197" s="443"/>
      <c r="N197" s="501">
        <v>140.80000000000001</v>
      </c>
      <c r="O197" s="434">
        <f t="shared" si="6"/>
        <v>0</v>
      </c>
    </row>
    <row r="198" spans="2:17" ht="19.5" customHeight="1">
      <c r="B198" s="1069" t="s">
        <v>1459</v>
      </c>
      <c r="C198" s="1070"/>
      <c r="D198" s="488">
        <v>1426</v>
      </c>
      <c r="E198" s="488">
        <v>418</v>
      </c>
      <c r="F198" s="488">
        <v>0</v>
      </c>
      <c r="G198" s="488">
        <v>0</v>
      </c>
      <c r="H198" s="488">
        <v>1844</v>
      </c>
      <c r="I198" s="488">
        <v>450</v>
      </c>
      <c r="J198" s="488">
        <v>0</v>
      </c>
      <c r="K198" s="488">
        <v>0</v>
      </c>
      <c r="L198" s="489">
        <v>2294</v>
      </c>
      <c r="M198" s="490"/>
      <c r="N198" s="502">
        <v>1426</v>
      </c>
      <c r="O198" s="434">
        <f t="shared" si="6"/>
        <v>0</v>
      </c>
      <c r="P198" s="502"/>
      <c r="Q198" s="434"/>
    </row>
    <row r="199" spans="2:17" ht="19.5" customHeight="1">
      <c r="B199" s="1016" t="s">
        <v>1466</v>
      </c>
      <c r="C199" s="444" t="s">
        <v>122</v>
      </c>
      <c r="D199" s="439">
        <v>20322.5</v>
      </c>
      <c r="E199" s="439">
        <v>0</v>
      </c>
      <c r="F199" s="439">
        <v>791.98</v>
      </c>
      <c r="G199" s="439">
        <v>159.96</v>
      </c>
      <c r="H199" s="439">
        <v>21274.44</v>
      </c>
      <c r="I199" s="439">
        <v>0</v>
      </c>
      <c r="J199" s="439">
        <v>11774.83</v>
      </c>
      <c r="K199" s="439">
        <v>586.87700000000007</v>
      </c>
      <c r="L199" s="432">
        <v>33636.146999999997</v>
      </c>
      <c r="M199" s="433"/>
      <c r="N199" s="501">
        <v>19512.5</v>
      </c>
      <c r="O199" s="434">
        <f t="shared" si="6"/>
        <v>810</v>
      </c>
      <c r="P199" s="503"/>
    </row>
    <row r="200" spans="2:17" ht="19.5" customHeight="1">
      <c r="B200" s="1017"/>
      <c r="C200" s="435" t="s">
        <v>1311</v>
      </c>
      <c r="D200" s="436">
        <v>12747</v>
      </c>
      <c r="E200" s="436">
        <v>250</v>
      </c>
      <c r="F200" s="436">
        <v>5340.2439999999997</v>
      </c>
      <c r="G200" s="436">
        <v>273.70100000000002</v>
      </c>
      <c r="H200" s="436">
        <v>18610.945</v>
      </c>
      <c r="I200" s="436">
        <v>0</v>
      </c>
      <c r="J200" s="436">
        <v>0</v>
      </c>
      <c r="K200" s="436">
        <v>43471.373</v>
      </c>
      <c r="L200" s="437">
        <v>62082.317999999999</v>
      </c>
      <c r="M200" s="438"/>
      <c r="N200" s="501">
        <v>12747</v>
      </c>
      <c r="O200" s="434">
        <f t="shared" si="6"/>
        <v>0</v>
      </c>
      <c r="P200" s="503"/>
    </row>
    <row r="201" spans="2:17" ht="19.5" customHeight="1">
      <c r="B201" s="1017"/>
      <c r="C201" s="444" t="s">
        <v>1407</v>
      </c>
      <c r="D201" s="439">
        <v>11835.024000000001</v>
      </c>
      <c r="E201" s="439">
        <v>3390.0000000000005</v>
      </c>
      <c r="F201" s="439">
        <v>359.58000000000004</v>
      </c>
      <c r="G201" s="439">
        <v>0</v>
      </c>
      <c r="H201" s="439">
        <v>15584.604000000001</v>
      </c>
      <c r="I201" s="439">
        <v>3320</v>
      </c>
      <c r="J201" s="439">
        <v>0</v>
      </c>
      <c r="K201" s="439">
        <v>541.9</v>
      </c>
      <c r="L201" s="432">
        <v>19446.504000000001</v>
      </c>
      <c r="M201" s="433"/>
      <c r="N201" s="502">
        <v>11835.02</v>
      </c>
      <c r="O201" s="434">
        <f t="shared" si="6"/>
        <v>4.0000000008149073E-3</v>
      </c>
      <c r="P201" s="502"/>
      <c r="Q201" s="434"/>
    </row>
    <row r="202" spans="2:17" ht="19.5" customHeight="1">
      <c r="B202" s="1071"/>
      <c r="C202" s="446" t="s">
        <v>1396</v>
      </c>
      <c r="D202" s="447">
        <v>44904.524000000005</v>
      </c>
      <c r="E202" s="447">
        <v>3640.0000000000005</v>
      </c>
      <c r="F202" s="447">
        <v>6491.8040000000001</v>
      </c>
      <c r="G202" s="447">
        <v>433.66100000000006</v>
      </c>
      <c r="H202" s="447">
        <v>55469.988999999994</v>
      </c>
      <c r="I202" s="447">
        <v>3320</v>
      </c>
      <c r="J202" s="447">
        <v>11774.83</v>
      </c>
      <c r="K202" s="447">
        <v>44600.15</v>
      </c>
      <c r="L202" s="449">
        <v>115164.969</v>
      </c>
      <c r="M202" s="443"/>
      <c r="N202" s="502">
        <v>44094.52</v>
      </c>
      <c r="O202" s="434">
        <f t="shared" si="6"/>
        <v>810.00400000000809</v>
      </c>
    </row>
    <row r="203" spans="2:17" ht="19.5" customHeight="1">
      <c r="B203" s="482"/>
      <c r="C203" s="482"/>
      <c r="D203" s="495"/>
      <c r="E203" s="495"/>
      <c r="F203" s="495"/>
      <c r="G203" s="495"/>
      <c r="H203" s="495"/>
      <c r="I203" s="495"/>
      <c r="J203" s="495"/>
      <c r="K203" s="495"/>
      <c r="L203" s="495"/>
      <c r="M203" s="495"/>
    </row>
    <row r="204" spans="2:17" ht="19.5" customHeight="1">
      <c r="B204" s="482"/>
      <c r="C204" s="482"/>
      <c r="D204" s="495"/>
      <c r="E204" s="495"/>
      <c r="F204" s="495"/>
      <c r="G204" s="495"/>
      <c r="H204" s="495"/>
      <c r="I204" s="495"/>
      <c r="J204" s="495"/>
      <c r="K204" s="495"/>
      <c r="L204" s="424"/>
      <c r="M204" s="424"/>
    </row>
    <row r="205" spans="2:17" ht="19.5" customHeight="1">
      <c r="B205" s="1067" t="s">
        <v>1467</v>
      </c>
      <c r="C205" s="1067"/>
      <c r="D205" s="1067"/>
      <c r="E205" s="1067"/>
      <c r="F205" s="1067"/>
      <c r="G205" s="1067"/>
      <c r="H205" s="1067"/>
      <c r="I205" s="1067"/>
      <c r="J205" s="1067"/>
      <c r="K205" s="1067"/>
      <c r="L205" s="1067"/>
      <c r="M205" s="666"/>
    </row>
    <row r="206" spans="2:17" ht="19.5" customHeight="1">
      <c r="B206" s="1067"/>
      <c r="C206" s="1067"/>
      <c r="D206" s="1067"/>
      <c r="E206" s="1067"/>
      <c r="F206" s="1067"/>
      <c r="G206" s="1067"/>
      <c r="H206" s="1067"/>
      <c r="I206" s="1067"/>
      <c r="J206" s="1067"/>
      <c r="K206" s="1067"/>
      <c r="L206" s="1067"/>
      <c r="M206" s="666"/>
    </row>
    <row r="207" spans="2:17" ht="19.5" customHeight="1">
      <c r="B207" s="1067"/>
      <c r="C207" s="1067"/>
      <c r="D207" s="1067"/>
      <c r="E207" s="1067"/>
      <c r="F207" s="1067"/>
      <c r="G207" s="1067"/>
      <c r="H207" s="1067"/>
      <c r="I207" s="1067"/>
      <c r="J207" s="1067"/>
      <c r="K207" s="1067"/>
      <c r="L207" s="1067"/>
      <c r="M207" s="666"/>
    </row>
    <row r="208" spans="2:17" ht="19.5" customHeight="1">
      <c r="B208" s="1021" t="s">
        <v>1452</v>
      </c>
      <c r="C208" s="1021"/>
      <c r="D208" s="1021"/>
      <c r="E208" s="1021"/>
      <c r="F208" s="1021"/>
      <c r="G208" s="1021"/>
      <c r="H208" s="1021"/>
      <c r="I208" s="1021"/>
      <c r="J208" s="1021"/>
      <c r="K208" s="1021"/>
      <c r="L208" s="1021"/>
      <c r="M208" s="667"/>
    </row>
    <row r="209" spans="2:17" ht="19.5" customHeight="1">
      <c r="B209" s="484"/>
      <c r="C209" s="484"/>
      <c r="D209" s="484"/>
      <c r="E209" s="484"/>
      <c r="F209" s="484"/>
      <c r="G209" s="484"/>
      <c r="H209" s="485"/>
      <c r="I209" s="485"/>
      <c r="J209" s="484"/>
      <c r="K209" s="1068" t="s">
        <v>1392</v>
      </c>
      <c r="L209" s="1068"/>
      <c r="M209" s="668"/>
    </row>
    <row r="210" spans="2:17" ht="19.5" customHeight="1">
      <c r="B210" s="1023" t="s">
        <v>680</v>
      </c>
      <c r="C210" s="1026" t="s">
        <v>1394</v>
      </c>
      <c r="D210" s="1029" t="s">
        <v>1395</v>
      </c>
      <c r="E210" s="1030"/>
      <c r="F210" s="1030"/>
      <c r="G210" s="1030"/>
      <c r="H210" s="1030"/>
      <c r="I210" s="1030"/>
      <c r="J210" s="1030"/>
      <c r="K210" s="1031"/>
      <c r="L210" s="1032" t="s">
        <v>1396</v>
      </c>
      <c r="M210" s="426"/>
    </row>
    <row r="211" spans="2:17" ht="19.5" customHeight="1">
      <c r="B211" s="1024"/>
      <c r="C211" s="1027"/>
      <c r="D211" s="1035" t="s">
        <v>1397</v>
      </c>
      <c r="E211" s="1036"/>
      <c r="F211" s="1036"/>
      <c r="G211" s="1036"/>
      <c r="H211" s="1036"/>
      <c r="I211" s="1037" t="s">
        <v>1398</v>
      </c>
      <c r="J211" s="1011" t="s">
        <v>1454</v>
      </c>
      <c r="K211" s="1013" t="s">
        <v>1455</v>
      </c>
      <c r="L211" s="1033"/>
      <c r="M211" s="426"/>
      <c r="N211" s="427" t="s">
        <v>1401</v>
      </c>
    </row>
    <row r="212" spans="2:17" ht="19.5" customHeight="1">
      <c r="B212" s="1025"/>
      <c r="C212" s="1028"/>
      <c r="D212" s="669" t="s">
        <v>1402</v>
      </c>
      <c r="E212" s="428" t="s">
        <v>1403</v>
      </c>
      <c r="F212" s="428" t="s">
        <v>1404</v>
      </c>
      <c r="G212" s="428" t="s">
        <v>1405</v>
      </c>
      <c r="H212" s="428" t="s">
        <v>7</v>
      </c>
      <c r="I212" s="1035"/>
      <c r="J212" s="1012"/>
      <c r="K212" s="1014"/>
      <c r="L212" s="1034"/>
      <c r="M212" s="426"/>
      <c r="N212" s="669" t="s">
        <v>1402</v>
      </c>
      <c r="O212" s="669" t="s">
        <v>1479</v>
      </c>
    </row>
    <row r="213" spans="2:17" ht="19.5" customHeight="1">
      <c r="B213" s="1015" t="s">
        <v>485</v>
      </c>
      <c r="C213" s="430" t="s">
        <v>122</v>
      </c>
      <c r="D213" s="431">
        <v>0</v>
      </c>
      <c r="E213" s="431">
        <v>0</v>
      </c>
      <c r="F213" s="431">
        <v>0</v>
      </c>
      <c r="G213" s="431">
        <v>0</v>
      </c>
      <c r="H213" s="431">
        <v>0</v>
      </c>
      <c r="I213" s="431">
        <v>0</v>
      </c>
      <c r="J213" s="431">
        <v>0</v>
      </c>
      <c r="K213" s="431">
        <v>70.7</v>
      </c>
      <c r="L213" s="432">
        <v>70.7</v>
      </c>
      <c r="M213" s="433"/>
      <c r="N213" s="255">
        <v>0</v>
      </c>
      <c r="O213" s="434">
        <f t="shared" ref="O213:O241" si="7">D213-N213</f>
        <v>0</v>
      </c>
    </row>
    <row r="214" spans="2:17" ht="19.5" customHeight="1">
      <c r="B214" s="1015"/>
      <c r="C214" s="435" t="s">
        <v>1311</v>
      </c>
      <c r="D214" s="436">
        <v>700</v>
      </c>
      <c r="E214" s="436">
        <v>0</v>
      </c>
      <c r="F214" s="436">
        <v>0</v>
      </c>
      <c r="G214" s="436">
        <v>0</v>
      </c>
      <c r="H214" s="436">
        <v>700</v>
      </c>
      <c r="I214" s="436">
        <v>0</v>
      </c>
      <c r="J214" s="436">
        <v>0</v>
      </c>
      <c r="K214" s="436">
        <v>284.20999999999998</v>
      </c>
      <c r="L214" s="437">
        <v>984.21</v>
      </c>
      <c r="M214" s="438"/>
      <c r="N214" s="255">
        <v>700</v>
      </c>
      <c r="O214" s="434">
        <f t="shared" si="7"/>
        <v>0</v>
      </c>
    </row>
    <row r="215" spans="2:17" ht="19.5" customHeight="1">
      <c r="B215" s="1015"/>
      <c r="C215" s="444" t="s">
        <v>1407</v>
      </c>
      <c r="D215" s="439">
        <v>5155.8899999999994</v>
      </c>
      <c r="E215" s="439">
        <v>0</v>
      </c>
      <c r="F215" s="439">
        <v>0</v>
      </c>
      <c r="G215" s="439">
        <v>0</v>
      </c>
      <c r="H215" s="439">
        <v>5155.8899999999994</v>
      </c>
      <c r="I215" s="439">
        <v>0</v>
      </c>
      <c r="J215" s="439">
        <v>109.99890000000001</v>
      </c>
      <c r="K215" s="439">
        <v>0</v>
      </c>
      <c r="L215" s="432">
        <v>5265.888899999999</v>
      </c>
      <c r="M215" s="433"/>
      <c r="N215" s="434">
        <v>4638.3900000000003</v>
      </c>
      <c r="O215" s="434">
        <f t="shared" si="7"/>
        <v>517.49999999999909</v>
      </c>
    </row>
    <row r="216" spans="2:17" ht="19.5" customHeight="1">
      <c r="B216" s="1015"/>
      <c r="C216" s="440" t="s">
        <v>1456</v>
      </c>
      <c r="D216" s="441">
        <v>5855.8899999999994</v>
      </c>
      <c r="E216" s="441">
        <v>0</v>
      </c>
      <c r="F216" s="441">
        <v>0</v>
      </c>
      <c r="G216" s="441">
        <v>0</v>
      </c>
      <c r="H216" s="441">
        <v>5855.8899999999994</v>
      </c>
      <c r="I216" s="441">
        <v>0</v>
      </c>
      <c r="J216" s="441">
        <v>109.99890000000001</v>
      </c>
      <c r="K216" s="441">
        <v>354.90999999999997</v>
      </c>
      <c r="L216" s="442">
        <v>6320.7988999999989</v>
      </c>
      <c r="M216" s="443"/>
      <c r="N216" s="434">
        <v>5338.39</v>
      </c>
      <c r="O216" s="434">
        <f t="shared" si="7"/>
        <v>517.49999999999909</v>
      </c>
      <c r="P216" s="255" t="s">
        <v>19</v>
      </c>
      <c r="Q216" s="255">
        <v>1</v>
      </c>
    </row>
    <row r="217" spans="2:17" ht="19.5" customHeight="1">
      <c r="B217" s="1016" t="s">
        <v>59</v>
      </c>
      <c r="C217" s="444" t="s">
        <v>122</v>
      </c>
      <c r="D217" s="439">
        <v>420</v>
      </c>
      <c r="E217" s="439">
        <v>0</v>
      </c>
      <c r="F217" s="439">
        <v>0</v>
      </c>
      <c r="G217" s="439">
        <v>0</v>
      </c>
      <c r="H217" s="439">
        <v>420</v>
      </c>
      <c r="I217" s="439">
        <v>0</v>
      </c>
      <c r="J217" s="439">
        <v>130</v>
      </c>
      <c r="K217" s="439">
        <v>4.05</v>
      </c>
      <c r="L217" s="432">
        <v>554.04999999999995</v>
      </c>
      <c r="M217" s="433"/>
      <c r="N217" s="255">
        <v>420</v>
      </c>
      <c r="O217" s="434">
        <f t="shared" si="7"/>
        <v>0</v>
      </c>
    </row>
    <row r="218" spans="2:17" ht="19.5" customHeight="1">
      <c r="B218" s="1017"/>
      <c r="C218" s="435" t="s">
        <v>1311</v>
      </c>
      <c r="D218" s="436">
        <v>580</v>
      </c>
      <c r="E218" s="436">
        <v>0</v>
      </c>
      <c r="F218" s="436">
        <v>0</v>
      </c>
      <c r="G218" s="436">
        <v>0</v>
      </c>
      <c r="H218" s="436">
        <v>580</v>
      </c>
      <c r="I218" s="436">
        <v>0</v>
      </c>
      <c r="J218" s="436">
        <v>0</v>
      </c>
      <c r="K218" s="436">
        <v>56.36</v>
      </c>
      <c r="L218" s="437">
        <v>636.36</v>
      </c>
      <c r="M218" s="438"/>
      <c r="N218" s="255">
        <v>580</v>
      </c>
      <c r="O218" s="434">
        <f t="shared" si="7"/>
        <v>0</v>
      </c>
    </row>
    <row r="219" spans="2:17" ht="19.5" customHeight="1">
      <c r="B219" s="1017"/>
      <c r="C219" s="444" t="s">
        <v>1407</v>
      </c>
      <c r="D219" s="439">
        <v>1296.462</v>
      </c>
      <c r="E219" s="439">
        <v>0</v>
      </c>
      <c r="F219" s="439">
        <v>0</v>
      </c>
      <c r="G219" s="439">
        <v>0</v>
      </c>
      <c r="H219" s="439">
        <v>1296.462</v>
      </c>
      <c r="I219" s="439">
        <v>0</v>
      </c>
      <c r="J219" s="439">
        <v>60.998999999999988</v>
      </c>
      <c r="K219" s="439">
        <v>0</v>
      </c>
      <c r="L219" s="432">
        <v>1357.461</v>
      </c>
      <c r="M219" s="433"/>
      <c r="N219" s="255">
        <v>1276.46</v>
      </c>
      <c r="O219" s="434">
        <f t="shared" si="7"/>
        <v>20.001999999999953</v>
      </c>
    </row>
    <row r="220" spans="2:17" ht="19.5" customHeight="1">
      <c r="B220" s="1018"/>
      <c r="C220" s="440" t="s">
        <v>1456</v>
      </c>
      <c r="D220" s="441">
        <v>2296.462</v>
      </c>
      <c r="E220" s="441">
        <v>0</v>
      </c>
      <c r="F220" s="441">
        <v>0</v>
      </c>
      <c r="G220" s="441">
        <v>0</v>
      </c>
      <c r="H220" s="441">
        <v>2296.462</v>
      </c>
      <c r="I220" s="441">
        <v>0</v>
      </c>
      <c r="J220" s="441">
        <v>190.999</v>
      </c>
      <c r="K220" s="441">
        <v>60.41</v>
      </c>
      <c r="L220" s="442">
        <v>2547.8710000000001</v>
      </c>
      <c r="M220" s="443"/>
      <c r="N220" s="255">
        <v>2276.46</v>
      </c>
      <c r="O220" s="434">
        <f t="shared" si="7"/>
        <v>20.001999999999953</v>
      </c>
      <c r="P220" s="255" t="s">
        <v>20</v>
      </c>
      <c r="Q220" s="255">
        <v>1</v>
      </c>
    </row>
    <row r="221" spans="2:17" ht="19.5" customHeight="1">
      <c r="B221" s="1015" t="s">
        <v>628</v>
      </c>
      <c r="C221" s="430" t="s">
        <v>122</v>
      </c>
      <c r="D221" s="431">
        <v>5290</v>
      </c>
      <c r="E221" s="431">
        <v>0</v>
      </c>
      <c r="F221" s="431">
        <v>100</v>
      </c>
      <c r="G221" s="431">
        <v>0</v>
      </c>
      <c r="H221" s="431">
        <v>5390</v>
      </c>
      <c r="I221" s="431">
        <v>0</v>
      </c>
      <c r="J221" s="431">
        <v>986</v>
      </c>
      <c r="K221" s="431">
        <v>121.95</v>
      </c>
      <c r="L221" s="432">
        <v>6497.95</v>
      </c>
      <c r="M221" s="433"/>
      <c r="N221" s="255">
        <v>5290</v>
      </c>
      <c r="O221" s="434">
        <f t="shared" si="7"/>
        <v>0</v>
      </c>
    </row>
    <row r="222" spans="2:17" ht="19.5" customHeight="1">
      <c r="B222" s="1015"/>
      <c r="C222" s="435" t="s">
        <v>1311</v>
      </c>
      <c r="D222" s="436">
        <v>2437</v>
      </c>
      <c r="E222" s="436">
        <v>0</v>
      </c>
      <c r="F222" s="436">
        <v>0</v>
      </c>
      <c r="G222" s="436">
        <v>0</v>
      </c>
      <c r="H222" s="436">
        <v>2437</v>
      </c>
      <c r="I222" s="436">
        <v>0</v>
      </c>
      <c r="J222" s="436">
        <v>0</v>
      </c>
      <c r="K222" s="436">
        <v>446.31000000000006</v>
      </c>
      <c r="L222" s="437">
        <v>2883.31</v>
      </c>
      <c r="M222" s="438"/>
      <c r="N222" s="255">
        <v>2437</v>
      </c>
      <c r="O222" s="434">
        <f t="shared" si="7"/>
        <v>0</v>
      </c>
    </row>
    <row r="223" spans="2:17" ht="19.5" customHeight="1">
      <c r="B223" s="1015"/>
      <c r="C223" s="444" t="s">
        <v>1407</v>
      </c>
      <c r="D223" s="439">
        <v>1245.6199999999999</v>
      </c>
      <c r="E223" s="439">
        <v>0</v>
      </c>
      <c r="F223" s="439">
        <v>0</v>
      </c>
      <c r="G223" s="439">
        <v>0</v>
      </c>
      <c r="H223" s="439">
        <v>1245.6199999999999</v>
      </c>
      <c r="I223" s="439">
        <v>0</v>
      </c>
      <c r="J223" s="439">
        <v>409.99900000000002</v>
      </c>
      <c r="K223" s="439">
        <v>0</v>
      </c>
      <c r="L223" s="432">
        <v>1655.6189999999999</v>
      </c>
      <c r="M223" s="433"/>
      <c r="N223" s="255">
        <v>1270.6199999999999</v>
      </c>
      <c r="O223" s="434">
        <f t="shared" si="7"/>
        <v>-25</v>
      </c>
    </row>
    <row r="224" spans="2:17" ht="19.5" customHeight="1">
      <c r="B224" s="1015"/>
      <c r="C224" s="440" t="s">
        <v>1456</v>
      </c>
      <c r="D224" s="441">
        <v>8972.619999999999</v>
      </c>
      <c r="E224" s="441">
        <v>0</v>
      </c>
      <c r="F224" s="441">
        <v>100</v>
      </c>
      <c r="G224" s="441">
        <v>0</v>
      </c>
      <c r="H224" s="441">
        <v>9072.619999999999</v>
      </c>
      <c r="I224" s="441">
        <v>0</v>
      </c>
      <c r="J224" s="441">
        <v>1395.999</v>
      </c>
      <c r="K224" s="441">
        <v>568.2600000000001</v>
      </c>
      <c r="L224" s="442">
        <v>11036.879000000001</v>
      </c>
      <c r="M224" s="443"/>
      <c r="N224" s="255">
        <v>8997.6200000000008</v>
      </c>
      <c r="O224" s="434">
        <f t="shared" si="7"/>
        <v>-25.000000000001819</v>
      </c>
    </row>
    <row r="225" spans="2:17" ht="19.5" customHeight="1">
      <c r="B225" s="1016" t="s">
        <v>1468</v>
      </c>
      <c r="C225" s="444" t="s">
        <v>122</v>
      </c>
      <c r="D225" s="439">
        <v>0</v>
      </c>
      <c r="E225" s="439">
        <v>0</v>
      </c>
      <c r="F225" s="439">
        <v>0</v>
      </c>
      <c r="G225" s="439">
        <v>0</v>
      </c>
      <c r="H225" s="439">
        <v>0</v>
      </c>
      <c r="I225" s="439">
        <v>0</v>
      </c>
      <c r="J225" s="439">
        <v>0</v>
      </c>
      <c r="K225" s="439">
        <v>0</v>
      </c>
      <c r="L225" s="432">
        <v>0</v>
      </c>
      <c r="M225" s="433"/>
      <c r="N225" s="255">
        <v>0</v>
      </c>
      <c r="O225" s="434">
        <f t="shared" si="7"/>
        <v>0</v>
      </c>
    </row>
    <row r="226" spans="2:17" ht="19.5" customHeight="1">
      <c r="B226" s="1017"/>
      <c r="C226" s="435" t="s">
        <v>1311</v>
      </c>
      <c r="D226" s="436">
        <v>150</v>
      </c>
      <c r="E226" s="436">
        <v>0</v>
      </c>
      <c r="F226" s="436">
        <v>0</v>
      </c>
      <c r="G226" s="436">
        <v>0</v>
      </c>
      <c r="H226" s="436">
        <v>150</v>
      </c>
      <c r="I226" s="436">
        <v>0</v>
      </c>
      <c r="J226" s="436">
        <v>0</v>
      </c>
      <c r="K226" s="436">
        <v>0</v>
      </c>
      <c r="L226" s="437">
        <v>150</v>
      </c>
      <c r="M226" s="438"/>
      <c r="N226" s="255">
        <v>150</v>
      </c>
      <c r="O226" s="434">
        <f t="shared" si="7"/>
        <v>0</v>
      </c>
    </row>
    <row r="227" spans="2:17" ht="19.5" customHeight="1">
      <c r="B227" s="1017"/>
      <c r="C227" s="444" t="s">
        <v>1407</v>
      </c>
      <c r="D227" s="439">
        <v>3307.0149999999999</v>
      </c>
      <c r="E227" s="439">
        <v>0</v>
      </c>
      <c r="F227" s="439">
        <v>0</v>
      </c>
      <c r="G227" s="439">
        <v>0</v>
      </c>
      <c r="H227" s="439">
        <v>3307.0149999999999</v>
      </c>
      <c r="I227" s="439">
        <v>0</v>
      </c>
      <c r="J227" s="439">
        <v>186.19989999999999</v>
      </c>
      <c r="K227" s="439">
        <v>0</v>
      </c>
      <c r="L227" s="432">
        <v>3493.2148999999999</v>
      </c>
      <c r="M227" s="433"/>
      <c r="N227" s="255">
        <v>3305.02</v>
      </c>
      <c r="O227" s="434">
        <f t="shared" si="7"/>
        <v>1.9949999999998909</v>
      </c>
    </row>
    <row r="228" spans="2:17" ht="19.5" customHeight="1">
      <c r="B228" s="1018"/>
      <c r="C228" s="440" t="s">
        <v>1456</v>
      </c>
      <c r="D228" s="441">
        <v>3457.0149999999999</v>
      </c>
      <c r="E228" s="441">
        <v>0</v>
      </c>
      <c r="F228" s="441">
        <v>0</v>
      </c>
      <c r="G228" s="441">
        <v>0</v>
      </c>
      <c r="H228" s="441">
        <v>3457.0149999999999</v>
      </c>
      <c r="I228" s="441">
        <v>0</v>
      </c>
      <c r="J228" s="441">
        <v>186.19989999999999</v>
      </c>
      <c r="K228" s="441">
        <v>0</v>
      </c>
      <c r="L228" s="442">
        <v>3643.2148999999999</v>
      </c>
      <c r="M228" s="443"/>
      <c r="N228" s="255">
        <v>3455.02</v>
      </c>
      <c r="O228" s="434">
        <f t="shared" si="7"/>
        <v>1.9949999999998909</v>
      </c>
    </row>
    <row r="229" spans="2:17" ht="19.5" customHeight="1">
      <c r="B229" s="1015" t="s">
        <v>68</v>
      </c>
      <c r="C229" s="430" t="s">
        <v>122</v>
      </c>
      <c r="D229" s="431">
        <v>1740</v>
      </c>
      <c r="E229" s="431">
        <v>0</v>
      </c>
      <c r="F229" s="431">
        <v>0</v>
      </c>
      <c r="G229" s="431">
        <v>0</v>
      </c>
      <c r="H229" s="431">
        <v>1740</v>
      </c>
      <c r="I229" s="431">
        <v>0</v>
      </c>
      <c r="J229" s="431">
        <v>2061.92</v>
      </c>
      <c r="K229" s="431">
        <v>26.299999999999997</v>
      </c>
      <c r="L229" s="432">
        <v>3828.2200000000003</v>
      </c>
      <c r="M229" s="433"/>
      <c r="N229" s="255">
        <v>1740</v>
      </c>
      <c r="O229" s="434">
        <f t="shared" si="7"/>
        <v>0</v>
      </c>
    </row>
    <row r="230" spans="2:17" ht="19.5" customHeight="1">
      <c r="B230" s="1015"/>
      <c r="C230" s="435" t="s">
        <v>1311</v>
      </c>
      <c r="D230" s="436">
        <v>2286</v>
      </c>
      <c r="E230" s="436">
        <v>0</v>
      </c>
      <c r="F230" s="436">
        <v>0</v>
      </c>
      <c r="G230" s="436">
        <v>0</v>
      </c>
      <c r="H230" s="436">
        <v>2286</v>
      </c>
      <c r="I230" s="436">
        <v>0</v>
      </c>
      <c r="J230" s="436">
        <v>0</v>
      </c>
      <c r="K230" s="436">
        <v>513.27</v>
      </c>
      <c r="L230" s="437">
        <v>2799.27</v>
      </c>
      <c r="M230" s="438"/>
      <c r="N230" s="255">
        <v>2286</v>
      </c>
      <c r="O230" s="434">
        <f t="shared" si="7"/>
        <v>0</v>
      </c>
    </row>
    <row r="231" spans="2:17" ht="19.5" customHeight="1">
      <c r="B231" s="1015"/>
      <c r="C231" s="444" t="s">
        <v>1407</v>
      </c>
      <c r="D231" s="439">
        <v>1867.98</v>
      </c>
      <c r="E231" s="439">
        <v>0</v>
      </c>
      <c r="F231" s="439">
        <v>0</v>
      </c>
      <c r="G231" s="439">
        <v>0</v>
      </c>
      <c r="H231" s="439">
        <v>1867.98</v>
      </c>
      <c r="I231" s="439">
        <v>0</v>
      </c>
      <c r="J231" s="439">
        <v>89.000100000000003</v>
      </c>
      <c r="K231" s="439">
        <v>10</v>
      </c>
      <c r="L231" s="432">
        <v>1966.9801</v>
      </c>
      <c r="M231" s="433"/>
      <c r="N231" s="255">
        <v>1867.98</v>
      </c>
      <c r="O231" s="434">
        <f t="shared" si="7"/>
        <v>0</v>
      </c>
    </row>
    <row r="232" spans="2:17" ht="19.5" customHeight="1">
      <c r="B232" s="1015"/>
      <c r="C232" s="440" t="s">
        <v>1456</v>
      </c>
      <c r="D232" s="441">
        <v>5893.98</v>
      </c>
      <c r="E232" s="441">
        <v>0</v>
      </c>
      <c r="F232" s="441">
        <v>0</v>
      </c>
      <c r="G232" s="441">
        <v>0</v>
      </c>
      <c r="H232" s="441">
        <v>5893.98</v>
      </c>
      <c r="I232" s="441">
        <v>0</v>
      </c>
      <c r="J232" s="441">
        <v>2150.9201000000003</v>
      </c>
      <c r="K232" s="441">
        <v>549.56999999999994</v>
      </c>
      <c r="L232" s="442">
        <v>8594.4701000000005</v>
      </c>
      <c r="M232" s="443"/>
      <c r="N232" s="255">
        <v>5893.98</v>
      </c>
      <c r="O232" s="434">
        <f t="shared" si="7"/>
        <v>0</v>
      </c>
    </row>
    <row r="233" spans="2:17" ht="19.5" customHeight="1">
      <c r="B233" s="1016" t="s">
        <v>71</v>
      </c>
      <c r="C233" s="444" t="s">
        <v>122</v>
      </c>
      <c r="D233" s="439">
        <v>0</v>
      </c>
      <c r="E233" s="439">
        <v>0</v>
      </c>
      <c r="F233" s="439">
        <v>0</v>
      </c>
      <c r="G233" s="439">
        <v>0</v>
      </c>
      <c r="H233" s="439">
        <v>0</v>
      </c>
      <c r="I233" s="439">
        <v>0</v>
      </c>
      <c r="J233" s="439">
        <v>360</v>
      </c>
      <c r="K233" s="439">
        <v>52.11</v>
      </c>
      <c r="L233" s="432">
        <v>412.11</v>
      </c>
      <c r="M233" s="433"/>
      <c r="N233" s="255">
        <v>0</v>
      </c>
      <c r="O233" s="434">
        <f t="shared" si="7"/>
        <v>0</v>
      </c>
    </row>
    <row r="234" spans="2:17" ht="19.5" customHeight="1">
      <c r="B234" s="1017"/>
      <c r="C234" s="435" t="s">
        <v>1311</v>
      </c>
      <c r="D234" s="436">
        <v>0</v>
      </c>
      <c r="E234" s="436">
        <v>0</v>
      </c>
      <c r="F234" s="436">
        <v>0</v>
      </c>
      <c r="G234" s="436">
        <v>0</v>
      </c>
      <c r="H234" s="436">
        <v>0</v>
      </c>
      <c r="I234" s="436">
        <v>0</v>
      </c>
      <c r="J234" s="436">
        <v>96</v>
      </c>
      <c r="K234" s="436">
        <v>7.0000000000000007E-2</v>
      </c>
      <c r="L234" s="437">
        <v>96.07</v>
      </c>
      <c r="M234" s="438"/>
      <c r="N234" s="255">
        <v>0</v>
      </c>
      <c r="O234" s="434">
        <f t="shared" si="7"/>
        <v>0</v>
      </c>
    </row>
    <row r="235" spans="2:17" ht="19.5" customHeight="1">
      <c r="B235" s="1017"/>
      <c r="C235" s="444" t="s">
        <v>1407</v>
      </c>
      <c r="D235" s="439">
        <v>105.648</v>
      </c>
      <c r="E235" s="439">
        <v>0</v>
      </c>
      <c r="F235" s="439">
        <v>0</v>
      </c>
      <c r="G235" s="439">
        <v>0</v>
      </c>
      <c r="H235" s="439">
        <v>105.648</v>
      </c>
      <c r="I235" s="439">
        <v>0</v>
      </c>
      <c r="J235" s="439">
        <v>63.997800000000005</v>
      </c>
      <c r="K235" s="439">
        <v>0</v>
      </c>
      <c r="L235" s="432">
        <v>169.64580000000001</v>
      </c>
      <c r="M235" s="433"/>
      <c r="N235" s="255">
        <v>102.25</v>
      </c>
      <c r="O235" s="434">
        <f t="shared" si="7"/>
        <v>3.3979999999999961</v>
      </c>
      <c r="P235" s="255" t="s">
        <v>90</v>
      </c>
      <c r="Q235" s="255">
        <v>1</v>
      </c>
    </row>
    <row r="236" spans="2:17" ht="19.5" customHeight="1">
      <c r="B236" s="1018"/>
      <c r="C236" s="440" t="s">
        <v>1456</v>
      </c>
      <c r="D236" s="441">
        <v>105.648</v>
      </c>
      <c r="E236" s="441">
        <v>0</v>
      </c>
      <c r="F236" s="441">
        <v>0</v>
      </c>
      <c r="G236" s="441">
        <v>0</v>
      </c>
      <c r="H236" s="441">
        <v>105.648</v>
      </c>
      <c r="I236" s="441">
        <v>0</v>
      </c>
      <c r="J236" s="441">
        <v>519.99779999999998</v>
      </c>
      <c r="K236" s="441">
        <v>52.18</v>
      </c>
      <c r="L236" s="442">
        <v>677.82580000000007</v>
      </c>
      <c r="M236" s="443"/>
      <c r="N236" s="255">
        <v>102.25</v>
      </c>
      <c r="O236" s="434">
        <f t="shared" si="7"/>
        <v>3.3979999999999961</v>
      </c>
    </row>
    <row r="237" spans="2:17" ht="19.5" customHeight="1">
      <c r="B237" s="1069" t="s">
        <v>1459</v>
      </c>
      <c r="C237" s="1070"/>
      <c r="D237" s="488">
        <v>1270.83</v>
      </c>
      <c r="E237" s="488">
        <v>0</v>
      </c>
      <c r="F237" s="488">
        <v>0</v>
      </c>
      <c r="G237" s="488">
        <v>0</v>
      </c>
      <c r="H237" s="488">
        <v>1270.83</v>
      </c>
      <c r="I237" s="488">
        <v>0</v>
      </c>
      <c r="J237" s="488">
        <v>85.005300000000005</v>
      </c>
      <c r="K237" s="488">
        <v>0</v>
      </c>
      <c r="L237" s="489">
        <v>1355.8353</v>
      </c>
      <c r="M237" s="490"/>
      <c r="N237" s="255">
        <v>1221.33</v>
      </c>
      <c r="O237" s="727">
        <f t="shared" si="7"/>
        <v>49.5</v>
      </c>
    </row>
    <row r="238" spans="2:17" ht="19.5" customHeight="1">
      <c r="B238" s="1015" t="s">
        <v>1469</v>
      </c>
      <c r="C238" s="430" t="s">
        <v>122</v>
      </c>
      <c r="D238" s="431">
        <v>7450</v>
      </c>
      <c r="E238" s="431">
        <v>0</v>
      </c>
      <c r="F238" s="431">
        <v>100</v>
      </c>
      <c r="G238" s="431">
        <v>0</v>
      </c>
      <c r="H238" s="431">
        <v>7550</v>
      </c>
      <c r="I238" s="431">
        <v>0</v>
      </c>
      <c r="J238" s="431">
        <v>3537.92</v>
      </c>
      <c r="K238" s="431">
        <v>275.11</v>
      </c>
      <c r="L238" s="432">
        <v>11363.029999999999</v>
      </c>
      <c r="M238" s="433"/>
      <c r="N238" s="255">
        <v>7450</v>
      </c>
      <c r="O238" s="434">
        <f t="shared" si="7"/>
        <v>0</v>
      </c>
    </row>
    <row r="239" spans="2:17" ht="19.5" customHeight="1">
      <c r="B239" s="1015"/>
      <c r="C239" s="435" t="s">
        <v>1311</v>
      </c>
      <c r="D239" s="436">
        <v>6153</v>
      </c>
      <c r="E239" s="436">
        <v>0</v>
      </c>
      <c r="F239" s="436">
        <v>0</v>
      </c>
      <c r="G239" s="436">
        <v>0</v>
      </c>
      <c r="H239" s="436">
        <v>6153</v>
      </c>
      <c r="I239" s="436">
        <v>0</v>
      </c>
      <c r="J239" s="436">
        <v>96</v>
      </c>
      <c r="K239" s="436">
        <v>1300.2199999999998</v>
      </c>
      <c r="L239" s="437">
        <v>7549.2199999999993</v>
      </c>
      <c r="M239" s="438"/>
      <c r="N239" s="255">
        <v>6153</v>
      </c>
      <c r="O239" s="434">
        <f t="shared" si="7"/>
        <v>0</v>
      </c>
    </row>
    <row r="240" spans="2:17" ht="19.5" customHeight="1">
      <c r="B240" s="1015"/>
      <c r="C240" s="444" t="s">
        <v>1407</v>
      </c>
      <c r="D240" s="439">
        <v>14249.444999999998</v>
      </c>
      <c r="E240" s="439">
        <v>0</v>
      </c>
      <c r="F240" s="439">
        <v>0</v>
      </c>
      <c r="G240" s="439">
        <v>0</v>
      </c>
      <c r="H240" s="439">
        <v>14249.444999999998</v>
      </c>
      <c r="I240" s="439">
        <v>0</v>
      </c>
      <c r="J240" s="439">
        <v>1005.2</v>
      </c>
      <c r="K240" s="439">
        <v>10</v>
      </c>
      <c r="L240" s="432">
        <v>15264.644999999999</v>
      </c>
      <c r="M240" s="433"/>
      <c r="N240" s="434">
        <v>13682.05</v>
      </c>
      <c r="O240" s="434">
        <f t="shared" si="7"/>
        <v>567.39499999999862</v>
      </c>
    </row>
    <row r="241" spans="1:17" ht="15.75">
      <c r="B241" s="1039"/>
      <c r="C241" s="446" t="s">
        <v>1396</v>
      </c>
      <c r="D241" s="447">
        <v>27852.445</v>
      </c>
      <c r="E241" s="447">
        <v>0</v>
      </c>
      <c r="F241" s="447">
        <v>100</v>
      </c>
      <c r="G241" s="447">
        <v>0</v>
      </c>
      <c r="H241" s="447">
        <v>27952.445</v>
      </c>
      <c r="I241" s="447">
        <v>0</v>
      </c>
      <c r="J241" s="447">
        <v>4639.12</v>
      </c>
      <c r="K241" s="447">
        <v>1585.33</v>
      </c>
      <c r="L241" s="449">
        <v>34176.894999999997</v>
      </c>
      <c r="M241" s="443"/>
      <c r="N241" s="255">
        <v>27285.05</v>
      </c>
      <c r="O241" s="434">
        <f t="shared" si="7"/>
        <v>567.39500000000044</v>
      </c>
    </row>
    <row r="242" spans="1:17" ht="19.5" customHeight="1">
      <c r="A242" s="504"/>
      <c r="B242" s="505"/>
      <c r="C242" s="423"/>
      <c r="D242" s="425"/>
      <c r="E242" s="425"/>
      <c r="F242" s="425"/>
      <c r="G242" s="425"/>
      <c r="H242" s="425"/>
      <c r="I242" s="425"/>
      <c r="J242" s="425"/>
      <c r="K242" s="425"/>
      <c r="L242" s="425"/>
      <c r="M242" s="425"/>
      <c r="N242" s="504"/>
      <c r="O242" s="434"/>
    </row>
    <row r="243" spans="1:17" ht="19.5" customHeight="1">
      <c r="A243" s="504"/>
      <c r="B243" s="505"/>
      <c r="C243" s="423"/>
      <c r="D243" s="425"/>
      <c r="E243" s="425"/>
      <c r="F243" s="425"/>
      <c r="G243" s="425"/>
      <c r="H243" s="425"/>
      <c r="I243" s="425"/>
      <c r="J243" s="425"/>
      <c r="K243" s="425"/>
      <c r="L243" s="424"/>
      <c r="M243" s="424"/>
      <c r="N243" s="504"/>
      <c r="O243" s="434"/>
    </row>
    <row r="244" spans="1:17" ht="19.5" customHeight="1">
      <c r="B244" s="1067" t="s">
        <v>1470</v>
      </c>
      <c r="C244" s="1067"/>
      <c r="D244" s="1067"/>
      <c r="E244" s="1067"/>
      <c r="F244" s="1067"/>
      <c r="G244" s="1067"/>
      <c r="H244" s="1067"/>
      <c r="I244" s="1067"/>
      <c r="J244" s="1067"/>
      <c r="K244" s="1067"/>
      <c r="L244" s="1067"/>
      <c r="M244" s="666"/>
      <c r="O244" s="434"/>
    </row>
    <row r="245" spans="1:17" ht="19.5" customHeight="1">
      <c r="B245" s="1067"/>
      <c r="C245" s="1067"/>
      <c r="D245" s="1067"/>
      <c r="E245" s="1067"/>
      <c r="F245" s="1067"/>
      <c r="G245" s="1067"/>
      <c r="H245" s="1067"/>
      <c r="I245" s="1067"/>
      <c r="J245" s="1067"/>
      <c r="K245" s="1067"/>
      <c r="L245" s="1067"/>
      <c r="M245" s="666"/>
      <c r="O245" s="506"/>
    </row>
    <row r="246" spans="1:17" ht="19.5" customHeight="1">
      <c r="B246" s="1067"/>
      <c r="C246" s="1067"/>
      <c r="D246" s="1067"/>
      <c r="E246" s="1067"/>
      <c r="F246" s="1067"/>
      <c r="G246" s="1067"/>
      <c r="H246" s="1067"/>
      <c r="I246" s="1067"/>
      <c r="J246" s="1067"/>
      <c r="K246" s="1067"/>
      <c r="L246" s="1067"/>
      <c r="M246" s="666"/>
      <c r="O246" s="504"/>
    </row>
    <row r="247" spans="1:17" ht="19.5" customHeight="1">
      <c r="B247" s="1021" t="s">
        <v>1452</v>
      </c>
      <c r="C247" s="1021"/>
      <c r="D247" s="1021"/>
      <c r="E247" s="1021"/>
      <c r="F247" s="1021"/>
      <c r="G247" s="1021"/>
      <c r="H247" s="1021"/>
      <c r="I247" s="1021"/>
      <c r="J247" s="1021"/>
      <c r="K247" s="1021"/>
      <c r="L247" s="1021"/>
      <c r="M247" s="667"/>
    </row>
    <row r="248" spans="1:17" ht="19.5" customHeight="1">
      <c r="B248" s="496"/>
      <c r="C248" s="507"/>
      <c r="D248" s="508"/>
      <c r="E248" s="508"/>
      <c r="F248" s="508"/>
      <c r="G248" s="508"/>
      <c r="H248" s="508"/>
      <c r="I248" s="496"/>
      <c r="J248" s="507"/>
      <c r="K248" s="1068" t="s">
        <v>1392</v>
      </c>
      <c r="L248" s="1068"/>
      <c r="M248" s="668"/>
      <c r="N248" s="504"/>
    </row>
    <row r="249" spans="1:17" ht="19.5" customHeight="1">
      <c r="B249" s="1023" t="s">
        <v>680</v>
      </c>
      <c r="C249" s="1026" t="s">
        <v>1394</v>
      </c>
      <c r="D249" s="1029" t="s">
        <v>1395</v>
      </c>
      <c r="E249" s="1030"/>
      <c r="F249" s="1030"/>
      <c r="G249" s="1030"/>
      <c r="H249" s="1030"/>
      <c r="I249" s="1030"/>
      <c r="J249" s="1030"/>
      <c r="K249" s="1031"/>
      <c r="L249" s="1032" t="s">
        <v>1396</v>
      </c>
      <c r="M249" s="426"/>
    </row>
    <row r="250" spans="1:17" ht="19.5" customHeight="1">
      <c r="B250" s="1024"/>
      <c r="C250" s="1027"/>
      <c r="D250" s="1035" t="s">
        <v>1397</v>
      </c>
      <c r="E250" s="1036"/>
      <c r="F250" s="1036"/>
      <c r="G250" s="1036"/>
      <c r="H250" s="1036"/>
      <c r="I250" s="1037" t="s">
        <v>1398</v>
      </c>
      <c r="J250" s="1011" t="s">
        <v>1454</v>
      </c>
      <c r="K250" s="1013" t="s">
        <v>1455</v>
      </c>
      <c r="L250" s="1033"/>
      <c r="M250" s="426"/>
    </row>
    <row r="251" spans="1:17" ht="19.5" customHeight="1">
      <c r="B251" s="1025"/>
      <c r="C251" s="1028"/>
      <c r="D251" s="669" t="s">
        <v>1402</v>
      </c>
      <c r="E251" s="428" t="s">
        <v>1403</v>
      </c>
      <c r="F251" s="428" t="s">
        <v>1404</v>
      </c>
      <c r="G251" s="428" t="s">
        <v>1405</v>
      </c>
      <c r="H251" s="428" t="s">
        <v>7</v>
      </c>
      <c r="I251" s="1035"/>
      <c r="J251" s="1012"/>
      <c r="K251" s="1014"/>
      <c r="L251" s="1034"/>
      <c r="M251" s="426"/>
      <c r="O251" s="509"/>
    </row>
    <row r="252" spans="1:17" ht="19.5" customHeight="1">
      <c r="B252" s="1015" t="s">
        <v>51</v>
      </c>
      <c r="C252" s="430" t="s">
        <v>122</v>
      </c>
      <c r="D252" s="431">
        <v>0</v>
      </c>
      <c r="E252" s="431">
        <v>0</v>
      </c>
      <c r="F252" s="431">
        <v>329.35500000000002</v>
      </c>
      <c r="G252" s="431">
        <v>0</v>
      </c>
      <c r="H252" s="431">
        <v>329.35500000000002</v>
      </c>
      <c r="I252" s="431">
        <v>0</v>
      </c>
      <c r="J252" s="431">
        <v>100</v>
      </c>
      <c r="K252" s="431">
        <v>5.009999999999998</v>
      </c>
      <c r="L252" s="432">
        <v>434.36500000000001</v>
      </c>
      <c r="M252" s="433"/>
    </row>
    <row r="253" spans="1:17" ht="19.5" customHeight="1">
      <c r="B253" s="1015"/>
      <c r="C253" s="435" t="s">
        <v>1311</v>
      </c>
      <c r="D253" s="436">
        <v>0</v>
      </c>
      <c r="E253" s="436">
        <v>0</v>
      </c>
      <c r="F253" s="436">
        <v>24.5</v>
      </c>
      <c r="G253" s="436">
        <v>0</v>
      </c>
      <c r="H253" s="436">
        <v>24.5</v>
      </c>
      <c r="I253" s="436">
        <v>0</v>
      </c>
      <c r="J253" s="436">
        <v>0</v>
      </c>
      <c r="K253" s="436">
        <v>49.09</v>
      </c>
      <c r="L253" s="437">
        <v>73.59</v>
      </c>
      <c r="M253" s="438"/>
      <c r="P253" s="314"/>
    </row>
    <row r="254" spans="1:17" ht="19.5" customHeight="1">
      <c r="B254" s="1015"/>
      <c r="C254" s="444" t="s">
        <v>1407</v>
      </c>
      <c r="D254" s="439">
        <v>403.5</v>
      </c>
      <c r="E254" s="439">
        <v>0</v>
      </c>
      <c r="F254" s="439">
        <v>435.56</v>
      </c>
      <c r="G254" s="439">
        <v>0</v>
      </c>
      <c r="H254" s="439">
        <v>839.06</v>
      </c>
      <c r="I254" s="439">
        <v>0</v>
      </c>
      <c r="J254" s="439">
        <v>422.08</v>
      </c>
      <c r="K254" s="439">
        <v>25</v>
      </c>
      <c r="L254" s="432">
        <v>1286.1399999999999</v>
      </c>
      <c r="M254" s="433"/>
      <c r="N254" s="434"/>
      <c r="O254" s="434"/>
      <c r="P254" s="434"/>
      <c r="Q254" s="434"/>
    </row>
    <row r="255" spans="1:17" ht="19.5" customHeight="1">
      <c r="B255" s="1015"/>
      <c r="C255" s="440" t="s">
        <v>1456</v>
      </c>
      <c r="D255" s="441">
        <v>403.5</v>
      </c>
      <c r="E255" s="441">
        <v>0</v>
      </c>
      <c r="F255" s="441">
        <v>789.41499999999996</v>
      </c>
      <c r="G255" s="441">
        <v>0</v>
      </c>
      <c r="H255" s="441">
        <v>1192.915</v>
      </c>
      <c r="I255" s="441">
        <v>0</v>
      </c>
      <c r="J255" s="441">
        <v>522.07999999999993</v>
      </c>
      <c r="K255" s="441">
        <v>79.099999999999994</v>
      </c>
      <c r="L255" s="442">
        <v>1794.0949999999998</v>
      </c>
      <c r="M255" s="443"/>
      <c r="P255" s="434"/>
    </row>
    <row r="256" spans="1:17" ht="19.5" customHeight="1">
      <c r="B256" s="1016" t="s">
        <v>50</v>
      </c>
      <c r="C256" s="444" t="s">
        <v>122</v>
      </c>
      <c r="D256" s="439">
        <v>0</v>
      </c>
      <c r="E256" s="439">
        <v>0</v>
      </c>
      <c r="F256" s="439">
        <v>0</v>
      </c>
      <c r="G256" s="439">
        <v>0</v>
      </c>
      <c r="H256" s="439">
        <v>0</v>
      </c>
      <c r="I256" s="439">
        <v>0</v>
      </c>
      <c r="J256" s="439">
        <v>0</v>
      </c>
      <c r="K256" s="439">
        <v>107.10499999999999</v>
      </c>
      <c r="L256" s="432">
        <v>107.10499999999999</v>
      </c>
      <c r="M256" s="433"/>
      <c r="P256" s="434"/>
    </row>
    <row r="257" spans="2:17" ht="19.5" customHeight="1">
      <c r="B257" s="1017"/>
      <c r="C257" s="435" t="s">
        <v>1311</v>
      </c>
      <c r="D257" s="436">
        <v>0</v>
      </c>
      <c r="E257" s="436">
        <v>0</v>
      </c>
      <c r="F257" s="436">
        <v>0</v>
      </c>
      <c r="G257" s="436">
        <v>0</v>
      </c>
      <c r="H257" s="436">
        <v>0</v>
      </c>
      <c r="I257" s="436">
        <v>0</v>
      </c>
      <c r="J257" s="436">
        <v>0</v>
      </c>
      <c r="K257" s="436">
        <v>29.61</v>
      </c>
      <c r="L257" s="437">
        <v>29.61</v>
      </c>
      <c r="M257" s="438"/>
      <c r="P257" s="434"/>
    </row>
    <row r="258" spans="2:17" ht="19.5" customHeight="1">
      <c r="B258" s="1017"/>
      <c r="C258" s="444" t="s">
        <v>1407</v>
      </c>
      <c r="D258" s="439">
        <v>37.049999999999997</v>
      </c>
      <c r="E258" s="439">
        <v>0</v>
      </c>
      <c r="F258" s="439">
        <v>46.82</v>
      </c>
      <c r="G258" s="439">
        <v>0</v>
      </c>
      <c r="H258" s="439">
        <v>83.87</v>
      </c>
      <c r="I258" s="439">
        <v>0</v>
      </c>
      <c r="J258" s="439">
        <v>544.54999999999995</v>
      </c>
      <c r="K258" s="439">
        <v>0</v>
      </c>
      <c r="L258" s="432">
        <v>628.41999999999996</v>
      </c>
      <c r="M258" s="433"/>
      <c r="N258" s="434"/>
      <c r="O258" s="434"/>
      <c r="P258" s="434"/>
      <c r="Q258" s="434"/>
    </row>
    <row r="259" spans="2:17" ht="19.5" customHeight="1">
      <c r="B259" s="1018"/>
      <c r="C259" s="440" t="s">
        <v>1456</v>
      </c>
      <c r="D259" s="441">
        <v>37.049999999999997</v>
      </c>
      <c r="E259" s="441">
        <v>0</v>
      </c>
      <c r="F259" s="441">
        <v>46.82</v>
      </c>
      <c r="G259" s="441">
        <v>0</v>
      </c>
      <c r="H259" s="441">
        <v>83.87</v>
      </c>
      <c r="I259" s="441">
        <v>0</v>
      </c>
      <c r="J259" s="441">
        <v>544.54999999999995</v>
      </c>
      <c r="K259" s="441">
        <v>136.71499999999997</v>
      </c>
      <c r="L259" s="442">
        <v>765.13499999999999</v>
      </c>
      <c r="M259" s="443"/>
      <c r="P259" s="434"/>
    </row>
    <row r="260" spans="2:17" ht="19.5" customHeight="1">
      <c r="B260" s="1015" t="s">
        <v>65</v>
      </c>
      <c r="C260" s="430" t="s">
        <v>122</v>
      </c>
      <c r="D260" s="431">
        <v>0</v>
      </c>
      <c r="E260" s="431">
        <v>0</v>
      </c>
      <c r="F260" s="431">
        <v>0</v>
      </c>
      <c r="G260" s="431">
        <v>0</v>
      </c>
      <c r="H260" s="431">
        <v>0</v>
      </c>
      <c r="I260" s="431">
        <v>0</v>
      </c>
      <c r="J260" s="431">
        <v>322</v>
      </c>
      <c r="K260" s="431">
        <v>32.53</v>
      </c>
      <c r="L260" s="432">
        <v>354.53</v>
      </c>
      <c r="M260" s="433"/>
      <c r="P260" s="434"/>
    </row>
    <row r="261" spans="2:17" ht="19.5" customHeight="1">
      <c r="B261" s="1015"/>
      <c r="C261" s="435" t="s">
        <v>1311</v>
      </c>
      <c r="D261" s="436">
        <v>0</v>
      </c>
      <c r="E261" s="436">
        <v>0</v>
      </c>
      <c r="F261" s="436">
        <v>0</v>
      </c>
      <c r="G261" s="436">
        <v>0</v>
      </c>
      <c r="H261" s="436">
        <v>0</v>
      </c>
      <c r="I261" s="436">
        <v>0</v>
      </c>
      <c r="J261" s="436">
        <v>0</v>
      </c>
      <c r="K261" s="436">
        <v>13.92</v>
      </c>
      <c r="L261" s="437">
        <v>13.92</v>
      </c>
      <c r="M261" s="438"/>
      <c r="P261" s="434"/>
    </row>
    <row r="262" spans="2:17" ht="19.5" customHeight="1">
      <c r="B262" s="1015"/>
      <c r="C262" s="444" t="s">
        <v>1407</v>
      </c>
      <c r="D262" s="439">
        <v>50.620000000000005</v>
      </c>
      <c r="E262" s="439">
        <v>0</v>
      </c>
      <c r="F262" s="439">
        <v>109.69</v>
      </c>
      <c r="G262" s="439">
        <v>0</v>
      </c>
      <c r="H262" s="439">
        <v>160.31</v>
      </c>
      <c r="I262" s="439">
        <v>0</v>
      </c>
      <c r="J262" s="439">
        <v>87.27</v>
      </c>
      <c r="K262" s="439">
        <v>0</v>
      </c>
      <c r="L262" s="432">
        <v>247.57999999999998</v>
      </c>
      <c r="M262" s="433"/>
      <c r="O262" s="434"/>
      <c r="P262" s="434"/>
      <c r="Q262" s="434"/>
    </row>
    <row r="263" spans="2:17" ht="19.5" customHeight="1">
      <c r="B263" s="1015"/>
      <c r="C263" s="440" t="s">
        <v>1456</v>
      </c>
      <c r="D263" s="441">
        <v>50.620000000000005</v>
      </c>
      <c r="E263" s="441">
        <v>0</v>
      </c>
      <c r="F263" s="441">
        <v>109.69</v>
      </c>
      <c r="G263" s="441">
        <v>0</v>
      </c>
      <c r="H263" s="441">
        <v>160.31</v>
      </c>
      <c r="I263" s="441">
        <v>0</v>
      </c>
      <c r="J263" s="441">
        <v>409.27</v>
      </c>
      <c r="K263" s="441">
        <v>46.45</v>
      </c>
      <c r="L263" s="442">
        <v>616.03</v>
      </c>
      <c r="M263" s="443"/>
      <c r="P263" s="434"/>
    </row>
    <row r="264" spans="2:17" ht="19.5" customHeight="1">
      <c r="B264" s="1016" t="s">
        <v>74</v>
      </c>
      <c r="C264" s="444" t="s">
        <v>122</v>
      </c>
      <c r="D264" s="439">
        <v>0</v>
      </c>
      <c r="E264" s="439">
        <v>0</v>
      </c>
      <c r="F264" s="439">
        <v>137</v>
      </c>
      <c r="G264" s="439">
        <v>0</v>
      </c>
      <c r="H264" s="439">
        <v>137</v>
      </c>
      <c r="I264" s="439">
        <v>0</v>
      </c>
      <c r="J264" s="439">
        <v>0</v>
      </c>
      <c r="K264" s="439">
        <v>16.010000000000002</v>
      </c>
      <c r="L264" s="432">
        <v>153.01</v>
      </c>
      <c r="M264" s="433"/>
      <c r="P264" s="434"/>
    </row>
    <row r="265" spans="2:17" ht="19.5" customHeight="1">
      <c r="B265" s="1017"/>
      <c r="C265" s="435" t="s">
        <v>1311</v>
      </c>
      <c r="D265" s="436">
        <v>0</v>
      </c>
      <c r="E265" s="436">
        <v>0</v>
      </c>
      <c r="F265" s="436">
        <v>0</v>
      </c>
      <c r="G265" s="436">
        <v>0</v>
      </c>
      <c r="H265" s="436">
        <v>0</v>
      </c>
      <c r="I265" s="436">
        <v>0</v>
      </c>
      <c r="J265" s="436">
        <v>0</v>
      </c>
      <c r="K265" s="436">
        <v>4.41</v>
      </c>
      <c r="L265" s="437">
        <v>4.41</v>
      </c>
      <c r="M265" s="438"/>
      <c r="P265" s="434"/>
    </row>
    <row r="266" spans="2:17" ht="19.5" customHeight="1">
      <c r="B266" s="1017"/>
      <c r="C266" s="444" t="s">
        <v>1407</v>
      </c>
      <c r="D266" s="439">
        <v>56.1</v>
      </c>
      <c r="E266" s="439">
        <v>0</v>
      </c>
      <c r="F266" s="439">
        <v>436.95</v>
      </c>
      <c r="G266" s="439">
        <v>0</v>
      </c>
      <c r="H266" s="439">
        <v>493.05</v>
      </c>
      <c r="I266" s="439">
        <v>0</v>
      </c>
      <c r="J266" s="439">
        <v>68.489999999999995</v>
      </c>
      <c r="K266" s="439">
        <v>5</v>
      </c>
      <c r="L266" s="432">
        <v>566.54</v>
      </c>
      <c r="M266" s="433"/>
      <c r="N266" s="434"/>
      <c r="O266" s="434"/>
      <c r="P266" s="434"/>
      <c r="Q266" s="434"/>
    </row>
    <row r="267" spans="2:17" ht="19.5" customHeight="1">
      <c r="B267" s="1018"/>
      <c r="C267" s="440" t="s">
        <v>1456</v>
      </c>
      <c r="D267" s="441">
        <v>56.1</v>
      </c>
      <c r="E267" s="441">
        <v>0</v>
      </c>
      <c r="F267" s="441">
        <v>573.95000000000005</v>
      </c>
      <c r="G267" s="441">
        <v>0</v>
      </c>
      <c r="H267" s="441">
        <v>630.04999999999995</v>
      </c>
      <c r="I267" s="441">
        <v>0</v>
      </c>
      <c r="J267" s="441">
        <v>68.489999999999995</v>
      </c>
      <c r="K267" s="441">
        <v>25.42</v>
      </c>
      <c r="L267" s="442">
        <v>723.95999999999992</v>
      </c>
      <c r="M267" s="443"/>
    </row>
    <row r="268" spans="2:17" ht="19.5" customHeight="1">
      <c r="B268" s="1015" t="s">
        <v>64</v>
      </c>
      <c r="C268" s="430" t="s">
        <v>122</v>
      </c>
      <c r="D268" s="431">
        <v>0</v>
      </c>
      <c r="E268" s="431">
        <v>0</v>
      </c>
      <c r="F268" s="431">
        <v>0</v>
      </c>
      <c r="G268" s="431">
        <v>36</v>
      </c>
      <c r="H268" s="431">
        <v>36</v>
      </c>
      <c r="I268" s="431">
        <v>0</v>
      </c>
      <c r="J268" s="431">
        <v>0</v>
      </c>
      <c r="K268" s="431">
        <v>5.45</v>
      </c>
      <c r="L268" s="432">
        <v>41.45</v>
      </c>
      <c r="M268" s="433"/>
    </row>
    <row r="269" spans="2:17" ht="19.5" customHeight="1">
      <c r="B269" s="1015"/>
      <c r="C269" s="435" t="s">
        <v>1311</v>
      </c>
      <c r="D269" s="436">
        <v>0</v>
      </c>
      <c r="E269" s="436">
        <v>0</v>
      </c>
      <c r="F269" s="436">
        <v>0</v>
      </c>
      <c r="G269" s="436">
        <v>0</v>
      </c>
      <c r="H269" s="436">
        <v>0</v>
      </c>
      <c r="I269" s="436">
        <v>0</v>
      </c>
      <c r="J269" s="436">
        <v>0</v>
      </c>
      <c r="K269" s="436">
        <v>6.36</v>
      </c>
      <c r="L269" s="437">
        <v>6.36</v>
      </c>
      <c r="M269" s="438"/>
    </row>
    <row r="270" spans="2:17" ht="19.5" customHeight="1">
      <c r="B270" s="1015"/>
      <c r="C270" s="444" t="s">
        <v>1407</v>
      </c>
      <c r="D270" s="439">
        <v>47.1</v>
      </c>
      <c r="E270" s="439">
        <v>0</v>
      </c>
      <c r="F270" s="439">
        <v>71.569999999999993</v>
      </c>
      <c r="G270" s="439">
        <v>0</v>
      </c>
      <c r="H270" s="439">
        <v>118.66999999999999</v>
      </c>
      <c r="I270" s="439">
        <v>0</v>
      </c>
      <c r="J270" s="439">
        <v>95.34</v>
      </c>
      <c r="K270" s="439">
        <v>0</v>
      </c>
      <c r="L270" s="432">
        <v>214.01</v>
      </c>
      <c r="M270" s="433"/>
      <c r="N270" s="434"/>
      <c r="O270" s="434"/>
      <c r="P270" s="434"/>
      <c r="Q270" s="434"/>
    </row>
    <row r="271" spans="2:17" ht="19.5" customHeight="1">
      <c r="B271" s="1015"/>
      <c r="C271" s="440" t="s">
        <v>1456</v>
      </c>
      <c r="D271" s="441">
        <v>47.1</v>
      </c>
      <c r="E271" s="441">
        <v>0</v>
      </c>
      <c r="F271" s="441">
        <v>71.569999999999993</v>
      </c>
      <c r="G271" s="441">
        <v>36</v>
      </c>
      <c r="H271" s="441">
        <v>154.66999999999999</v>
      </c>
      <c r="I271" s="441">
        <v>0</v>
      </c>
      <c r="J271" s="441">
        <v>95.34</v>
      </c>
      <c r="K271" s="441">
        <v>11.81</v>
      </c>
      <c r="L271" s="442">
        <v>261.82</v>
      </c>
      <c r="M271" s="443"/>
    </row>
    <row r="272" spans="2:17" ht="19.5" customHeight="1">
      <c r="B272" s="1016" t="s">
        <v>67</v>
      </c>
      <c r="C272" s="444" t="s">
        <v>122</v>
      </c>
      <c r="D272" s="439">
        <v>0</v>
      </c>
      <c r="E272" s="439">
        <v>0</v>
      </c>
      <c r="F272" s="439">
        <v>0</v>
      </c>
      <c r="G272" s="439">
        <v>0</v>
      </c>
      <c r="H272" s="439">
        <v>0</v>
      </c>
      <c r="I272" s="439">
        <v>0</v>
      </c>
      <c r="J272" s="439">
        <v>0</v>
      </c>
      <c r="K272" s="439">
        <v>30.67</v>
      </c>
      <c r="L272" s="432">
        <v>30.67</v>
      </c>
      <c r="M272" s="433"/>
    </row>
    <row r="273" spans="2:17" ht="19.5" customHeight="1">
      <c r="B273" s="1017"/>
      <c r="C273" s="435" t="s">
        <v>1311</v>
      </c>
      <c r="D273" s="436">
        <v>0</v>
      </c>
      <c r="E273" s="436">
        <v>0</v>
      </c>
      <c r="F273" s="436">
        <v>0</v>
      </c>
      <c r="G273" s="436">
        <v>0</v>
      </c>
      <c r="H273" s="436">
        <v>0</v>
      </c>
      <c r="I273" s="436">
        <v>0</v>
      </c>
      <c r="J273" s="436">
        <v>0</v>
      </c>
      <c r="K273" s="436">
        <v>1</v>
      </c>
      <c r="L273" s="437">
        <v>1</v>
      </c>
      <c r="M273" s="438"/>
    </row>
    <row r="274" spans="2:17" ht="19.5" customHeight="1">
      <c r="B274" s="1017"/>
      <c r="C274" s="444" t="s">
        <v>1407</v>
      </c>
      <c r="D274" s="439">
        <v>32.1</v>
      </c>
      <c r="E274" s="439">
        <v>0</v>
      </c>
      <c r="F274" s="439">
        <v>48.93</v>
      </c>
      <c r="G274" s="439">
        <v>0</v>
      </c>
      <c r="H274" s="439">
        <v>81.03</v>
      </c>
      <c r="I274" s="439">
        <v>0</v>
      </c>
      <c r="J274" s="439">
        <v>66.330000000000013</v>
      </c>
      <c r="K274" s="439">
        <v>0</v>
      </c>
      <c r="L274" s="432">
        <v>147.36000000000001</v>
      </c>
      <c r="M274" s="433"/>
      <c r="N274" s="434"/>
      <c r="O274" s="434"/>
      <c r="P274" s="434"/>
      <c r="Q274" s="434"/>
    </row>
    <row r="275" spans="2:17" ht="19.5" customHeight="1">
      <c r="B275" s="1018"/>
      <c r="C275" s="440" t="s">
        <v>1456</v>
      </c>
      <c r="D275" s="441">
        <v>32.1</v>
      </c>
      <c r="E275" s="441">
        <v>0</v>
      </c>
      <c r="F275" s="441">
        <v>48.93</v>
      </c>
      <c r="G275" s="441">
        <v>0</v>
      </c>
      <c r="H275" s="441">
        <v>81.03</v>
      </c>
      <c r="I275" s="441">
        <v>0</v>
      </c>
      <c r="J275" s="441">
        <v>66.330000000000013</v>
      </c>
      <c r="K275" s="441">
        <v>31.67</v>
      </c>
      <c r="L275" s="442">
        <v>179.03000000000003</v>
      </c>
      <c r="M275" s="443"/>
    </row>
    <row r="276" spans="2:17" ht="19.5" customHeight="1">
      <c r="B276" s="1015" t="s">
        <v>66</v>
      </c>
      <c r="C276" s="430" t="s">
        <v>122</v>
      </c>
      <c r="D276" s="431">
        <v>0</v>
      </c>
      <c r="E276" s="431">
        <v>0</v>
      </c>
      <c r="F276" s="431">
        <v>0</v>
      </c>
      <c r="G276" s="431">
        <v>0</v>
      </c>
      <c r="H276" s="431">
        <v>0</v>
      </c>
      <c r="I276" s="431">
        <v>0</v>
      </c>
      <c r="J276" s="431">
        <v>0</v>
      </c>
      <c r="K276" s="431">
        <v>36.47</v>
      </c>
      <c r="L276" s="432">
        <v>36.47</v>
      </c>
      <c r="M276" s="433"/>
    </row>
    <row r="277" spans="2:17" ht="19.5" customHeight="1">
      <c r="B277" s="1015"/>
      <c r="C277" s="435" t="s">
        <v>1311</v>
      </c>
      <c r="D277" s="436">
        <v>0</v>
      </c>
      <c r="E277" s="436">
        <v>0</v>
      </c>
      <c r="F277" s="436">
        <v>0</v>
      </c>
      <c r="G277" s="436">
        <v>0</v>
      </c>
      <c r="H277" s="436">
        <v>0</v>
      </c>
      <c r="I277" s="436">
        <v>0</v>
      </c>
      <c r="J277" s="436">
        <v>0</v>
      </c>
      <c r="K277" s="436">
        <v>1.53</v>
      </c>
      <c r="L277" s="437">
        <v>1.53</v>
      </c>
      <c r="M277" s="438"/>
    </row>
    <row r="278" spans="2:17" ht="19.5" customHeight="1">
      <c r="B278" s="1015"/>
      <c r="C278" s="444" t="s">
        <v>1407</v>
      </c>
      <c r="D278" s="439">
        <v>31.05</v>
      </c>
      <c r="E278" s="439">
        <v>0</v>
      </c>
      <c r="F278" s="439">
        <v>40.46</v>
      </c>
      <c r="G278" s="439">
        <v>0</v>
      </c>
      <c r="H278" s="439">
        <v>71.510000000000005</v>
      </c>
      <c r="I278" s="439">
        <v>0</v>
      </c>
      <c r="J278" s="439">
        <v>97.94</v>
      </c>
      <c r="K278" s="439">
        <v>0</v>
      </c>
      <c r="L278" s="432">
        <v>169.45</v>
      </c>
      <c r="M278" s="433"/>
      <c r="N278" s="434"/>
      <c r="O278" s="434"/>
      <c r="P278" s="434"/>
      <c r="Q278" s="434"/>
    </row>
    <row r="279" spans="2:17" ht="19.5" customHeight="1">
      <c r="B279" s="1015"/>
      <c r="C279" s="510" t="s">
        <v>1456</v>
      </c>
      <c r="D279" s="511">
        <v>31.05</v>
      </c>
      <c r="E279" s="511">
        <v>0</v>
      </c>
      <c r="F279" s="511">
        <v>40.46</v>
      </c>
      <c r="G279" s="511">
        <v>0</v>
      </c>
      <c r="H279" s="511">
        <v>71.510000000000005</v>
      </c>
      <c r="I279" s="511">
        <v>0</v>
      </c>
      <c r="J279" s="511">
        <v>97.94</v>
      </c>
      <c r="K279" s="511">
        <v>38</v>
      </c>
      <c r="L279" s="512">
        <v>207.45</v>
      </c>
      <c r="M279" s="443"/>
    </row>
    <row r="280" spans="2:17" ht="19.5" customHeight="1">
      <c r="B280" s="1069" t="s">
        <v>1459</v>
      </c>
      <c r="C280" s="1070"/>
      <c r="D280" s="488">
        <v>112.5</v>
      </c>
      <c r="E280" s="488">
        <v>0</v>
      </c>
      <c r="F280" s="488">
        <v>63.620000000000005</v>
      </c>
      <c r="G280" s="488">
        <v>0</v>
      </c>
      <c r="H280" s="488">
        <v>176.12</v>
      </c>
      <c r="I280" s="488">
        <v>0</v>
      </c>
      <c r="J280" s="488">
        <v>140</v>
      </c>
      <c r="K280" s="488">
        <v>0</v>
      </c>
      <c r="L280" s="489">
        <v>316.12</v>
      </c>
      <c r="M280" s="490"/>
      <c r="N280" s="434"/>
      <c r="O280" s="434"/>
      <c r="P280" s="434"/>
      <c r="Q280" s="434"/>
    </row>
    <row r="281" spans="2:17" ht="19.5" customHeight="1">
      <c r="B281" s="1017" t="s">
        <v>1471</v>
      </c>
      <c r="C281" s="430" t="s">
        <v>122</v>
      </c>
      <c r="D281" s="431">
        <v>0</v>
      </c>
      <c r="E281" s="431">
        <v>0</v>
      </c>
      <c r="F281" s="431">
        <v>466.35500000000002</v>
      </c>
      <c r="G281" s="431">
        <v>36</v>
      </c>
      <c r="H281" s="431">
        <v>502.35500000000002</v>
      </c>
      <c r="I281" s="431">
        <v>0</v>
      </c>
      <c r="J281" s="431">
        <v>422</v>
      </c>
      <c r="K281" s="431">
        <v>233.24499999999998</v>
      </c>
      <c r="L281" s="513">
        <v>1157.5999999999999</v>
      </c>
      <c r="M281" s="433"/>
      <c r="Q281" s="434"/>
    </row>
    <row r="282" spans="2:17" ht="19.5" customHeight="1">
      <c r="B282" s="1017"/>
      <c r="C282" s="435" t="s">
        <v>1311</v>
      </c>
      <c r="D282" s="436">
        <v>0</v>
      </c>
      <c r="E282" s="436">
        <v>0</v>
      </c>
      <c r="F282" s="436">
        <v>24.5</v>
      </c>
      <c r="G282" s="436">
        <v>0</v>
      </c>
      <c r="H282" s="436">
        <v>24.5</v>
      </c>
      <c r="I282" s="436">
        <v>0</v>
      </c>
      <c r="J282" s="436">
        <v>0</v>
      </c>
      <c r="K282" s="436">
        <v>105.92</v>
      </c>
      <c r="L282" s="437">
        <v>130.41999999999999</v>
      </c>
      <c r="M282" s="438"/>
    </row>
    <row r="283" spans="2:17" ht="19.5" customHeight="1">
      <c r="B283" s="1017"/>
      <c r="C283" s="444" t="s">
        <v>1407</v>
      </c>
      <c r="D283" s="439">
        <v>770.02</v>
      </c>
      <c r="E283" s="439">
        <v>0</v>
      </c>
      <c r="F283" s="439">
        <v>1253.5999999999999</v>
      </c>
      <c r="G283" s="439">
        <v>0</v>
      </c>
      <c r="H283" s="439">
        <v>2023.62</v>
      </c>
      <c r="I283" s="439">
        <v>0</v>
      </c>
      <c r="J283" s="439">
        <v>1522</v>
      </c>
      <c r="K283" s="439">
        <v>30</v>
      </c>
      <c r="L283" s="432">
        <v>3575.6199999999994</v>
      </c>
      <c r="M283" s="433"/>
      <c r="N283" s="434"/>
      <c r="O283" s="434"/>
      <c r="P283" s="434"/>
      <c r="Q283" s="434"/>
    </row>
    <row r="284" spans="2:17" ht="19.5" customHeight="1">
      <c r="B284" s="1071"/>
      <c r="C284" s="446" t="s">
        <v>1396</v>
      </c>
      <c r="D284" s="447">
        <v>770.02</v>
      </c>
      <c r="E284" s="447">
        <v>0</v>
      </c>
      <c r="F284" s="447">
        <v>1744.4549999999999</v>
      </c>
      <c r="G284" s="447">
        <v>36</v>
      </c>
      <c r="H284" s="447">
        <v>2550.4749999999999</v>
      </c>
      <c r="I284" s="447">
        <v>0</v>
      </c>
      <c r="J284" s="447">
        <v>1944</v>
      </c>
      <c r="K284" s="447">
        <v>369.16499999999996</v>
      </c>
      <c r="L284" s="449">
        <v>4863.6399999999994</v>
      </c>
      <c r="M284" s="443"/>
    </row>
    <row r="285" spans="2:17" ht="19.5" customHeight="1">
      <c r="B285" s="491"/>
      <c r="C285" s="492"/>
      <c r="D285" s="493"/>
      <c r="E285" s="493"/>
      <c r="F285" s="493"/>
      <c r="G285" s="493"/>
      <c r="H285" s="493"/>
      <c r="I285" s="493"/>
      <c r="J285" s="493"/>
      <c r="K285" s="493"/>
      <c r="L285" s="493"/>
      <c r="M285" s="493"/>
      <c r="O285" s="504"/>
    </row>
    <row r="286" spans="2:17" ht="19.5" customHeight="1">
      <c r="B286" s="482"/>
      <c r="C286" s="482"/>
      <c r="D286" s="495"/>
      <c r="E286" s="495"/>
      <c r="F286" s="495"/>
      <c r="G286" s="495"/>
      <c r="H286" s="495"/>
      <c r="I286" s="495"/>
      <c r="J286" s="495"/>
      <c r="K286" s="495"/>
      <c r="L286" s="424"/>
      <c r="M286" s="424"/>
      <c r="O286" s="504"/>
    </row>
    <row r="287" spans="2:17" ht="19.5" customHeight="1">
      <c r="B287" s="1067" t="s">
        <v>1472</v>
      </c>
      <c r="C287" s="1067"/>
      <c r="D287" s="1067"/>
      <c r="E287" s="1067"/>
      <c r="F287" s="1067"/>
      <c r="G287" s="1067"/>
      <c r="H287" s="1067"/>
      <c r="I287" s="1067"/>
      <c r="J287" s="1067"/>
      <c r="K287" s="1067"/>
      <c r="L287" s="1067"/>
      <c r="M287" s="666"/>
      <c r="O287" s="504"/>
    </row>
    <row r="288" spans="2:17" ht="19.5" customHeight="1">
      <c r="B288" s="1067"/>
      <c r="C288" s="1067"/>
      <c r="D288" s="1067"/>
      <c r="E288" s="1067"/>
      <c r="F288" s="1067"/>
      <c r="G288" s="1067"/>
      <c r="H288" s="1067"/>
      <c r="I288" s="1067"/>
      <c r="J288" s="1067"/>
      <c r="K288" s="1067"/>
      <c r="L288" s="1067"/>
      <c r="M288" s="666"/>
    </row>
    <row r="289" spans="2:13" ht="19.5" customHeight="1">
      <c r="B289" s="1067"/>
      <c r="C289" s="1067"/>
      <c r="D289" s="1067"/>
      <c r="E289" s="1067"/>
      <c r="F289" s="1067"/>
      <c r="G289" s="1067"/>
      <c r="H289" s="1067"/>
      <c r="I289" s="1067"/>
      <c r="J289" s="1067"/>
      <c r="K289" s="1067"/>
      <c r="L289" s="1067"/>
      <c r="M289" s="666"/>
    </row>
    <row r="290" spans="2:13" ht="19.5" customHeight="1">
      <c r="B290" s="1021" t="s">
        <v>1452</v>
      </c>
      <c r="C290" s="1021"/>
      <c r="D290" s="1021"/>
      <c r="E290" s="1021"/>
      <c r="F290" s="1021"/>
      <c r="G290" s="1021"/>
      <c r="H290" s="1021"/>
      <c r="I290" s="1021"/>
      <c r="J290" s="1021"/>
      <c r="K290" s="1021"/>
      <c r="L290" s="1021"/>
      <c r="M290" s="667"/>
    </row>
    <row r="291" spans="2:13" ht="19.5" customHeight="1">
      <c r="B291" s="485"/>
      <c r="C291" s="485"/>
      <c r="D291" s="485"/>
      <c r="E291" s="485"/>
      <c r="F291" s="485"/>
      <c r="G291" s="485"/>
      <c r="H291" s="485"/>
      <c r="I291" s="485"/>
      <c r="J291" s="485"/>
      <c r="K291" s="1068" t="s">
        <v>1392</v>
      </c>
      <c r="L291" s="1068"/>
      <c r="M291" s="668"/>
    </row>
    <row r="292" spans="2:13" ht="19.5" customHeight="1">
      <c r="B292" s="1023" t="s">
        <v>680</v>
      </c>
      <c r="C292" s="1026" t="s">
        <v>1394</v>
      </c>
      <c r="D292" s="1029" t="s">
        <v>1395</v>
      </c>
      <c r="E292" s="1030"/>
      <c r="F292" s="1030"/>
      <c r="G292" s="1030"/>
      <c r="H292" s="1030"/>
      <c r="I292" s="1030"/>
      <c r="J292" s="1030"/>
      <c r="K292" s="1031"/>
      <c r="L292" s="1032" t="s">
        <v>1396</v>
      </c>
      <c r="M292" s="426"/>
    </row>
    <row r="293" spans="2:13" ht="19.5" customHeight="1">
      <c r="B293" s="1024"/>
      <c r="C293" s="1027"/>
      <c r="D293" s="1035" t="s">
        <v>1397</v>
      </c>
      <c r="E293" s="1036"/>
      <c r="F293" s="1036"/>
      <c r="G293" s="1036"/>
      <c r="H293" s="1036"/>
      <c r="I293" s="1037" t="s">
        <v>1398</v>
      </c>
      <c r="J293" s="1011" t="s">
        <v>1454</v>
      </c>
      <c r="K293" s="1013" t="s">
        <v>1455</v>
      </c>
      <c r="L293" s="1033"/>
      <c r="M293" s="426"/>
    </row>
    <row r="294" spans="2:13" ht="19.5" customHeight="1">
      <c r="B294" s="1025"/>
      <c r="C294" s="1028"/>
      <c r="D294" s="669" t="s">
        <v>1402</v>
      </c>
      <c r="E294" s="428" t="s">
        <v>1403</v>
      </c>
      <c r="F294" s="428" t="s">
        <v>1404</v>
      </c>
      <c r="G294" s="428" t="s">
        <v>1405</v>
      </c>
      <c r="H294" s="428" t="s">
        <v>7</v>
      </c>
      <c r="I294" s="1035"/>
      <c r="J294" s="1012"/>
      <c r="K294" s="1014"/>
      <c r="L294" s="1034"/>
      <c r="M294" s="426"/>
    </row>
    <row r="295" spans="2:13" ht="19.5" customHeight="1">
      <c r="B295" s="1015" t="s">
        <v>1473</v>
      </c>
      <c r="C295" s="430" t="s">
        <v>122</v>
      </c>
      <c r="D295" s="431">
        <v>0</v>
      </c>
      <c r="E295" s="431">
        <v>0</v>
      </c>
      <c r="F295" s="431">
        <v>0</v>
      </c>
      <c r="G295" s="431">
        <v>40.048000000000002</v>
      </c>
      <c r="H295" s="431">
        <v>40.048000000000002</v>
      </c>
      <c r="I295" s="431">
        <v>0</v>
      </c>
      <c r="J295" s="431">
        <v>0</v>
      </c>
      <c r="K295" s="431">
        <v>5.25</v>
      </c>
      <c r="L295" s="432">
        <v>45.298000000000002</v>
      </c>
      <c r="M295" s="433"/>
    </row>
    <row r="296" spans="2:13" ht="19.5" customHeight="1">
      <c r="B296" s="1015"/>
      <c r="C296" s="435" t="s">
        <v>1311</v>
      </c>
      <c r="D296" s="436">
        <v>0</v>
      </c>
      <c r="E296" s="436">
        <v>0</v>
      </c>
      <c r="F296" s="436">
        <v>0</v>
      </c>
      <c r="G296" s="436">
        <v>0</v>
      </c>
      <c r="H296" s="436">
        <v>0</v>
      </c>
      <c r="I296" s="436">
        <v>0</v>
      </c>
      <c r="J296" s="436">
        <v>0</v>
      </c>
      <c r="K296" s="436">
        <v>24.119999999999997</v>
      </c>
      <c r="L296" s="437">
        <v>24.119999999999997</v>
      </c>
      <c r="M296" s="438"/>
    </row>
    <row r="297" spans="2:13" ht="19.5" customHeight="1">
      <c r="B297" s="1015"/>
      <c r="C297" s="444" t="s">
        <v>1407</v>
      </c>
      <c r="D297" s="439">
        <v>0</v>
      </c>
      <c r="E297" s="439">
        <v>0</v>
      </c>
      <c r="F297" s="439">
        <v>0</v>
      </c>
      <c r="G297" s="439">
        <v>0</v>
      </c>
      <c r="H297" s="439">
        <v>0</v>
      </c>
      <c r="I297" s="439">
        <v>0</v>
      </c>
      <c r="J297" s="439">
        <v>0</v>
      </c>
      <c r="K297" s="439">
        <v>5.0999999999999996</v>
      </c>
      <c r="L297" s="432">
        <v>5.0999999999999996</v>
      </c>
      <c r="M297" s="433"/>
    </row>
    <row r="298" spans="2:13" ht="19.5" customHeight="1">
      <c r="B298" s="1015"/>
      <c r="C298" s="440" t="s">
        <v>1456</v>
      </c>
      <c r="D298" s="441">
        <v>0</v>
      </c>
      <c r="E298" s="441">
        <v>0</v>
      </c>
      <c r="F298" s="441">
        <v>0</v>
      </c>
      <c r="G298" s="441">
        <v>40.048000000000002</v>
      </c>
      <c r="H298" s="441">
        <v>40.048000000000002</v>
      </c>
      <c r="I298" s="441">
        <v>0</v>
      </c>
      <c r="J298" s="441">
        <v>0</v>
      </c>
      <c r="K298" s="441">
        <v>34.47</v>
      </c>
      <c r="L298" s="442">
        <v>74.518000000000001</v>
      </c>
      <c r="M298" s="443"/>
    </row>
    <row r="299" spans="2:13" ht="19.5" customHeight="1">
      <c r="B299" s="1016" t="s">
        <v>1474</v>
      </c>
      <c r="C299" s="444" t="s">
        <v>122</v>
      </c>
      <c r="D299" s="439">
        <v>0</v>
      </c>
      <c r="E299" s="439">
        <v>0</v>
      </c>
      <c r="F299" s="439">
        <v>0</v>
      </c>
      <c r="G299" s="439">
        <v>0</v>
      </c>
      <c r="H299" s="439">
        <v>0</v>
      </c>
      <c r="I299" s="439">
        <v>0</v>
      </c>
      <c r="J299" s="439">
        <v>0</v>
      </c>
      <c r="K299" s="439">
        <v>0</v>
      </c>
      <c r="L299" s="432">
        <v>0</v>
      </c>
      <c r="M299" s="433"/>
    </row>
    <row r="300" spans="2:13" ht="19.5" customHeight="1">
      <c r="B300" s="1017"/>
      <c r="C300" s="435" t="s">
        <v>1311</v>
      </c>
      <c r="D300" s="436">
        <v>0</v>
      </c>
      <c r="E300" s="436">
        <v>0</v>
      </c>
      <c r="F300" s="436">
        <v>0</v>
      </c>
      <c r="G300" s="436">
        <v>0</v>
      </c>
      <c r="H300" s="436">
        <v>0</v>
      </c>
      <c r="I300" s="436">
        <v>0</v>
      </c>
      <c r="J300" s="436">
        <v>0</v>
      </c>
      <c r="K300" s="436">
        <v>0.75</v>
      </c>
      <c r="L300" s="437">
        <v>0.75</v>
      </c>
      <c r="M300" s="438"/>
    </row>
    <row r="301" spans="2:13" ht="19.5" customHeight="1">
      <c r="B301" s="1017"/>
      <c r="C301" s="444" t="s">
        <v>1407</v>
      </c>
      <c r="D301" s="439">
        <v>0</v>
      </c>
      <c r="E301" s="439">
        <v>0</v>
      </c>
      <c r="F301" s="439">
        <v>0</v>
      </c>
      <c r="G301" s="439">
        <v>0</v>
      </c>
      <c r="H301" s="439">
        <v>0</v>
      </c>
      <c r="I301" s="439">
        <v>0</v>
      </c>
      <c r="J301" s="439">
        <v>0</v>
      </c>
      <c r="K301" s="439">
        <v>0</v>
      </c>
      <c r="L301" s="432">
        <v>0</v>
      </c>
      <c r="M301" s="433"/>
    </row>
    <row r="302" spans="2:13" ht="19.5" customHeight="1">
      <c r="B302" s="1018"/>
      <c r="C302" s="440" t="s">
        <v>1456</v>
      </c>
      <c r="D302" s="441">
        <v>0</v>
      </c>
      <c r="E302" s="441">
        <v>0</v>
      </c>
      <c r="F302" s="441">
        <v>0</v>
      </c>
      <c r="G302" s="441">
        <v>0</v>
      </c>
      <c r="H302" s="441">
        <v>0</v>
      </c>
      <c r="I302" s="441">
        <v>0</v>
      </c>
      <c r="J302" s="441">
        <v>0</v>
      </c>
      <c r="K302" s="441">
        <v>0.75</v>
      </c>
      <c r="L302" s="442">
        <v>0.75</v>
      </c>
      <c r="M302" s="443"/>
    </row>
    <row r="303" spans="2:13" ht="19.5" customHeight="1">
      <c r="B303" s="1038" t="s">
        <v>1475</v>
      </c>
      <c r="C303" s="444" t="s">
        <v>122</v>
      </c>
      <c r="D303" s="439">
        <v>0</v>
      </c>
      <c r="E303" s="439">
        <v>0</v>
      </c>
      <c r="F303" s="439">
        <v>0</v>
      </c>
      <c r="G303" s="439">
        <v>40.048000000000002</v>
      </c>
      <c r="H303" s="439">
        <v>40.048000000000002</v>
      </c>
      <c r="I303" s="439">
        <v>0</v>
      </c>
      <c r="J303" s="439">
        <v>0</v>
      </c>
      <c r="K303" s="439">
        <v>5.25</v>
      </c>
      <c r="L303" s="432">
        <v>45.298000000000002</v>
      </c>
      <c r="M303" s="433"/>
    </row>
    <row r="304" spans="2:13" ht="19.5" customHeight="1">
      <c r="B304" s="1015"/>
      <c r="C304" s="435" t="s">
        <v>1311</v>
      </c>
      <c r="D304" s="436">
        <v>0</v>
      </c>
      <c r="E304" s="436">
        <v>0</v>
      </c>
      <c r="F304" s="436">
        <v>0</v>
      </c>
      <c r="G304" s="436">
        <v>0</v>
      </c>
      <c r="H304" s="436">
        <v>0</v>
      </c>
      <c r="I304" s="436">
        <v>0</v>
      </c>
      <c r="J304" s="436">
        <v>0</v>
      </c>
      <c r="K304" s="436">
        <v>24.869999999999997</v>
      </c>
      <c r="L304" s="437">
        <v>24.869999999999997</v>
      </c>
      <c r="M304" s="438"/>
    </row>
    <row r="305" spans="2:13" ht="19.5" customHeight="1">
      <c r="B305" s="1015"/>
      <c r="C305" s="444" t="s">
        <v>1407</v>
      </c>
      <c r="D305" s="439">
        <v>0</v>
      </c>
      <c r="E305" s="439">
        <v>0</v>
      </c>
      <c r="F305" s="439">
        <v>0</v>
      </c>
      <c r="G305" s="439">
        <v>0</v>
      </c>
      <c r="H305" s="439">
        <v>0</v>
      </c>
      <c r="I305" s="439">
        <v>0</v>
      </c>
      <c r="J305" s="439">
        <v>0</v>
      </c>
      <c r="K305" s="439">
        <v>5.0999999999999996</v>
      </c>
      <c r="L305" s="432">
        <v>5.0999999999999996</v>
      </c>
      <c r="M305" s="433"/>
    </row>
    <row r="306" spans="2:13" ht="19.5" customHeight="1">
      <c r="B306" s="1039"/>
      <c r="C306" s="446" t="s">
        <v>1396</v>
      </c>
      <c r="D306" s="447">
        <v>0</v>
      </c>
      <c r="E306" s="447">
        <v>0</v>
      </c>
      <c r="F306" s="447">
        <v>0</v>
      </c>
      <c r="G306" s="447">
        <v>40.048000000000002</v>
      </c>
      <c r="H306" s="447">
        <v>40.048000000000002</v>
      </c>
      <c r="I306" s="447">
        <v>0</v>
      </c>
      <c r="J306" s="447">
        <v>0</v>
      </c>
      <c r="K306" s="447">
        <v>35.22</v>
      </c>
      <c r="L306" s="449">
        <v>75.268000000000001</v>
      </c>
      <c r="M306" s="443"/>
    </row>
    <row r="307" spans="2:13" ht="19.5" customHeight="1">
      <c r="B307" s="422"/>
      <c r="C307" s="423"/>
      <c r="D307" s="424"/>
      <c r="E307" s="424"/>
      <c r="F307" s="424"/>
      <c r="G307" s="425"/>
      <c r="H307" s="424"/>
      <c r="I307" s="424"/>
      <c r="J307" s="424"/>
      <c r="K307" s="424"/>
      <c r="L307" s="424"/>
      <c r="M307" s="424"/>
    </row>
    <row r="308" spans="2:13" ht="19.5" customHeight="1">
      <c r="B308" s="422"/>
      <c r="C308" s="423"/>
      <c r="D308" s="424"/>
      <c r="E308" s="424"/>
      <c r="F308" s="424"/>
      <c r="G308" s="425"/>
      <c r="H308" s="424"/>
      <c r="I308" s="424"/>
      <c r="J308" s="424"/>
      <c r="K308" s="424"/>
      <c r="L308" s="424"/>
      <c r="M308" s="424"/>
    </row>
    <row r="309" spans="2:13" ht="19.5" customHeight="1">
      <c r="B309" s="422"/>
      <c r="C309" s="423"/>
      <c r="D309" s="424"/>
      <c r="E309" s="424"/>
      <c r="F309" s="424"/>
      <c r="G309" s="425"/>
      <c r="H309" s="424"/>
      <c r="I309" s="424"/>
      <c r="J309" s="424"/>
      <c r="K309" s="424"/>
      <c r="L309" s="424"/>
      <c r="M309" s="424"/>
    </row>
    <row r="310" spans="2:13" ht="19.5" customHeight="1">
      <c r="B310" s="422"/>
      <c r="C310" s="423"/>
      <c r="D310" s="424"/>
      <c r="E310" s="424"/>
      <c r="F310" s="424"/>
      <c r="G310" s="425"/>
      <c r="H310" s="424"/>
      <c r="I310" s="424"/>
      <c r="J310" s="424"/>
      <c r="K310" s="424"/>
      <c r="L310" s="424"/>
      <c r="M310" s="424"/>
    </row>
    <row r="311" spans="2:13" ht="19.5" customHeight="1">
      <c r="B311" s="422"/>
      <c r="C311" s="423"/>
      <c r="D311" s="424"/>
      <c r="E311" s="424"/>
      <c r="F311" s="424"/>
      <c r="G311" s="425"/>
      <c r="H311" s="424"/>
      <c r="I311" s="424"/>
      <c r="J311" s="424"/>
      <c r="K311" s="424"/>
      <c r="L311" s="424"/>
      <c r="M311" s="424"/>
    </row>
    <row r="312" spans="2:13" ht="19.5" customHeight="1">
      <c r="B312" s="422"/>
      <c r="C312" s="423"/>
      <c r="D312" s="424"/>
      <c r="E312" s="424"/>
      <c r="F312" s="424"/>
      <c r="G312" s="425"/>
      <c r="H312" s="424"/>
      <c r="I312" s="424"/>
      <c r="J312" s="424"/>
      <c r="K312" s="424"/>
      <c r="L312" s="424"/>
      <c r="M312" s="424"/>
    </row>
    <row r="313" spans="2:13" ht="19.5" customHeight="1">
      <c r="B313" s="422"/>
      <c r="C313" s="423"/>
      <c r="D313" s="424"/>
      <c r="E313" s="424"/>
      <c r="F313" s="424"/>
      <c r="G313" s="425"/>
      <c r="H313" s="424"/>
      <c r="I313" s="424"/>
      <c r="J313" s="424"/>
      <c r="K313" s="424"/>
      <c r="L313" s="424"/>
      <c r="M313" s="424"/>
    </row>
    <row r="314" spans="2:13" ht="19.5" customHeight="1">
      <c r="B314" s="422"/>
      <c r="C314" s="423"/>
      <c r="D314" s="424"/>
      <c r="E314" s="424"/>
      <c r="F314" s="424"/>
      <c r="G314" s="425"/>
      <c r="H314" s="424"/>
      <c r="I314" s="424"/>
      <c r="J314" s="424"/>
      <c r="K314" s="424"/>
      <c r="L314" s="424"/>
      <c r="M314" s="424"/>
    </row>
    <row r="315" spans="2:13" ht="19.5" customHeight="1">
      <c r="B315" s="422"/>
      <c r="C315" s="423"/>
      <c r="D315" s="424"/>
      <c r="E315" s="424"/>
      <c r="F315" s="424"/>
      <c r="G315" s="425"/>
      <c r="H315" s="424"/>
      <c r="I315" s="424"/>
      <c r="J315" s="424"/>
      <c r="K315" s="424"/>
      <c r="L315" s="424"/>
      <c r="M315" s="424"/>
    </row>
    <row r="316" spans="2:13" ht="19.5" customHeight="1">
      <c r="B316" s="422"/>
      <c r="C316" s="423"/>
      <c r="D316" s="424"/>
      <c r="E316" s="424"/>
      <c r="F316" s="424"/>
      <c r="G316" s="425"/>
      <c r="H316" s="424"/>
      <c r="I316" s="424"/>
      <c r="J316" s="424"/>
      <c r="K316" s="424"/>
      <c r="L316" s="424"/>
      <c r="M316" s="424"/>
    </row>
    <row r="317" spans="2:13" ht="19.5" customHeight="1">
      <c r="B317" s="422"/>
      <c r="C317" s="423"/>
      <c r="D317" s="424"/>
      <c r="E317" s="424"/>
      <c r="F317" s="424"/>
      <c r="G317" s="425"/>
      <c r="H317" s="424"/>
      <c r="I317" s="424"/>
      <c r="J317" s="424"/>
      <c r="K317" s="424"/>
      <c r="L317" s="424"/>
      <c r="M317" s="424"/>
    </row>
    <row r="318" spans="2:13" ht="19.5" customHeight="1">
      <c r="B318" s="422"/>
      <c r="C318" s="423"/>
      <c r="D318" s="424"/>
      <c r="E318" s="424"/>
      <c r="F318" s="424"/>
      <c r="G318" s="425"/>
      <c r="H318" s="424"/>
      <c r="I318" s="424"/>
      <c r="J318" s="424"/>
      <c r="K318" s="424"/>
      <c r="L318" s="424"/>
      <c r="M318" s="424"/>
    </row>
    <row r="319" spans="2:13" ht="19.5" customHeight="1">
      <c r="B319" s="422"/>
      <c r="C319" s="423"/>
      <c r="D319" s="424"/>
      <c r="E319" s="424"/>
      <c r="F319" s="424"/>
      <c r="G319" s="425"/>
      <c r="H319" s="424"/>
      <c r="I319" s="424"/>
      <c r="J319" s="424"/>
      <c r="K319" s="424"/>
      <c r="L319" s="424"/>
      <c r="M319" s="424"/>
    </row>
    <row r="320" spans="2:13" ht="19.5" customHeight="1">
      <c r="B320" s="422"/>
      <c r="C320" s="423"/>
      <c r="D320" s="424"/>
      <c r="E320" s="424"/>
      <c r="F320" s="424"/>
      <c r="G320" s="425"/>
      <c r="H320" s="424"/>
      <c r="I320" s="424"/>
      <c r="J320" s="424"/>
      <c r="K320" s="424"/>
      <c r="L320" s="424"/>
      <c r="M320" s="424"/>
    </row>
    <row r="321" spans="2:13" ht="19.5" customHeight="1">
      <c r="B321" s="422"/>
      <c r="C321" s="423"/>
      <c r="D321" s="424"/>
      <c r="E321" s="424"/>
      <c r="F321" s="424"/>
      <c r="G321" s="425"/>
      <c r="H321" s="424"/>
      <c r="I321" s="424"/>
      <c r="J321" s="424"/>
      <c r="K321" s="424"/>
      <c r="L321" s="424"/>
      <c r="M321" s="424"/>
    </row>
    <row r="322" spans="2:13" ht="19.5" customHeight="1">
      <c r="B322" s="422"/>
      <c r="C322" s="423"/>
      <c r="D322" s="424"/>
      <c r="E322" s="424"/>
      <c r="F322" s="424"/>
      <c r="G322" s="425"/>
      <c r="H322" s="424"/>
      <c r="I322" s="424"/>
      <c r="J322" s="424"/>
      <c r="K322" s="424"/>
      <c r="L322" s="424"/>
      <c r="M322" s="424"/>
    </row>
    <row r="323" spans="2:13" ht="19.5" customHeight="1">
      <c r="B323" s="422"/>
      <c r="C323" s="423"/>
      <c r="D323" s="424"/>
      <c r="E323" s="424"/>
      <c r="F323" s="424"/>
      <c r="G323" s="425"/>
      <c r="H323" s="424"/>
      <c r="I323" s="424"/>
      <c r="J323" s="424"/>
      <c r="K323" s="424"/>
      <c r="L323" s="424"/>
      <c r="M323" s="424"/>
    </row>
    <row r="324" spans="2:13" ht="19.5" customHeight="1">
      <c r="B324" s="422"/>
      <c r="C324" s="423"/>
      <c r="D324" s="424"/>
      <c r="E324" s="424"/>
      <c r="F324" s="424"/>
      <c r="G324" s="425"/>
      <c r="H324" s="424"/>
      <c r="I324" s="424"/>
      <c r="J324" s="424"/>
      <c r="K324" s="424"/>
      <c r="L324" s="424"/>
      <c r="M324" s="424"/>
    </row>
    <row r="325" spans="2:13" ht="19.5" customHeight="1">
      <c r="B325" s="422"/>
      <c r="C325" s="423"/>
      <c r="D325" s="424"/>
      <c r="E325" s="424"/>
      <c r="F325" s="424"/>
      <c r="G325" s="425"/>
      <c r="H325" s="424"/>
      <c r="I325" s="424"/>
      <c r="J325" s="424"/>
      <c r="K325" s="424"/>
      <c r="L325" s="424"/>
      <c r="M325" s="424"/>
    </row>
    <row r="326" spans="2:13" ht="19.5" customHeight="1">
      <c r="B326" s="422"/>
      <c r="C326" s="423"/>
      <c r="D326" s="424"/>
      <c r="E326" s="424"/>
      <c r="F326" s="424"/>
      <c r="G326" s="425"/>
      <c r="H326" s="424"/>
      <c r="I326" s="424"/>
      <c r="J326" s="424"/>
      <c r="K326" s="424"/>
      <c r="L326" s="424"/>
      <c r="M326" s="424"/>
    </row>
    <row r="327" spans="2:13" ht="19.5" customHeight="1">
      <c r="B327" s="422"/>
      <c r="C327" s="423"/>
      <c r="D327" s="424"/>
      <c r="E327" s="424"/>
      <c r="F327" s="424"/>
      <c r="G327" s="425"/>
      <c r="H327" s="424"/>
      <c r="I327" s="424"/>
      <c r="J327" s="424"/>
      <c r="K327" s="424"/>
      <c r="L327" s="424"/>
      <c r="M327" s="424"/>
    </row>
    <row r="328" spans="2:13" ht="19.5" customHeight="1">
      <c r="B328" s="422"/>
      <c r="C328" s="423"/>
      <c r="D328" s="424"/>
      <c r="E328" s="424"/>
      <c r="F328" s="424"/>
      <c r="G328" s="425"/>
      <c r="H328" s="424"/>
      <c r="I328" s="424"/>
      <c r="J328" s="424"/>
      <c r="K328" s="424"/>
      <c r="L328" s="424"/>
      <c r="M328" s="424"/>
    </row>
    <row r="329" spans="2:13" ht="19.5" customHeight="1">
      <c r="B329" s="422"/>
      <c r="C329" s="423"/>
      <c r="D329" s="424"/>
      <c r="E329" s="424"/>
      <c r="F329" s="424"/>
      <c r="G329" s="425"/>
      <c r="H329" s="424"/>
      <c r="I329" s="424"/>
      <c r="J329" s="424"/>
      <c r="K329" s="424"/>
      <c r="L329" s="424"/>
      <c r="M329" s="424"/>
    </row>
    <row r="330" spans="2:13" ht="19.5" customHeight="1">
      <c r="B330" s="422"/>
      <c r="C330" s="423"/>
      <c r="D330" s="424"/>
      <c r="E330" s="424"/>
      <c r="F330" s="424"/>
      <c r="G330" s="425"/>
      <c r="H330" s="424"/>
      <c r="I330" s="424"/>
      <c r="J330" s="424"/>
      <c r="K330" s="424"/>
      <c r="L330" s="424"/>
      <c r="M330" s="424"/>
    </row>
  </sheetData>
  <mergeCells count="156">
    <mergeCell ref="K293:K294"/>
    <mergeCell ref="B295:B298"/>
    <mergeCell ref="B299:B302"/>
    <mergeCell ref="B303:B306"/>
    <mergeCell ref="B287:L289"/>
    <mergeCell ref="B290:L290"/>
    <mergeCell ref="K291:L291"/>
    <mergeCell ref="B292:B294"/>
    <mergeCell ref="C292:C294"/>
    <mergeCell ref="D292:K292"/>
    <mergeCell ref="L292:L294"/>
    <mergeCell ref="D293:H293"/>
    <mergeCell ref="I293:I294"/>
    <mergeCell ref="J293:J294"/>
    <mergeCell ref="B264:B267"/>
    <mergeCell ref="B268:B271"/>
    <mergeCell ref="B272:B275"/>
    <mergeCell ref="B276:B279"/>
    <mergeCell ref="B280:C280"/>
    <mergeCell ref="B281:B284"/>
    <mergeCell ref="I250:I251"/>
    <mergeCell ref="J250:J251"/>
    <mergeCell ref="K250:K251"/>
    <mergeCell ref="B252:B255"/>
    <mergeCell ref="B256:B259"/>
    <mergeCell ref="B260:B263"/>
    <mergeCell ref="B237:C237"/>
    <mergeCell ref="B238:B241"/>
    <mergeCell ref="B244:L246"/>
    <mergeCell ref="B247:L247"/>
    <mergeCell ref="K248:L248"/>
    <mergeCell ref="B249:B251"/>
    <mergeCell ref="C249:C251"/>
    <mergeCell ref="D249:K249"/>
    <mergeCell ref="L249:L251"/>
    <mergeCell ref="D250:H250"/>
    <mergeCell ref="B213:B216"/>
    <mergeCell ref="B217:B220"/>
    <mergeCell ref="B221:B224"/>
    <mergeCell ref="B225:B228"/>
    <mergeCell ref="B229:B232"/>
    <mergeCell ref="B233:B236"/>
    <mergeCell ref="B210:B212"/>
    <mergeCell ref="C210:C212"/>
    <mergeCell ref="D210:K210"/>
    <mergeCell ref="L210:L212"/>
    <mergeCell ref="D211:H211"/>
    <mergeCell ref="I211:I212"/>
    <mergeCell ref="J211:J212"/>
    <mergeCell ref="K211:K212"/>
    <mergeCell ref="B194:B197"/>
    <mergeCell ref="B198:C198"/>
    <mergeCell ref="B199:B202"/>
    <mergeCell ref="B205:L207"/>
    <mergeCell ref="B208:L208"/>
    <mergeCell ref="K209:L209"/>
    <mergeCell ref="B170:B173"/>
    <mergeCell ref="B174:B177"/>
    <mergeCell ref="B178:B181"/>
    <mergeCell ref="B182:B185"/>
    <mergeCell ref="B186:B189"/>
    <mergeCell ref="B190:B193"/>
    <mergeCell ref="B167:B169"/>
    <mergeCell ref="C167:C169"/>
    <mergeCell ref="D167:K167"/>
    <mergeCell ref="L167:L169"/>
    <mergeCell ref="D168:H168"/>
    <mergeCell ref="I168:I169"/>
    <mergeCell ref="J168:J169"/>
    <mergeCell ref="K168:K169"/>
    <mergeCell ref="B149:B152"/>
    <mergeCell ref="B153:C153"/>
    <mergeCell ref="B154:B157"/>
    <mergeCell ref="B162:L164"/>
    <mergeCell ref="B165:L165"/>
    <mergeCell ref="K166:L166"/>
    <mergeCell ref="B125:B128"/>
    <mergeCell ref="B129:B132"/>
    <mergeCell ref="B133:B136"/>
    <mergeCell ref="B137:B140"/>
    <mergeCell ref="B141:B144"/>
    <mergeCell ref="B145:B148"/>
    <mergeCell ref="B120:L120"/>
    <mergeCell ref="K121:L121"/>
    <mergeCell ref="B122:B124"/>
    <mergeCell ref="C122:C124"/>
    <mergeCell ref="D122:K122"/>
    <mergeCell ref="L122:L124"/>
    <mergeCell ref="D123:H123"/>
    <mergeCell ref="I123:I124"/>
    <mergeCell ref="J123:J124"/>
    <mergeCell ref="K123:K124"/>
    <mergeCell ref="B98:B101"/>
    <mergeCell ref="B102:B105"/>
    <mergeCell ref="B106:B109"/>
    <mergeCell ref="B110:C110"/>
    <mergeCell ref="B111:B114"/>
    <mergeCell ref="B117:L119"/>
    <mergeCell ref="B74:B77"/>
    <mergeCell ref="B78:B81"/>
    <mergeCell ref="B82:B85"/>
    <mergeCell ref="B86:B89"/>
    <mergeCell ref="B90:B93"/>
    <mergeCell ref="B94:B97"/>
    <mergeCell ref="B71:B73"/>
    <mergeCell ref="C71:C73"/>
    <mergeCell ref="D71:K71"/>
    <mergeCell ref="L71:L73"/>
    <mergeCell ref="D72:H72"/>
    <mergeCell ref="I72:I73"/>
    <mergeCell ref="J72:J73"/>
    <mergeCell ref="K72:K73"/>
    <mergeCell ref="C54:D54"/>
    <mergeCell ref="E54:F54"/>
    <mergeCell ref="C56:D56"/>
    <mergeCell ref="B66:L68"/>
    <mergeCell ref="B69:L69"/>
    <mergeCell ref="K70:L70"/>
    <mergeCell ref="C49:L49"/>
    <mergeCell ref="C50:D50"/>
    <mergeCell ref="E50:F50"/>
    <mergeCell ref="C51:L51"/>
    <mergeCell ref="C52:L52"/>
    <mergeCell ref="C53:L53"/>
    <mergeCell ref="E43:F43"/>
    <mergeCell ref="G43:H43"/>
    <mergeCell ref="E44:F44"/>
    <mergeCell ref="G44:H44"/>
    <mergeCell ref="C46:D46"/>
    <mergeCell ref="E46:F46"/>
    <mergeCell ref="B25:B28"/>
    <mergeCell ref="B29:B32"/>
    <mergeCell ref="B33:B36"/>
    <mergeCell ref="C38:L38"/>
    <mergeCell ref="C39:L39"/>
    <mergeCell ref="C42:C43"/>
    <mergeCell ref="D42:D43"/>
    <mergeCell ref="E42:H42"/>
    <mergeCell ref="I42:I43"/>
    <mergeCell ref="J42:J43"/>
    <mergeCell ref="J7:J8"/>
    <mergeCell ref="K7:K8"/>
    <mergeCell ref="B9:B12"/>
    <mergeCell ref="B13:B16"/>
    <mergeCell ref="B17:B20"/>
    <mergeCell ref="B21:B24"/>
    <mergeCell ref="B2:L2"/>
    <mergeCell ref="B3:L3"/>
    <mergeCell ref="B4:L4"/>
    <mergeCell ref="B5:L5"/>
    <mergeCell ref="B6:B8"/>
    <mergeCell ref="C6:C8"/>
    <mergeCell ref="D6:K6"/>
    <mergeCell ref="L6:L8"/>
    <mergeCell ref="D7:H7"/>
    <mergeCell ref="I7:I8"/>
  </mergeCells>
  <pageMargins left="0.45" right="0.45" top="0.5" bottom="0.25" header="0.3" footer="0.3"/>
  <pageSetup scale="55" orientation="portrait" r:id="rId1"/>
  <rowBreaks count="7" manualBreakCount="7">
    <brk id="64" min="1" max="11" man="1"/>
    <brk id="115" min="1" max="11" man="1"/>
    <brk id="160" min="1" max="11" man="1"/>
    <brk id="203" min="1" max="11" man="1"/>
    <brk id="242" min="1" max="11" man="1"/>
    <brk id="285" min="1" max="11" man="1"/>
    <brk id="329" min="1" max="10" man="1"/>
  </rowBreaks>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sheetPr>
  <dimension ref="A1:AF60"/>
  <sheetViews>
    <sheetView zoomScaleNormal="100" workbookViewId="0"/>
  </sheetViews>
  <sheetFormatPr defaultRowHeight="15"/>
  <cols>
    <col min="1" max="29" width="9.140625" style="416"/>
    <col min="30" max="30" width="5.140625" style="416" customWidth="1"/>
    <col min="31" max="31" width="19.42578125" style="416" customWidth="1"/>
    <col min="32" max="32" width="17.140625" style="416" customWidth="1"/>
    <col min="33" max="16384" width="9.140625" style="416"/>
  </cols>
  <sheetData>
    <row r="1" spans="1:32">
      <c r="A1" s="326" t="s">
        <v>1477</v>
      </c>
      <c r="N1" s="39" t="s">
        <v>1256</v>
      </c>
    </row>
    <row r="2" spans="1:32">
      <c r="A2" s="326" t="s">
        <v>1230</v>
      </c>
      <c r="N2" s="327"/>
      <c r="O2" s="327" t="s">
        <v>1237</v>
      </c>
      <c r="P2" s="348" t="s">
        <v>1231</v>
      </c>
    </row>
    <row r="3" spans="1:32">
      <c r="A3" s="327" t="s">
        <v>621</v>
      </c>
      <c r="B3" s="327" t="s">
        <v>618</v>
      </c>
      <c r="C3" s="327" t="s">
        <v>619</v>
      </c>
      <c r="D3" s="327" t="s">
        <v>620</v>
      </c>
      <c r="E3" s="327" t="s">
        <v>660</v>
      </c>
      <c r="F3" s="327" t="s">
        <v>661</v>
      </c>
      <c r="G3" s="327" t="s">
        <v>662</v>
      </c>
      <c r="H3" s="327" t="s">
        <v>663</v>
      </c>
      <c r="I3" s="327" t="s">
        <v>664</v>
      </c>
      <c r="J3" s="327" t="s">
        <v>665</v>
      </c>
      <c r="K3" s="327" t="s">
        <v>666</v>
      </c>
      <c r="L3" s="327" t="s">
        <v>667</v>
      </c>
      <c r="M3" s="327"/>
      <c r="N3" s="327"/>
      <c r="O3" s="327"/>
      <c r="P3" s="327" t="s">
        <v>621</v>
      </c>
      <c r="Q3" s="327" t="s">
        <v>618</v>
      </c>
      <c r="R3" s="327" t="s">
        <v>619</v>
      </c>
      <c r="S3" s="327" t="s">
        <v>620</v>
      </c>
      <c r="T3" s="327" t="s">
        <v>660</v>
      </c>
      <c r="U3" s="327" t="s">
        <v>661</v>
      </c>
      <c r="V3" s="327" t="s">
        <v>662</v>
      </c>
      <c r="W3" s="327" t="s">
        <v>663</v>
      </c>
      <c r="X3" s="327" t="s">
        <v>664</v>
      </c>
      <c r="Y3" s="327" t="s">
        <v>665</v>
      </c>
      <c r="Z3" s="327" t="s">
        <v>666</v>
      </c>
      <c r="AA3" s="327" t="s">
        <v>667</v>
      </c>
      <c r="AE3" s="900" t="s">
        <v>1943</v>
      </c>
      <c r="AF3" s="900"/>
    </row>
    <row r="4" spans="1:32">
      <c r="A4" s="327" t="s">
        <v>14</v>
      </c>
      <c r="B4" s="327">
        <f>MAX(SUMIF('Source-MNRE'!$AA$6:$AA$42,EG_BIOMASS_min[[#This Row],[SubGeography2]],'Source-MNRE'!$AD$6:$AD$42),0)</f>
        <v>6.4900000000000091</v>
      </c>
      <c r="C4" s="327">
        <v>0</v>
      </c>
      <c r="D4" s="327">
        <v>0</v>
      </c>
      <c r="E4" s="327">
        <v>0</v>
      </c>
      <c r="F4" s="327">
        <v>0</v>
      </c>
      <c r="G4" s="327">
        <v>0</v>
      </c>
      <c r="H4" s="327">
        <v>0</v>
      </c>
      <c r="I4" s="327">
        <v>0</v>
      </c>
      <c r="J4" s="327">
        <v>0</v>
      </c>
      <c r="K4" s="327">
        <v>0</v>
      </c>
      <c r="L4" s="327">
        <v>0</v>
      </c>
      <c r="M4" s="327"/>
      <c r="N4" s="327">
        <f>INDEX($AF$4:$AF$28,MATCH($P4,$AE$4:$AE$28,0))</f>
        <v>622.48</v>
      </c>
      <c r="O4" s="327">
        <f>N4/SUM(N$4:N$28)</f>
        <v>5.7395762258653435E-2</v>
      </c>
      <c r="P4" s="327" t="s">
        <v>14</v>
      </c>
      <c r="Q4" s="327">
        <f>EG_BIOMASS_min[[#This Row],[2021]]</f>
        <v>6.4900000000000091</v>
      </c>
      <c r="R4" s="327">
        <f t="shared" ref="R4:AA27" si="0">$O4*R$29</f>
        <v>57.395762258653434</v>
      </c>
      <c r="S4" s="327">
        <f t="shared" si="0"/>
        <v>57.395762258653434</v>
      </c>
      <c r="T4" s="327">
        <f t="shared" si="0"/>
        <v>57.395762258653434</v>
      </c>
      <c r="U4" s="327">
        <f t="shared" si="0"/>
        <v>57.395762258653434</v>
      </c>
      <c r="V4" s="327">
        <f t="shared" si="0"/>
        <v>57.395762258653434</v>
      </c>
      <c r="W4" s="327">
        <f t="shared" si="0"/>
        <v>57.395762258653434</v>
      </c>
      <c r="X4" s="327">
        <f t="shared" si="0"/>
        <v>57.395762258653434</v>
      </c>
      <c r="Y4" s="327">
        <f t="shared" si="0"/>
        <v>57.395762258653434</v>
      </c>
      <c r="Z4" s="327">
        <f t="shared" si="0"/>
        <v>57.395762258653434</v>
      </c>
      <c r="AA4" s="327">
        <f t="shared" si="0"/>
        <v>57.395762258653434</v>
      </c>
      <c r="AE4" s="632" t="s">
        <v>19</v>
      </c>
      <c r="AF4" s="416">
        <v>129.4</v>
      </c>
    </row>
    <row r="5" spans="1:32">
      <c r="A5" s="327" t="s">
        <v>90</v>
      </c>
      <c r="B5" s="327">
        <f>MAX(SUMIF('Source-MNRE'!$AA$6:$AA$42,EG_BIOMASS_min[[#This Row],[SubGeography2]],'Source-MNRE'!$AD$6:$AD$42),0)</f>
        <v>0</v>
      </c>
      <c r="C5" s="327">
        <v>0</v>
      </c>
      <c r="D5" s="327">
        <v>0</v>
      </c>
      <c r="E5" s="327">
        <v>0</v>
      </c>
      <c r="F5" s="327">
        <v>0</v>
      </c>
      <c r="G5" s="327">
        <v>0</v>
      </c>
      <c r="H5" s="327">
        <v>0</v>
      </c>
      <c r="I5" s="327">
        <v>0</v>
      </c>
      <c r="J5" s="327">
        <v>0</v>
      </c>
      <c r="K5" s="327">
        <v>0</v>
      </c>
      <c r="L5" s="327">
        <v>0</v>
      </c>
      <c r="M5" s="327"/>
      <c r="N5" s="327">
        <f t="shared" ref="N5:N28" si="1">INDEX($AF$4:$AF$28,MATCH($P5,$AE$4:$AE$28,0))</f>
        <v>27.6</v>
      </c>
      <c r="O5" s="327">
        <f t="shared" ref="O5:O28" si="2">N5/SUM(N$4:N$28)</f>
        <v>2.5448577277002228E-3</v>
      </c>
      <c r="P5" s="327" t="s">
        <v>90</v>
      </c>
      <c r="Q5" s="327">
        <f>EG_BIOMASS_min[[#This Row],[2021]]</f>
        <v>0</v>
      </c>
      <c r="R5" s="327">
        <f t="shared" si="0"/>
        <v>2.5448577277002227</v>
      </c>
      <c r="S5" s="327">
        <f t="shared" si="0"/>
        <v>2.5448577277002227</v>
      </c>
      <c r="T5" s="327">
        <f t="shared" si="0"/>
        <v>2.5448577277002227</v>
      </c>
      <c r="U5" s="327">
        <f t="shared" si="0"/>
        <v>2.5448577277002227</v>
      </c>
      <c r="V5" s="327">
        <f t="shared" si="0"/>
        <v>2.5448577277002227</v>
      </c>
      <c r="W5" s="327">
        <f t="shared" si="0"/>
        <v>2.5448577277002227</v>
      </c>
      <c r="X5" s="327">
        <f t="shared" si="0"/>
        <v>2.5448577277002227</v>
      </c>
      <c r="Y5" s="327">
        <f t="shared" si="0"/>
        <v>2.5448577277002227</v>
      </c>
      <c r="Z5" s="327">
        <f t="shared" si="0"/>
        <v>2.5448577277002227</v>
      </c>
      <c r="AA5" s="327">
        <f t="shared" si="0"/>
        <v>2.5448577277002227</v>
      </c>
      <c r="AE5" s="633" t="s">
        <v>20</v>
      </c>
      <c r="AF5" s="416">
        <v>8.6</v>
      </c>
    </row>
    <row r="6" spans="1:32">
      <c r="A6" s="327" t="s">
        <v>29</v>
      </c>
      <c r="B6" s="327">
        <f>MAX(SUMIF('Source-MNRE'!$AA$6:$AA$42,EG_BIOMASS_min[[#This Row],[SubGeography2]],'Source-MNRE'!$AD$6:$AD$42),0)</f>
        <v>2</v>
      </c>
      <c r="C6" s="327">
        <v>0</v>
      </c>
      <c r="D6" s="327">
        <v>0</v>
      </c>
      <c r="E6" s="327">
        <v>0</v>
      </c>
      <c r="F6" s="327">
        <v>0</v>
      </c>
      <c r="G6" s="327">
        <v>0</v>
      </c>
      <c r="H6" s="327">
        <v>0</v>
      </c>
      <c r="I6" s="327">
        <v>0</v>
      </c>
      <c r="J6" s="327">
        <v>0</v>
      </c>
      <c r="K6" s="327">
        <v>0</v>
      </c>
      <c r="L6" s="327">
        <v>0</v>
      </c>
      <c r="M6" s="327"/>
      <c r="N6" s="327">
        <f t="shared" si="1"/>
        <v>0</v>
      </c>
      <c r="O6" s="327">
        <f t="shared" si="2"/>
        <v>0</v>
      </c>
      <c r="P6" s="327" t="s">
        <v>29</v>
      </c>
      <c r="Q6" s="327">
        <f>EG_BIOMASS_min[[#This Row],[2021]]</f>
        <v>2</v>
      </c>
      <c r="R6" s="327">
        <f t="shared" si="0"/>
        <v>0</v>
      </c>
      <c r="S6" s="327">
        <f t="shared" si="0"/>
        <v>0</v>
      </c>
      <c r="T6" s="327">
        <f t="shared" si="0"/>
        <v>0</v>
      </c>
      <c r="U6" s="327">
        <f t="shared" si="0"/>
        <v>0</v>
      </c>
      <c r="V6" s="327">
        <f t="shared" si="0"/>
        <v>0</v>
      </c>
      <c r="W6" s="327">
        <f t="shared" si="0"/>
        <v>0</v>
      </c>
      <c r="X6" s="327">
        <f t="shared" si="0"/>
        <v>0</v>
      </c>
      <c r="Y6" s="327">
        <f t="shared" si="0"/>
        <v>0</v>
      </c>
      <c r="Z6" s="327">
        <f t="shared" si="0"/>
        <v>0</v>
      </c>
      <c r="AA6" s="327">
        <f t="shared" si="0"/>
        <v>0</v>
      </c>
      <c r="AE6" s="632" t="s">
        <v>16</v>
      </c>
      <c r="AF6" s="416">
        <v>68.039999999999992</v>
      </c>
    </row>
    <row r="7" spans="1:32">
      <c r="A7" s="327" t="s">
        <v>19</v>
      </c>
      <c r="B7" s="327">
        <f>MAX(SUMIF('Source-MNRE'!$AA$6:$AA$42,EG_BIOMASS_min[[#This Row],[SubGeography2]],'Source-MNRE'!$AD$6:$AD$42),0)</f>
        <v>3.5</v>
      </c>
      <c r="C7" s="327">
        <v>0</v>
      </c>
      <c r="D7" s="327">
        <v>0</v>
      </c>
      <c r="E7" s="327">
        <v>0</v>
      </c>
      <c r="F7" s="327">
        <v>0</v>
      </c>
      <c r="G7" s="327">
        <v>0</v>
      </c>
      <c r="H7" s="327">
        <v>0</v>
      </c>
      <c r="I7" s="327">
        <v>0</v>
      </c>
      <c r="J7" s="327">
        <v>0</v>
      </c>
      <c r="K7" s="327">
        <v>0</v>
      </c>
      <c r="L7" s="327">
        <v>0</v>
      </c>
      <c r="M7" s="327"/>
      <c r="N7" s="327">
        <f t="shared" si="1"/>
        <v>129.4</v>
      </c>
      <c r="O7" s="327">
        <f t="shared" si="2"/>
        <v>1.1931325723348147E-2</v>
      </c>
      <c r="P7" s="327" t="s">
        <v>19</v>
      </c>
      <c r="Q7" s="327">
        <f>EG_BIOMASS_min[[#This Row],[2021]]</f>
        <v>3.5</v>
      </c>
      <c r="R7" s="327">
        <f t="shared" si="0"/>
        <v>11.931325723348147</v>
      </c>
      <c r="S7" s="327">
        <f t="shared" si="0"/>
        <v>11.931325723348147</v>
      </c>
      <c r="T7" s="327">
        <f t="shared" si="0"/>
        <v>11.931325723348147</v>
      </c>
      <c r="U7" s="327">
        <f t="shared" si="0"/>
        <v>11.931325723348147</v>
      </c>
      <c r="V7" s="327">
        <f t="shared" si="0"/>
        <v>11.931325723348147</v>
      </c>
      <c r="W7" s="327">
        <f t="shared" si="0"/>
        <v>11.931325723348147</v>
      </c>
      <c r="X7" s="327">
        <f t="shared" si="0"/>
        <v>11.931325723348147</v>
      </c>
      <c r="Y7" s="327">
        <f t="shared" si="0"/>
        <v>11.931325723348147</v>
      </c>
      <c r="Z7" s="327">
        <f t="shared" si="0"/>
        <v>11.931325723348147</v>
      </c>
      <c r="AA7" s="327">
        <f t="shared" si="0"/>
        <v>11.931325723348147</v>
      </c>
      <c r="AE7" s="633" t="s">
        <v>17</v>
      </c>
      <c r="AF7" s="416">
        <v>339.84000000000003</v>
      </c>
    </row>
    <row r="8" spans="1:32">
      <c r="A8" s="327" t="s">
        <v>18</v>
      </c>
      <c r="B8" s="327">
        <f>MAX(SUMIF('Source-MNRE'!$AA$6:$AA$42,EG_BIOMASS_min[[#This Row],[SubGeography2]],'Source-MNRE'!$AD$6:$AD$42),0)</f>
        <v>0.40000000000000568</v>
      </c>
      <c r="C8" s="327">
        <v>0</v>
      </c>
      <c r="D8" s="327">
        <v>0</v>
      </c>
      <c r="E8" s="327">
        <v>0</v>
      </c>
      <c r="F8" s="327">
        <v>0</v>
      </c>
      <c r="G8" s="327">
        <v>0</v>
      </c>
      <c r="H8" s="327">
        <v>0</v>
      </c>
      <c r="I8" s="327">
        <v>0</v>
      </c>
      <c r="J8" s="327">
        <v>0</v>
      </c>
      <c r="K8" s="327">
        <v>0</v>
      </c>
      <c r="L8" s="327">
        <v>0</v>
      </c>
      <c r="M8" s="327"/>
      <c r="N8" s="327">
        <f t="shared" si="1"/>
        <v>247</v>
      </c>
      <c r="O8" s="327">
        <f t="shared" si="2"/>
        <v>2.2774632563114312E-2</v>
      </c>
      <c r="P8" s="327" t="s">
        <v>18</v>
      </c>
      <c r="Q8" s="327">
        <f>EG_BIOMASS_min[[#This Row],[2021]]</f>
        <v>0.40000000000000568</v>
      </c>
      <c r="R8" s="327">
        <f t="shared" si="0"/>
        <v>22.774632563114313</v>
      </c>
      <c r="S8" s="327">
        <f t="shared" si="0"/>
        <v>22.774632563114313</v>
      </c>
      <c r="T8" s="327">
        <f t="shared" si="0"/>
        <v>22.774632563114313</v>
      </c>
      <c r="U8" s="327">
        <f t="shared" si="0"/>
        <v>22.774632563114313</v>
      </c>
      <c r="V8" s="327">
        <f t="shared" si="0"/>
        <v>22.774632563114313</v>
      </c>
      <c r="W8" s="327">
        <f t="shared" si="0"/>
        <v>22.774632563114313</v>
      </c>
      <c r="X8" s="327">
        <f t="shared" si="0"/>
        <v>22.774632563114313</v>
      </c>
      <c r="Y8" s="327">
        <f t="shared" si="0"/>
        <v>22.774632563114313</v>
      </c>
      <c r="Z8" s="327">
        <f t="shared" si="0"/>
        <v>22.774632563114313</v>
      </c>
      <c r="AA8" s="327">
        <f t="shared" si="0"/>
        <v>22.774632563114313</v>
      </c>
      <c r="AE8" s="632" t="s">
        <v>18</v>
      </c>
      <c r="AF8" s="416">
        <v>247</v>
      </c>
    </row>
    <row r="9" spans="1:32">
      <c r="A9" s="327" t="s">
        <v>91</v>
      </c>
      <c r="B9" s="327">
        <f>MAX(SUMIF('Source-MNRE'!$AA$6:$AA$42,EG_BIOMASS_min[[#This Row],[SubGeography2]],'Source-MNRE'!$AD$6:$AD$42),0)</f>
        <v>0</v>
      </c>
      <c r="C9" s="327">
        <v>0</v>
      </c>
      <c r="D9" s="327">
        <v>0</v>
      </c>
      <c r="E9" s="327">
        <v>0</v>
      </c>
      <c r="F9" s="327">
        <v>0</v>
      </c>
      <c r="G9" s="327">
        <v>0</v>
      </c>
      <c r="H9" s="327">
        <v>0</v>
      </c>
      <c r="I9" s="327">
        <v>0</v>
      </c>
      <c r="J9" s="327">
        <v>0</v>
      </c>
      <c r="K9" s="327">
        <v>0</v>
      </c>
      <c r="L9" s="327">
        <v>0</v>
      </c>
      <c r="M9" s="327"/>
      <c r="N9" s="327">
        <f t="shared" si="1"/>
        <v>0.68</v>
      </c>
      <c r="O9" s="327">
        <f t="shared" si="2"/>
        <v>6.2699393291164911E-5</v>
      </c>
      <c r="P9" s="327" t="s">
        <v>91</v>
      </c>
      <c r="Q9" s="327">
        <f>EG_BIOMASS_min[[#This Row],[2021]]</f>
        <v>0</v>
      </c>
      <c r="R9" s="327">
        <f t="shared" si="0"/>
        <v>6.2699393291164918E-2</v>
      </c>
      <c r="S9" s="327">
        <f t="shared" si="0"/>
        <v>6.2699393291164918E-2</v>
      </c>
      <c r="T9" s="327">
        <f t="shared" si="0"/>
        <v>6.2699393291164918E-2</v>
      </c>
      <c r="U9" s="327">
        <f t="shared" si="0"/>
        <v>6.2699393291164918E-2</v>
      </c>
      <c r="V9" s="327">
        <f t="shared" si="0"/>
        <v>6.2699393291164918E-2</v>
      </c>
      <c r="W9" s="327">
        <f t="shared" si="0"/>
        <v>6.2699393291164918E-2</v>
      </c>
      <c r="X9" s="327">
        <f t="shared" si="0"/>
        <v>6.2699393291164918E-2</v>
      </c>
      <c r="Y9" s="327">
        <f t="shared" si="0"/>
        <v>6.2699393291164918E-2</v>
      </c>
      <c r="Z9" s="327">
        <f t="shared" si="0"/>
        <v>6.2699393291164918E-2</v>
      </c>
      <c r="AA9" s="327">
        <f t="shared" si="0"/>
        <v>6.2699393291164918E-2</v>
      </c>
      <c r="AE9" s="633" t="s">
        <v>8</v>
      </c>
      <c r="AF9" s="416">
        <v>89.3</v>
      </c>
    </row>
    <row r="10" spans="1:32">
      <c r="A10" s="327" t="s">
        <v>8</v>
      </c>
      <c r="B10" s="327">
        <f>MAX(SUMIF('Source-MNRE'!$AA$6:$AA$42,EG_BIOMASS_min[[#This Row],[SubGeography2]],'Source-MNRE'!$AD$6:$AD$42),0)</f>
        <v>0</v>
      </c>
      <c r="C10" s="327">
        <v>0</v>
      </c>
      <c r="D10" s="327">
        <v>0</v>
      </c>
      <c r="E10" s="327">
        <v>0</v>
      </c>
      <c r="F10" s="327">
        <v>0</v>
      </c>
      <c r="G10" s="327">
        <v>0</v>
      </c>
      <c r="H10" s="327">
        <v>0</v>
      </c>
      <c r="I10" s="327">
        <v>0</v>
      </c>
      <c r="J10" s="327">
        <v>0</v>
      </c>
      <c r="K10" s="327">
        <v>0</v>
      </c>
      <c r="L10" s="327">
        <v>0</v>
      </c>
      <c r="M10" s="327"/>
      <c r="N10" s="327">
        <f t="shared" si="1"/>
        <v>89.3</v>
      </c>
      <c r="O10" s="327">
        <f t="shared" si="2"/>
        <v>8.2339056189720972E-3</v>
      </c>
      <c r="P10" s="327" t="s">
        <v>8</v>
      </c>
      <c r="Q10" s="327">
        <f>EG_BIOMASS_min[[#This Row],[2021]]</f>
        <v>0</v>
      </c>
      <c r="R10" s="327">
        <f t="shared" si="0"/>
        <v>8.2339056189720967</v>
      </c>
      <c r="S10" s="327">
        <f t="shared" si="0"/>
        <v>8.2339056189720967</v>
      </c>
      <c r="T10" s="327">
        <f t="shared" si="0"/>
        <v>8.2339056189720967</v>
      </c>
      <c r="U10" s="327">
        <f t="shared" si="0"/>
        <v>8.2339056189720967</v>
      </c>
      <c r="V10" s="327">
        <f t="shared" si="0"/>
        <v>8.2339056189720967</v>
      </c>
      <c r="W10" s="327">
        <f t="shared" si="0"/>
        <v>8.2339056189720967</v>
      </c>
      <c r="X10" s="327">
        <f t="shared" si="0"/>
        <v>8.2339056189720967</v>
      </c>
      <c r="Y10" s="327">
        <f t="shared" si="0"/>
        <v>8.2339056189720967</v>
      </c>
      <c r="Z10" s="327">
        <f t="shared" si="0"/>
        <v>8.2339056189720967</v>
      </c>
      <c r="AA10" s="327">
        <f t="shared" si="0"/>
        <v>8.2339056189720967</v>
      </c>
      <c r="AE10" s="632" t="s">
        <v>9</v>
      </c>
      <c r="AF10" s="416">
        <v>148.5</v>
      </c>
    </row>
    <row r="11" spans="1:32">
      <c r="A11" s="327" t="s">
        <v>5</v>
      </c>
      <c r="B11" s="327">
        <f>MAX(SUMIF('Source-MNRE'!$AA$6:$AA$42,EG_BIOMASS_min[[#This Row],[SubGeography2]],'Source-MNRE'!$AD$6:$AD$42),0)</f>
        <v>6.1999999999999886</v>
      </c>
      <c r="C11" s="327">
        <v>0</v>
      </c>
      <c r="D11" s="327">
        <v>0</v>
      </c>
      <c r="E11" s="327">
        <v>0</v>
      </c>
      <c r="F11" s="327">
        <v>0</v>
      </c>
      <c r="G11" s="327">
        <v>0</v>
      </c>
      <c r="H11" s="327">
        <v>0</v>
      </c>
      <c r="I11" s="327">
        <v>0</v>
      </c>
      <c r="J11" s="327">
        <v>0</v>
      </c>
      <c r="K11" s="327">
        <v>0</v>
      </c>
      <c r="L11" s="327">
        <v>0</v>
      </c>
      <c r="M11" s="327"/>
      <c r="N11" s="327">
        <f t="shared" si="1"/>
        <v>289.92</v>
      </c>
      <c r="O11" s="327">
        <f t="shared" si="2"/>
        <v>2.6732070739668427E-2</v>
      </c>
      <c r="P11" s="327" t="s">
        <v>5</v>
      </c>
      <c r="Q11" s="327">
        <f>EG_BIOMASS_min[[#This Row],[2021]]</f>
        <v>6.1999999999999886</v>
      </c>
      <c r="R11" s="327">
        <f t="shared" si="0"/>
        <v>26.732070739668426</v>
      </c>
      <c r="S11" s="327">
        <f t="shared" si="0"/>
        <v>26.732070739668426</v>
      </c>
      <c r="T11" s="327">
        <f t="shared" si="0"/>
        <v>26.732070739668426</v>
      </c>
      <c r="U11" s="327">
        <f t="shared" si="0"/>
        <v>26.732070739668426</v>
      </c>
      <c r="V11" s="327">
        <f t="shared" si="0"/>
        <v>26.732070739668426</v>
      </c>
      <c r="W11" s="327">
        <f t="shared" si="0"/>
        <v>26.732070739668426</v>
      </c>
      <c r="X11" s="327">
        <f t="shared" si="0"/>
        <v>26.732070739668426</v>
      </c>
      <c r="Y11" s="327">
        <f t="shared" si="0"/>
        <v>26.732070739668426</v>
      </c>
      <c r="Z11" s="327">
        <f t="shared" si="0"/>
        <v>26.732070739668426</v>
      </c>
      <c r="AA11" s="327">
        <f t="shared" si="0"/>
        <v>26.732070739668426</v>
      </c>
      <c r="AE11" s="633" t="s">
        <v>10</v>
      </c>
      <c r="AF11" s="416">
        <v>2557.6799999999998</v>
      </c>
    </row>
    <row r="12" spans="1:32">
      <c r="A12" s="327" t="s">
        <v>88</v>
      </c>
      <c r="B12" s="327">
        <f>MAX(SUMIF('Source-MNRE'!$AA$6:$AA$42,EG_BIOMASS_min[[#This Row],[SubGeography2]],'Source-MNRE'!$AD$6:$AD$42),0)</f>
        <v>1.9999999999999991</v>
      </c>
      <c r="C12" s="327">
        <v>0</v>
      </c>
      <c r="D12" s="327">
        <v>0</v>
      </c>
      <c r="E12" s="327">
        <v>0</v>
      </c>
      <c r="F12" s="327">
        <v>0</v>
      </c>
      <c r="G12" s="327">
        <v>0</v>
      </c>
      <c r="H12" s="327">
        <v>0</v>
      </c>
      <c r="I12" s="327">
        <v>0</v>
      </c>
      <c r="J12" s="327">
        <v>0</v>
      </c>
      <c r="K12" s="327">
        <v>0</v>
      </c>
      <c r="L12" s="327">
        <v>0</v>
      </c>
      <c r="M12" s="327"/>
      <c r="N12" s="327">
        <f t="shared" si="1"/>
        <v>14.4</v>
      </c>
      <c r="O12" s="327">
        <f t="shared" si="2"/>
        <v>1.3277518579305511E-3</v>
      </c>
      <c r="P12" s="327" t="s">
        <v>88</v>
      </c>
      <c r="Q12" s="327">
        <f>EG_BIOMASS_min[[#This Row],[2021]]</f>
        <v>1.9999999999999991</v>
      </c>
      <c r="R12" s="327">
        <f t="shared" si="0"/>
        <v>1.3277518579305512</v>
      </c>
      <c r="S12" s="327">
        <f t="shared" si="0"/>
        <v>1.3277518579305512</v>
      </c>
      <c r="T12" s="327">
        <f t="shared" si="0"/>
        <v>1.3277518579305512</v>
      </c>
      <c r="U12" s="327">
        <f t="shared" si="0"/>
        <v>1.3277518579305512</v>
      </c>
      <c r="V12" s="327">
        <f t="shared" si="0"/>
        <v>1.3277518579305512</v>
      </c>
      <c r="W12" s="327">
        <f t="shared" si="0"/>
        <v>1.3277518579305512</v>
      </c>
      <c r="X12" s="327">
        <f t="shared" si="0"/>
        <v>1.3277518579305512</v>
      </c>
      <c r="Y12" s="327">
        <f t="shared" si="0"/>
        <v>1.3277518579305512</v>
      </c>
      <c r="Z12" s="327">
        <f t="shared" si="0"/>
        <v>1.3277518579305512</v>
      </c>
      <c r="AA12" s="327">
        <f t="shared" si="0"/>
        <v>1.3277518579305512</v>
      </c>
      <c r="AE12" s="632" t="s">
        <v>91</v>
      </c>
      <c r="AF12" s="416">
        <v>0.68</v>
      </c>
    </row>
    <row r="13" spans="1:32">
      <c r="A13" s="327" t="s">
        <v>89</v>
      </c>
      <c r="B13" s="327">
        <f>MAX(SUMIF('Source-MNRE'!$AA$6:$AA$42,EG_BIOMASS_min[[#This Row],[SubGeography2]],'Source-MNRE'!$AD$6:$AD$42),0)</f>
        <v>0</v>
      </c>
      <c r="C13" s="327">
        <v>0</v>
      </c>
      <c r="D13" s="327">
        <v>0</v>
      </c>
      <c r="E13" s="327">
        <v>0</v>
      </c>
      <c r="F13" s="327">
        <v>0</v>
      </c>
      <c r="G13" s="327">
        <v>0</v>
      </c>
      <c r="H13" s="327">
        <v>0</v>
      </c>
      <c r="I13" s="327">
        <v>0</v>
      </c>
      <c r="J13" s="327">
        <v>0</v>
      </c>
      <c r="K13" s="327">
        <v>0</v>
      </c>
      <c r="L13" s="327">
        <v>0</v>
      </c>
      <c r="M13" s="327"/>
      <c r="N13" s="327">
        <f t="shared" si="1"/>
        <v>0</v>
      </c>
      <c r="O13" s="327">
        <f t="shared" si="2"/>
        <v>0</v>
      </c>
      <c r="P13" s="327" t="s">
        <v>89</v>
      </c>
      <c r="Q13" s="327">
        <f>EG_BIOMASS_min[[#This Row],[2021]]</f>
        <v>0</v>
      </c>
      <c r="R13" s="327">
        <f t="shared" si="0"/>
        <v>0</v>
      </c>
      <c r="S13" s="327">
        <f t="shared" si="0"/>
        <v>0</v>
      </c>
      <c r="T13" s="327">
        <f t="shared" si="0"/>
        <v>0</v>
      </c>
      <c r="U13" s="327">
        <f t="shared" si="0"/>
        <v>0</v>
      </c>
      <c r="V13" s="327">
        <f t="shared" si="0"/>
        <v>0</v>
      </c>
      <c r="W13" s="327">
        <f t="shared" si="0"/>
        <v>0</v>
      </c>
      <c r="X13" s="327">
        <f t="shared" si="0"/>
        <v>0</v>
      </c>
      <c r="Y13" s="327">
        <f t="shared" si="0"/>
        <v>0</v>
      </c>
      <c r="Z13" s="327">
        <f t="shared" si="0"/>
        <v>0</v>
      </c>
      <c r="AA13" s="327">
        <f t="shared" si="0"/>
        <v>0</v>
      </c>
      <c r="AE13" s="633" t="s">
        <v>92</v>
      </c>
      <c r="AF13" s="416">
        <v>0</v>
      </c>
    </row>
    <row r="14" spans="1:32">
      <c r="A14" s="327" t="s">
        <v>20</v>
      </c>
      <c r="B14" s="327">
        <f>MAX(SUMIF('Source-MNRE'!$AA$6:$AA$42,EG_BIOMASS_min[[#This Row],[SubGeography2]],'Source-MNRE'!$AD$6:$AD$42),0)</f>
        <v>0</v>
      </c>
      <c r="C14" s="327">
        <v>0</v>
      </c>
      <c r="D14" s="327">
        <v>0</v>
      </c>
      <c r="E14" s="327">
        <v>0</v>
      </c>
      <c r="F14" s="327">
        <v>0</v>
      </c>
      <c r="G14" s="327">
        <v>0</v>
      </c>
      <c r="H14" s="327">
        <v>0</v>
      </c>
      <c r="I14" s="327">
        <v>0</v>
      </c>
      <c r="J14" s="327">
        <v>0</v>
      </c>
      <c r="K14" s="327">
        <v>0</v>
      </c>
      <c r="L14" s="327">
        <v>0</v>
      </c>
      <c r="M14" s="327"/>
      <c r="N14" s="327">
        <f t="shared" si="1"/>
        <v>8.6</v>
      </c>
      <c r="O14" s="327">
        <f t="shared" si="2"/>
        <v>7.9296291515296798E-4</v>
      </c>
      <c r="P14" s="327" t="s">
        <v>20</v>
      </c>
      <c r="Q14" s="327">
        <f>EG_BIOMASS_min[[#This Row],[2021]]</f>
        <v>0</v>
      </c>
      <c r="R14" s="327">
        <f t="shared" si="0"/>
        <v>0.79296291515296802</v>
      </c>
      <c r="S14" s="327">
        <f t="shared" si="0"/>
        <v>0.79296291515296802</v>
      </c>
      <c r="T14" s="327">
        <f t="shared" si="0"/>
        <v>0.79296291515296802</v>
      </c>
      <c r="U14" s="327">
        <f t="shared" si="0"/>
        <v>0.79296291515296802</v>
      </c>
      <c r="V14" s="327">
        <f t="shared" si="0"/>
        <v>0.79296291515296802</v>
      </c>
      <c r="W14" s="327">
        <f t="shared" si="0"/>
        <v>0.79296291515296802</v>
      </c>
      <c r="X14" s="327">
        <f t="shared" si="0"/>
        <v>0.79296291515296802</v>
      </c>
      <c r="Y14" s="327">
        <f t="shared" si="0"/>
        <v>0.79296291515296802</v>
      </c>
      <c r="Z14" s="327">
        <f t="shared" si="0"/>
        <v>0.79296291515296802</v>
      </c>
      <c r="AA14" s="327">
        <f t="shared" si="0"/>
        <v>0.79296291515296802</v>
      </c>
      <c r="AE14" s="632" t="s">
        <v>29</v>
      </c>
      <c r="AF14" s="416">
        <v>0</v>
      </c>
    </row>
    <row r="15" spans="1:32">
      <c r="A15" s="327" t="s">
        <v>11</v>
      </c>
      <c r="B15" s="327">
        <f>MAX(SUMIF('Source-MNRE'!$AA$6:$AA$42,EG_BIOMASS_min[[#This Row],[SubGeography2]],'Source-MNRE'!$AD$6:$AD$42),0)</f>
        <v>5.5</v>
      </c>
      <c r="C15" s="327">
        <v>0</v>
      </c>
      <c r="D15" s="327">
        <v>0</v>
      </c>
      <c r="E15" s="327">
        <v>0</v>
      </c>
      <c r="F15" s="327">
        <v>0</v>
      </c>
      <c r="G15" s="327">
        <v>0</v>
      </c>
      <c r="H15" s="327">
        <v>0</v>
      </c>
      <c r="I15" s="327">
        <v>0</v>
      </c>
      <c r="J15" s="327">
        <v>0</v>
      </c>
      <c r="K15" s="327">
        <v>0</v>
      </c>
      <c r="L15" s="327">
        <v>0</v>
      </c>
      <c r="M15" s="327"/>
      <c r="N15" s="327">
        <f t="shared" si="1"/>
        <v>1899</v>
      </c>
      <c r="O15" s="327">
        <f t="shared" si="2"/>
        <v>0.17509727626459143</v>
      </c>
      <c r="P15" s="327" t="s">
        <v>11</v>
      </c>
      <c r="Q15" s="327">
        <f>EG_BIOMASS_min[[#This Row],[2021]]</f>
        <v>5.5</v>
      </c>
      <c r="R15" s="327">
        <f t="shared" si="0"/>
        <v>175.09727626459141</v>
      </c>
      <c r="S15" s="327">
        <f t="shared" si="0"/>
        <v>175.09727626459141</v>
      </c>
      <c r="T15" s="327">
        <f t="shared" si="0"/>
        <v>175.09727626459141</v>
      </c>
      <c r="U15" s="327">
        <f t="shared" si="0"/>
        <v>175.09727626459141</v>
      </c>
      <c r="V15" s="327">
        <f t="shared" si="0"/>
        <v>175.09727626459141</v>
      </c>
      <c r="W15" s="327">
        <f t="shared" si="0"/>
        <v>175.09727626459141</v>
      </c>
      <c r="X15" s="327">
        <f t="shared" si="0"/>
        <v>175.09727626459141</v>
      </c>
      <c r="Y15" s="327">
        <f t="shared" si="0"/>
        <v>175.09727626459141</v>
      </c>
      <c r="Z15" s="327">
        <f t="shared" si="0"/>
        <v>175.09727626459141</v>
      </c>
      <c r="AA15" s="327">
        <f t="shared" si="0"/>
        <v>175.09727626459141</v>
      </c>
      <c r="AE15" s="633" t="s">
        <v>90</v>
      </c>
      <c r="AF15" s="416">
        <v>27.6</v>
      </c>
    </row>
    <row r="16" spans="1:32">
      <c r="A16" s="327" t="s">
        <v>12</v>
      </c>
      <c r="B16" s="327">
        <f>MAX(SUMIF('Source-MNRE'!$AA$6:$AA$42,EG_BIOMASS_min[[#This Row],[SubGeography2]],'Source-MNRE'!$AD$6:$AD$42),0)</f>
        <v>1.55</v>
      </c>
      <c r="C16" s="327">
        <v>0</v>
      </c>
      <c r="D16" s="327">
        <v>0</v>
      </c>
      <c r="E16" s="327">
        <v>0</v>
      </c>
      <c r="F16" s="327">
        <v>0</v>
      </c>
      <c r="G16" s="327">
        <v>0</v>
      </c>
      <c r="H16" s="327">
        <v>0</v>
      </c>
      <c r="I16" s="327">
        <v>0</v>
      </c>
      <c r="J16" s="327">
        <v>0</v>
      </c>
      <c r="K16" s="327">
        <v>0</v>
      </c>
      <c r="L16" s="327">
        <v>0</v>
      </c>
      <c r="M16" s="327"/>
      <c r="N16" s="327">
        <f t="shared" si="1"/>
        <v>1.44</v>
      </c>
      <c r="O16" s="327">
        <f t="shared" si="2"/>
        <v>1.3277518579305511E-4</v>
      </c>
      <c r="P16" s="327" t="s">
        <v>12</v>
      </c>
      <c r="Q16" s="327">
        <f>EG_BIOMASS_min[[#This Row],[2021]]</f>
        <v>1.55</v>
      </c>
      <c r="R16" s="327">
        <f t="shared" si="0"/>
        <v>0.13277518579305511</v>
      </c>
      <c r="S16" s="327">
        <f t="shared" si="0"/>
        <v>0.13277518579305511</v>
      </c>
      <c r="T16" s="327">
        <f t="shared" si="0"/>
        <v>0.13277518579305511</v>
      </c>
      <c r="U16" s="327">
        <f t="shared" si="0"/>
        <v>0.13277518579305511</v>
      </c>
      <c r="V16" s="327">
        <f t="shared" si="0"/>
        <v>0.13277518579305511</v>
      </c>
      <c r="W16" s="327">
        <f t="shared" si="0"/>
        <v>0.13277518579305511</v>
      </c>
      <c r="X16" s="327">
        <f t="shared" si="0"/>
        <v>0.13277518579305511</v>
      </c>
      <c r="Y16" s="327">
        <f t="shared" si="0"/>
        <v>0.13277518579305511</v>
      </c>
      <c r="Z16" s="327">
        <f t="shared" si="0"/>
        <v>0.13277518579305511</v>
      </c>
      <c r="AA16" s="327">
        <f t="shared" si="0"/>
        <v>0.13277518579305511</v>
      </c>
      <c r="AE16" s="632" t="s">
        <v>14</v>
      </c>
      <c r="AF16" s="416">
        <v>622.48</v>
      </c>
    </row>
    <row r="17" spans="1:32">
      <c r="A17" s="327" t="s">
        <v>9</v>
      </c>
      <c r="B17" s="327">
        <f>MAX(SUMIF('Source-MNRE'!$AA$6:$AA$42,EG_BIOMASS_min[[#This Row],[SubGeography2]],'Source-MNRE'!$AD$6:$AD$42),0)</f>
        <v>2</v>
      </c>
      <c r="C17" s="327">
        <v>0</v>
      </c>
      <c r="D17" s="327">
        <v>0</v>
      </c>
      <c r="E17" s="327">
        <v>0</v>
      </c>
      <c r="F17" s="327">
        <v>0</v>
      </c>
      <c r="G17" s="327">
        <v>0</v>
      </c>
      <c r="H17" s="327">
        <v>0</v>
      </c>
      <c r="I17" s="327">
        <v>0</v>
      </c>
      <c r="J17" s="327">
        <v>0</v>
      </c>
      <c r="K17" s="327">
        <v>0</v>
      </c>
      <c r="L17" s="327">
        <v>0</v>
      </c>
      <c r="M17" s="327"/>
      <c r="N17" s="327">
        <f t="shared" si="1"/>
        <v>148.5</v>
      </c>
      <c r="O17" s="327">
        <f t="shared" si="2"/>
        <v>1.3692441034908808E-2</v>
      </c>
      <c r="P17" s="327" t="s">
        <v>9</v>
      </c>
      <c r="Q17" s="327">
        <f>EG_BIOMASS_min[[#This Row],[2021]]</f>
        <v>2</v>
      </c>
      <c r="R17" s="327">
        <f t="shared" si="0"/>
        <v>13.692441034908809</v>
      </c>
      <c r="S17" s="327">
        <f t="shared" si="0"/>
        <v>13.692441034908809</v>
      </c>
      <c r="T17" s="327">
        <f t="shared" si="0"/>
        <v>13.692441034908809</v>
      </c>
      <c r="U17" s="327">
        <f t="shared" si="0"/>
        <v>13.692441034908809</v>
      </c>
      <c r="V17" s="327">
        <f t="shared" si="0"/>
        <v>13.692441034908809</v>
      </c>
      <c r="W17" s="327">
        <f t="shared" si="0"/>
        <v>13.692441034908809</v>
      </c>
      <c r="X17" s="327">
        <f t="shared" si="0"/>
        <v>13.692441034908809</v>
      </c>
      <c r="Y17" s="327">
        <f t="shared" si="0"/>
        <v>13.692441034908809</v>
      </c>
      <c r="Z17" s="327">
        <f t="shared" si="0"/>
        <v>13.692441034908809</v>
      </c>
      <c r="AA17" s="327">
        <f t="shared" si="0"/>
        <v>13.692441034908809</v>
      </c>
      <c r="AE17" s="633" t="s">
        <v>11</v>
      </c>
      <c r="AF17" s="416">
        <v>1899</v>
      </c>
    </row>
    <row r="18" spans="1:32">
      <c r="A18" s="327" t="s">
        <v>10</v>
      </c>
      <c r="B18" s="327">
        <f>MAX(SUMIF('Source-MNRE'!$AA$6:$AA$42,EG_BIOMASS_min[[#This Row],[SubGeography2]],'Source-MNRE'!$AD$6:$AD$42),0)</f>
        <v>68.300000000000182</v>
      </c>
      <c r="C18" s="327">
        <v>0</v>
      </c>
      <c r="D18" s="327">
        <v>0</v>
      </c>
      <c r="E18" s="327">
        <v>0</v>
      </c>
      <c r="F18" s="327">
        <v>0</v>
      </c>
      <c r="G18" s="327">
        <v>0</v>
      </c>
      <c r="H18" s="327">
        <v>0</v>
      </c>
      <c r="I18" s="327">
        <v>0</v>
      </c>
      <c r="J18" s="327">
        <v>0</v>
      </c>
      <c r="K18" s="327">
        <v>0</v>
      </c>
      <c r="L18" s="327">
        <v>0</v>
      </c>
      <c r="M18" s="327"/>
      <c r="N18" s="327">
        <f t="shared" si="1"/>
        <v>2557.6799999999998</v>
      </c>
      <c r="O18" s="327">
        <f t="shared" si="2"/>
        <v>0.23583085916609803</v>
      </c>
      <c r="P18" s="327" t="s">
        <v>10</v>
      </c>
      <c r="Q18" s="327">
        <f>EG_BIOMASS_min[[#This Row],[2021]]</f>
        <v>68.300000000000182</v>
      </c>
      <c r="R18" s="327">
        <f t="shared" si="0"/>
        <v>235.83085916609804</v>
      </c>
      <c r="S18" s="327">
        <f t="shared" si="0"/>
        <v>235.83085916609804</v>
      </c>
      <c r="T18" s="327">
        <f t="shared" si="0"/>
        <v>235.83085916609804</v>
      </c>
      <c r="U18" s="327">
        <f t="shared" si="0"/>
        <v>235.83085916609804</v>
      </c>
      <c r="V18" s="327">
        <f t="shared" si="0"/>
        <v>235.83085916609804</v>
      </c>
      <c r="W18" s="327">
        <f t="shared" si="0"/>
        <v>235.83085916609804</v>
      </c>
      <c r="X18" s="327">
        <f t="shared" si="0"/>
        <v>235.83085916609804</v>
      </c>
      <c r="Y18" s="327">
        <f t="shared" si="0"/>
        <v>235.83085916609804</v>
      </c>
      <c r="Z18" s="327">
        <f t="shared" si="0"/>
        <v>235.83085916609804</v>
      </c>
      <c r="AA18" s="327">
        <f t="shared" si="0"/>
        <v>235.83085916609804</v>
      </c>
      <c r="AE18" s="632" t="s">
        <v>12</v>
      </c>
      <c r="AF18" s="416">
        <v>1.44</v>
      </c>
    </row>
    <row r="19" spans="1:32">
      <c r="A19" s="327" t="s">
        <v>16</v>
      </c>
      <c r="B19" s="327">
        <f>MAX(SUMIF('Source-MNRE'!$AA$6:$AA$42,EG_BIOMASS_min[[#This Row],[SubGeography2]],'Source-MNRE'!$AD$6:$AD$42),0)</f>
        <v>0</v>
      </c>
      <c r="C19" s="327">
        <v>0</v>
      </c>
      <c r="D19" s="327">
        <v>0</v>
      </c>
      <c r="E19" s="327">
        <v>0</v>
      </c>
      <c r="F19" s="327">
        <v>0</v>
      </c>
      <c r="G19" s="327">
        <v>0</v>
      </c>
      <c r="H19" s="327">
        <v>0</v>
      </c>
      <c r="I19" s="327">
        <v>0</v>
      </c>
      <c r="J19" s="327">
        <v>0</v>
      </c>
      <c r="K19" s="327">
        <v>0</v>
      </c>
      <c r="L19" s="327">
        <v>0</v>
      </c>
      <c r="M19" s="327"/>
      <c r="N19" s="327">
        <f t="shared" si="1"/>
        <v>68.039999999999992</v>
      </c>
      <c r="O19" s="327">
        <f t="shared" si="2"/>
        <v>6.2736275287218531E-3</v>
      </c>
      <c r="P19" s="327" t="s">
        <v>16</v>
      </c>
      <c r="Q19" s="327">
        <f>EG_BIOMASS_min[[#This Row],[2021]]</f>
        <v>0</v>
      </c>
      <c r="R19" s="327">
        <f t="shared" si="0"/>
        <v>6.2736275287218533</v>
      </c>
      <c r="S19" s="327">
        <f t="shared" si="0"/>
        <v>6.2736275287218533</v>
      </c>
      <c r="T19" s="327">
        <f t="shared" si="0"/>
        <v>6.2736275287218533</v>
      </c>
      <c r="U19" s="327">
        <f t="shared" si="0"/>
        <v>6.2736275287218533</v>
      </c>
      <c r="V19" s="327">
        <f t="shared" si="0"/>
        <v>6.2736275287218533</v>
      </c>
      <c r="W19" s="327">
        <f t="shared" si="0"/>
        <v>6.2736275287218533</v>
      </c>
      <c r="X19" s="327">
        <f t="shared" si="0"/>
        <v>6.2736275287218533</v>
      </c>
      <c r="Y19" s="327">
        <f t="shared" si="0"/>
        <v>6.2736275287218533</v>
      </c>
      <c r="Z19" s="327">
        <f t="shared" si="0"/>
        <v>6.2736275287218533</v>
      </c>
      <c r="AA19" s="327">
        <f t="shared" si="0"/>
        <v>6.2736275287218533</v>
      </c>
      <c r="AE19" s="633" t="s">
        <v>13</v>
      </c>
      <c r="AF19" s="416">
        <v>1038.8999999999999</v>
      </c>
    </row>
    <row r="20" spans="1:32">
      <c r="A20" s="327" t="s">
        <v>1</v>
      </c>
      <c r="B20" s="327">
        <f>MAX(SUMIF('Source-MNRE'!$AA$6:$AA$42,EG_BIOMASS_min[[#This Row],[SubGeography2]],'Source-MNRE'!$AD$6:$AD$42),0)</f>
        <v>156.34999999999997</v>
      </c>
      <c r="C20" s="327">
        <v>0</v>
      </c>
      <c r="D20" s="327">
        <v>0</v>
      </c>
      <c r="E20" s="327">
        <v>0</v>
      </c>
      <c r="F20" s="327">
        <v>0</v>
      </c>
      <c r="G20" s="327">
        <v>0</v>
      </c>
      <c r="H20" s="327">
        <v>0</v>
      </c>
      <c r="I20" s="327">
        <v>0</v>
      </c>
      <c r="J20" s="327">
        <v>0</v>
      </c>
      <c r="K20" s="327">
        <v>0</v>
      </c>
      <c r="L20" s="327">
        <v>0</v>
      </c>
      <c r="M20" s="327"/>
      <c r="N20" s="327">
        <f t="shared" si="1"/>
        <v>461.70000000000005</v>
      </c>
      <c r="O20" s="327">
        <f t="shared" si="2"/>
        <v>4.2571043944898294E-2</v>
      </c>
      <c r="P20" s="327" t="s">
        <v>1</v>
      </c>
      <c r="Q20" s="327">
        <f>EG_BIOMASS_min[[#This Row],[2021]]</f>
        <v>156.34999999999997</v>
      </c>
      <c r="R20" s="327">
        <f t="shared" si="0"/>
        <v>42.571043944898292</v>
      </c>
      <c r="S20" s="327">
        <f t="shared" si="0"/>
        <v>42.571043944898292</v>
      </c>
      <c r="T20" s="327">
        <f t="shared" si="0"/>
        <v>42.571043944898292</v>
      </c>
      <c r="U20" s="327">
        <f t="shared" si="0"/>
        <v>42.571043944898292</v>
      </c>
      <c r="V20" s="327">
        <f t="shared" si="0"/>
        <v>42.571043944898292</v>
      </c>
      <c r="W20" s="327">
        <f t="shared" si="0"/>
        <v>42.571043944898292</v>
      </c>
      <c r="X20" s="327">
        <f t="shared" si="0"/>
        <v>42.571043944898292</v>
      </c>
      <c r="Y20" s="327">
        <f t="shared" si="0"/>
        <v>42.571043944898292</v>
      </c>
      <c r="Z20" s="327">
        <f t="shared" si="0"/>
        <v>42.571043944898292</v>
      </c>
      <c r="AA20" s="327">
        <f t="shared" si="0"/>
        <v>42.571043944898292</v>
      </c>
      <c r="AE20" s="632" t="s">
        <v>15</v>
      </c>
      <c r="AF20" s="416">
        <v>212.1</v>
      </c>
    </row>
    <row r="21" spans="1:32">
      <c r="A21" s="327" t="s">
        <v>6</v>
      </c>
      <c r="B21" s="327">
        <f>MAX(SUMIF('Source-MNRE'!$AA$6:$AA$42,EG_BIOMASS_min[[#This Row],[SubGeography2]],'Source-MNRE'!$AD$6:$AD$42),0)</f>
        <v>0</v>
      </c>
      <c r="C21" s="327">
        <v>0</v>
      </c>
      <c r="D21" s="327">
        <v>0</v>
      </c>
      <c r="E21" s="327">
        <v>0</v>
      </c>
      <c r="F21" s="327">
        <v>0</v>
      </c>
      <c r="G21" s="327">
        <v>0</v>
      </c>
      <c r="H21" s="327">
        <v>0</v>
      </c>
      <c r="I21" s="327">
        <v>0</v>
      </c>
      <c r="J21" s="327">
        <v>0</v>
      </c>
      <c r="K21" s="327">
        <v>0</v>
      </c>
      <c r="L21" s="327">
        <v>0</v>
      </c>
      <c r="M21" s="327"/>
      <c r="N21" s="327">
        <f t="shared" si="1"/>
        <v>123.3</v>
      </c>
      <c r="O21" s="327">
        <f t="shared" si="2"/>
        <v>1.1368875283530342E-2</v>
      </c>
      <c r="P21" s="327" t="s">
        <v>6</v>
      </c>
      <c r="Q21" s="327">
        <f>EG_BIOMASS_min[[#This Row],[2021]]</f>
        <v>0</v>
      </c>
      <c r="R21" s="327">
        <f t="shared" si="0"/>
        <v>11.368875283530341</v>
      </c>
      <c r="S21" s="327">
        <f t="shared" si="0"/>
        <v>11.368875283530341</v>
      </c>
      <c r="T21" s="327">
        <f t="shared" si="0"/>
        <v>11.368875283530341</v>
      </c>
      <c r="U21" s="327">
        <f t="shared" si="0"/>
        <v>11.368875283530341</v>
      </c>
      <c r="V21" s="327">
        <f t="shared" si="0"/>
        <v>11.368875283530341</v>
      </c>
      <c r="W21" s="327">
        <f t="shared" si="0"/>
        <v>11.368875283530341</v>
      </c>
      <c r="X21" s="327">
        <f t="shared" si="0"/>
        <v>11.368875283530341</v>
      </c>
      <c r="Y21" s="327">
        <f t="shared" si="0"/>
        <v>11.368875283530341</v>
      </c>
      <c r="Z21" s="327">
        <f t="shared" si="0"/>
        <v>11.368875283530341</v>
      </c>
      <c r="AA21" s="327">
        <f t="shared" si="0"/>
        <v>11.368875283530341</v>
      </c>
      <c r="AE21" s="633" t="s">
        <v>93</v>
      </c>
      <c r="AF21" s="416">
        <v>104</v>
      </c>
    </row>
    <row r="22" spans="1:32">
      <c r="A22" s="327" t="s">
        <v>13</v>
      </c>
      <c r="B22" s="327">
        <f>MAX(SUMIF('Source-MNRE'!$AA$6:$AA$42,EG_BIOMASS_min[[#This Row],[SubGeography2]],'Source-MNRE'!$AD$6:$AD$42),0)</f>
        <v>15.100000000000023</v>
      </c>
      <c r="C22" s="327">
        <v>0</v>
      </c>
      <c r="D22" s="327">
        <v>0</v>
      </c>
      <c r="E22" s="327">
        <v>0</v>
      </c>
      <c r="F22" s="327">
        <v>0</v>
      </c>
      <c r="G22" s="327">
        <v>0</v>
      </c>
      <c r="H22" s="327">
        <v>0</v>
      </c>
      <c r="I22" s="327">
        <v>0</v>
      </c>
      <c r="J22" s="327">
        <v>0</v>
      </c>
      <c r="K22" s="327">
        <v>0</v>
      </c>
      <c r="L22" s="327">
        <v>0</v>
      </c>
      <c r="M22" s="327"/>
      <c r="N22" s="327">
        <f t="shared" si="1"/>
        <v>1038.8999999999999</v>
      </c>
      <c r="O22" s="327">
        <f t="shared" si="2"/>
        <v>9.57917642502812E-2</v>
      </c>
      <c r="P22" s="327" t="s">
        <v>13</v>
      </c>
      <c r="Q22" s="327">
        <f>EG_BIOMASS_min[[#This Row],[2021]]</f>
        <v>15.100000000000023</v>
      </c>
      <c r="R22" s="327">
        <f t="shared" si="0"/>
        <v>95.791764250281204</v>
      </c>
      <c r="S22" s="327">
        <f t="shared" si="0"/>
        <v>95.791764250281204</v>
      </c>
      <c r="T22" s="327">
        <f t="shared" si="0"/>
        <v>95.791764250281204</v>
      </c>
      <c r="U22" s="327">
        <f t="shared" si="0"/>
        <v>95.791764250281204</v>
      </c>
      <c r="V22" s="327">
        <f t="shared" si="0"/>
        <v>95.791764250281204</v>
      </c>
      <c r="W22" s="327">
        <f t="shared" si="0"/>
        <v>95.791764250281204</v>
      </c>
      <c r="X22" s="327">
        <f t="shared" si="0"/>
        <v>95.791764250281204</v>
      </c>
      <c r="Y22" s="327">
        <f t="shared" si="0"/>
        <v>95.791764250281204</v>
      </c>
      <c r="Z22" s="327">
        <f t="shared" si="0"/>
        <v>95.791764250281204</v>
      </c>
      <c r="AA22" s="327">
        <f t="shared" si="0"/>
        <v>95.791764250281204</v>
      </c>
      <c r="AE22" s="632" t="s">
        <v>5</v>
      </c>
      <c r="AF22" s="416">
        <v>289.92</v>
      </c>
    </row>
    <row r="23" spans="1:32">
      <c r="A23" s="327" t="s">
        <v>15</v>
      </c>
      <c r="B23" s="327">
        <f>MAX(SUMIF('Source-MNRE'!$AA$6:$AA$42,EG_BIOMASS_min[[#This Row],[SubGeography2]],'Source-MNRE'!$AD$6:$AD$42),0)</f>
        <v>20.799999999999983</v>
      </c>
      <c r="C23" s="327">
        <v>0</v>
      </c>
      <c r="D23" s="327">
        <v>0</v>
      </c>
      <c r="E23" s="327">
        <v>0</v>
      </c>
      <c r="F23" s="327">
        <v>0</v>
      </c>
      <c r="G23" s="327">
        <v>0</v>
      </c>
      <c r="H23" s="327">
        <v>0</v>
      </c>
      <c r="I23" s="327">
        <v>0</v>
      </c>
      <c r="J23" s="327">
        <v>0</v>
      </c>
      <c r="K23" s="327">
        <v>0</v>
      </c>
      <c r="L23" s="327">
        <v>0</v>
      </c>
      <c r="M23" s="327"/>
      <c r="N23" s="327">
        <f t="shared" si="1"/>
        <v>212.1</v>
      </c>
      <c r="O23" s="327">
        <f t="shared" si="2"/>
        <v>1.9556678407435406E-2</v>
      </c>
      <c r="P23" s="327" t="s">
        <v>15</v>
      </c>
      <c r="Q23" s="327">
        <f>EG_BIOMASS_min[[#This Row],[2021]]</f>
        <v>20.799999999999983</v>
      </c>
      <c r="R23" s="327">
        <f t="shared" si="0"/>
        <v>19.556678407435406</v>
      </c>
      <c r="S23" s="327">
        <f t="shared" si="0"/>
        <v>19.556678407435406</v>
      </c>
      <c r="T23" s="327">
        <f t="shared" si="0"/>
        <v>19.556678407435406</v>
      </c>
      <c r="U23" s="327">
        <f t="shared" si="0"/>
        <v>19.556678407435406</v>
      </c>
      <c r="V23" s="327">
        <f t="shared" si="0"/>
        <v>19.556678407435406</v>
      </c>
      <c r="W23" s="327">
        <f t="shared" si="0"/>
        <v>19.556678407435406</v>
      </c>
      <c r="X23" s="327">
        <f t="shared" si="0"/>
        <v>19.556678407435406</v>
      </c>
      <c r="Y23" s="327">
        <f t="shared" si="0"/>
        <v>19.556678407435406</v>
      </c>
      <c r="Z23" s="327">
        <f t="shared" si="0"/>
        <v>19.556678407435406</v>
      </c>
      <c r="AA23" s="327">
        <f t="shared" si="0"/>
        <v>19.556678407435406</v>
      </c>
      <c r="AE23" s="633" t="s">
        <v>88</v>
      </c>
      <c r="AF23" s="416">
        <v>14.4</v>
      </c>
    </row>
    <row r="24" spans="1:32">
      <c r="A24" s="327" t="s">
        <v>0</v>
      </c>
      <c r="B24" s="327">
        <f>MAX(SUMIF('Source-MNRE'!$AA$6:$AA$42,EG_BIOMASS_min[[#This Row],[SubGeography2]],'Source-MNRE'!$AD$6:$AD$42),0)</f>
        <v>1.75</v>
      </c>
      <c r="C24" s="327">
        <v>0</v>
      </c>
      <c r="D24" s="327">
        <v>0</v>
      </c>
      <c r="E24" s="327">
        <v>0</v>
      </c>
      <c r="F24" s="327">
        <v>0</v>
      </c>
      <c r="G24" s="327">
        <v>0</v>
      </c>
      <c r="H24" s="327">
        <v>0</v>
      </c>
      <c r="I24" s="327">
        <v>0</v>
      </c>
      <c r="J24" s="327">
        <v>0</v>
      </c>
      <c r="K24" s="327">
        <v>0</v>
      </c>
      <c r="L24" s="327">
        <v>0</v>
      </c>
      <c r="M24" s="327"/>
      <c r="N24" s="327">
        <f t="shared" si="1"/>
        <v>2273.5200000000004</v>
      </c>
      <c r="O24" s="327">
        <f t="shared" si="2"/>
        <v>0.20962988916960187</v>
      </c>
      <c r="P24" s="327" t="s">
        <v>0</v>
      </c>
      <c r="Q24" s="327">
        <f>EG_BIOMASS_min[[#This Row],[2021]]</f>
        <v>1.75</v>
      </c>
      <c r="R24" s="327">
        <f t="shared" si="0"/>
        <v>209.62988916960188</v>
      </c>
      <c r="S24" s="327">
        <f t="shared" si="0"/>
        <v>209.62988916960188</v>
      </c>
      <c r="T24" s="327">
        <f t="shared" si="0"/>
        <v>209.62988916960188</v>
      </c>
      <c r="U24" s="327">
        <f t="shared" si="0"/>
        <v>209.62988916960188</v>
      </c>
      <c r="V24" s="327">
        <f t="shared" si="0"/>
        <v>209.62988916960188</v>
      </c>
      <c r="W24" s="327">
        <f t="shared" si="0"/>
        <v>209.62988916960188</v>
      </c>
      <c r="X24" s="327">
        <f t="shared" si="0"/>
        <v>209.62988916960188</v>
      </c>
      <c r="Y24" s="327">
        <f t="shared" si="0"/>
        <v>209.62988916960188</v>
      </c>
      <c r="Z24" s="327">
        <f t="shared" si="0"/>
        <v>209.62988916960188</v>
      </c>
      <c r="AA24" s="327">
        <f t="shared" si="0"/>
        <v>209.62988916960188</v>
      </c>
      <c r="AE24" s="632" t="s">
        <v>89</v>
      </c>
      <c r="AF24" s="416">
        <v>0</v>
      </c>
    </row>
    <row r="25" spans="1:32">
      <c r="A25" s="327" t="s">
        <v>4</v>
      </c>
      <c r="B25" s="327">
        <f>MAX(SUMIF('Source-MNRE'!$AA$6:$AA$42,EG_BIOMASS_min[[#This Row],[SubGeography2]],'Source-MNRE'!$AD$6:$AD$42),0)</f>
        <v>0</v>
      </c>
      <c r="C25" s="327">
        <v>0</v>
      </c>
      <c r="D25" s="327">
        <v>0</v>
      </c>
      <c r="E25" s="327">
        <v>0</v>
      </c>
      <c r="F25" s="327">
        <v>0</v>
      </c>
      <c r="G25" s="327">
        <v>0</v>
      </c>
      <c r="H25" s="327">
        <v>0</v>
      </c>
      <c r="I25" s="327">
        <v>0</v>
      </c>
      <c r="J25" s="327">
        <v>0</v>
      </c>
      <c r="K25" s="327">
        <v>0</v>
      </c>
      <c r="L25" s="327">
        <v>0</v>
      </c>
      <c r="M25" s="327"/>
      <c r="N25" s="327">
        <f t="shared" si="1"/>
        <v>188</v>
      </c>
      <c r="O25" s="327">
        <f t="shared" si="2"/>
        <v>1.7334538145204414E-2</v>
      </c>
      <c r="P25" s="327" t="s">
        <v>4</v>
      </c>
      <c r="Q25" s="327">
        <f>EG_BIOMASS_min[[#This Row],[2021]]</f>
        <v>0</v>
      </c>
      <c r="R25" s="327">
        <f t="shared" si="0"/>
        <v>17.334538145204416</v>
      </c>
      <c r="S25" s="327">
        <f t="shared" si="0"/>
        <v>17.334538145204416</v>
      </c>
      <c r="T25" s="327">
        <f t="shared" si="0"/>
        <v>17.334538145204416</v>
      </c>
      <c r="U25" s="327">
        <f t="shared" si="0"/>
        <v>17.334538145204416</v>
      </c>
      <c r="V25" s="327">
        <f t="shared" si="0"/>
        <v>17.334538145204416</v>
      </c>
      <c r="W25" s="327">
        <f t="shared" si="0"/>
        <v>17.334538145204416</v>
      </c>
      <c r="X25" s="327">
        <f t="shared" si="0"/>
        <v>17.334538145204416</v>
      </c>
      <c r="Y25" s="327">
        <f t="shared" si="0"/>
        <v>17.334538145204416</v>
      </c>
      <c r="Z25" s="327">
        <f t="shared" si="0"/>
        <v>17.334538145204416</v>
      </c>
      <c r="AA25" s="327">
        <f t="shared" si="0"/>
        <v>17.334538145204416</v>
      </c>
      <c r="AE25" s="633" t="s">
        <v>1</v>
      </c>
      <c r="AF25" s="416">
        <v>461.70000000000005</v>
      </c>
    </row>
    <row r="26" spans="1:32">
      <c r="A26" s="327" t="s">
        <v>17</v>
      </c>
      <c r="B26" s="327">
        <f>MAX(SUMIF('Source-MNRE'!$AA$6:$AA$42,EG_BIOMASS_min[[#This Row],[SubGeography2]],'Source-MNRE'!$AD$6:$AD$42),0)</f>
        <v>0</v>
      </c>
      <c r="C26" s="327">
        <v>0</v>
      </c>
      <c r="D26" s="327">
        <v>0</v>
      </c>
      <c r="E26" s="327">
        <v>0</v>
      </c>
      <c r="F26" s="327">
        <v>0</v>
      </c>
      <c r="G26" s="327">
        <v>0</v>
      </c>
      <c r="H26" s="327">
        <v>0</v>
      </c>
      <c r="I26" s="327">
        <v>0</v>
      </c>
      <c r="J26" s="327">
        <v>0</v>
      </c>
      <c r="K26" s="327">
        <v>0</v>
      </c>
      <c r="L26" s="327">
        <v>0</v>
      </c>
      <c r="M26" s="327"/>
      <c r="N26" s="327">
        <f t="shared" si="1"/>
        <v>339.84000000000003</v>
      </c>
      <c r="O26" s="327">
        <f t="shared" si="2"/>
        <v>3.1334943847161005E-2</v>
      </c>
      <c r="P26" s="327" t="s">
        <v>17</v>
      </c>
      <c r="Q26" s="327">
        <f>EG_BIOMASS_min[[#This Row],[2021]]</f>
        <v>0</v>
      </c>
      <c r="R26" s="327">
        <f t="shared" si="0"/>
        <v>31.334943847161004</v>
      </c>
      <c r="S26" s="327">
        <f t="shared" si="0"/>
        <v>31.334943847161004</v>
      </c>
      <c r="T26" s="327">
        <f t="shared" si="0"/>
        <v>31.334943847161004</v>
      </c>
      <c r="U26" s="327">
        <f t="shared" si="0"/>
        <v>31.334943847161004</v>
      </c>
      <c r="V26" s="327">
        <f t="shared" si="0"/>
        <v>31.334943847161004</v>
      </c>
      <c r="W26" s="327">
        <f t="shared" si="0"/>
        <v>31.334943847161004</v>
      </c>
      <c r="X26" s="327">
        <f t="shared" si="0"/>
        <v>31.334943847161004</v>
      </c>
      <c r="Y26" s="327">
        <f t="shared" si="0"/>
        <v>31.334943847161004</v>
      </c>
      <c r="Z26" s="327">
        <f t="shared" si="0"/>
        <v>31.334943847161004</v>
      </c>
      <c r="AA26" s="327">
        <f t="shared" si="0"/>
        <v>31.334943847161004</v>
      </c>
      <c r="AE26" s="632" t="s">
        <v>6</v>
      </c>
      <c r="AF26" s="416">
        <v>123.3</v>
      </c>
    </row>
    <row r="27" spans="1:32">
      <c r="A27" s="327" t="s">
        <v>92</v>
      </c>
      <c r="B27" s="327">
        <f>MAX(SUMIF('Source-MNRE'!$AA$6:$AA$42,EG_BIOMASS_min[[#This Row],[SubGeography2]],'Source-MNRE'!$AD$6:$AD$42),0)</f>
        <v>0</v>
      </c>
      <c r="C27" s="327">
        <v>0</v>
      </c>
      <c r="D27" s="327">
        <v>0</v>
      </c>
      <c r="E27" s="327">
        <v>0</v>
      </c>
      <c r="F27" s="327">
        <v>0</v>
      </c>
      <c r="G27" s="327">
        <v>0</v>
      </c>
      <c r="H27" s="327">
        <v>0</v>
      </c>
      <c r="I27" s="327">
        <v>0</v>
      </c>
      <c r="J27" s="327">
        <v>0</v>
      </c>
      <c r="K27" s="327">
        <v>0</v>
      </c>
      <c r="L27" s="327">
        <v>0</v>
      </c>
      <c r="M27" s="327"/>
      <c r="N27" s="327">
        <f t="shared" si="1"/>
        <v>0</v>
      </c>
      <c r="O27" s="327">
        <f t="shared" si="2"/>
        <v>0</v>
      </c>
      <c r="P27" s="327" t="s">
        <v>92</v>
      </c>
      <c r="Q27" s="327">
        <f>EG_BIOMASS_min[[#This Row],[2021]]</f>
        <v>0</v>
      </c>
      <c r="R27" s="327">
        <f t="shared" si="0"/>
        <v>0</v>
      </c>
      <c r="S27" s="327">
        <f t="shared" ref="R27:AA28" si="3">$O27*S$29</f>
        <v>0</v>
      </c>
      <c r="T27" s="327">
        <f t="shared" si="3"/>
        <v>0</v>
      </c>
      <c r="U27" s="327">
        <f t="shared" si="3"/>
        <v>0</v>
      </c>
      <c r="V27" s="327">
        <f t="shared" si="3"/>
        <v>0</v>
      </c>
      <c r="W27" s="327">
        <f t="shared" si="3"/>
        <v>0</v>
      </c>
      <c r="X27" s="327">
        <f t="shared" si="3"/>
        <v>0</v>
      </c>
      <c r="Y27" s="327">
        <f t="shared" si="3"/>
        <v>0</v>
      </c>
      <c r="Z27" s="327">
        <f t="shared" si="3"/>
        <v>0</v>
      </c>
      <c r="AA27" s="327">
        <f t="shared" si="3"/>
        <v>0</v>
      </c>
      <c r="AE27" s="633" t="s">
        <v>0</v>
      </c>
      <c r="AF27" s="416">
        <v>2273.5200000000004</v>
      </c>
    </row>
    <row r="28" spans="1:32">
      <c r="A28" s="327" t="s">
        <v>93</v>
      </c>
      <c r="B28" s="327">
        <f>MAX(SUMIF('Source-MNRE'!$AA$6:$AA$42,EG_BIOMASS_min[[#This Row],[SubGeography2]],'Source-MNRE'!$AD$6:$AD$42),0)</f>
        <v>0</v>
      </c>
      <c r="C28" s="327">
        <v>0</v>
      </c>
      <c r="D28" s="327">
        <v>0</v>
      </c>
      <c r="E28" s="327">
        <v>0</v>
      </c>
      <c r="F28" s="327">
        <v>0</v>
      </c>
      <c r="G28" s="327">
        <v>0</v>
      </c>
      <c r="H28" s="327">
        <v>0</v>
      </c>
      <c r="I28" s="327">
        <v>0</v>
      </c>
      <c r="J28" s="327">
        <v>0</v>
      </c>
      <c r="K28" s="327">
        <v>0</v>
      </c>
      <c r="L28" s="327">
        <v>0</v>
      </c>
      <c r="M28" s="327"/>
      <c r="N28" s="327">
        <f t="shared" si="1"/>
        <v>104</v>
      </c>
      <c r="O28" s="327">
        <f t="shared" si="2"/>
        <v>9.5893189739428685E-3</v>
      </c>
      <c r="P28" s="327" t="s">
        <v>93</v>
      </c>
      <c r="Q28" s="327">
        <f>EG_BIOMASS_min[[#This Row],[2021]]</f>
        <v>0</v>
      </c>
      <c r="R28" s="327">
        <f t="shared" si="3"/>
        <v>9.5893189739428681</v>
      </c>
      <c r="S28" s="327">
        <f t="shared" si="3"/>
        <v>9.5893189739428681</v>
      </c>
      <c r="T28" s="327">
        <f t="shared" si="3"/>
        <v>9.5893189739428681</v>
      </c>
      <c r="U28" s="327">
        <f t="shared" si="3"/>
        <v>9.5893189739428681</v>
      </c>
      <c r="V28" s="327">
        <f t="shared" si="3"/>
        <v>9.5893189739428681</v>
      </c>
      <c r="W28" s="327">
        <f t="shared" si="3"/>
        <v>9.5893189739428681</v>
      </c>
      <c r="X28" s="327">
        <f t="shared" si="3"/>
        <v>9.5893189739428681</v>
      </c>
      <c r="Y28" s="327">
        <f t="shared" si="3"/>
        <v>9.5893189739428681</v>
      </c>
      <c r="Z28" s="327">
        <f t="shared" si="3"/>
        <v>9.5893189739428681</v>
      </c>
      <c r="AA28" s="327">
        <f t="shared" si="3"/>
        <v>9.5893189739428681</v>
      </c>
      <c r="AE28" s="632" t="s">
        <v>4</v>
      </c>
      <c r="AF28" s="416">
        <v>188</v>
      </c>
    </row>
    <row r="29" spans="1:32">
      <c r="N29" s="416" t="s">
        <v>1947</v>
      </c>
      <c r="R29" s="416">
        <f>'MaxCapacity-Input'!D10</f>
        <v>1000</v>
      </c>
      <c r="S29" s="416">
        <f>'MaxCapacity-Input'!E10</f>
        <v>1000</v>
      </c>
      <c r="T29" s="416">
        <f>'MaxCapacity-Input'!F10</f>
        <v>1000</v>
      </c>
      <c r="U29" s="416">
        <f>'MaxCapacity-Input'!G10</f>
        <v>1000</v>
      </c>
      <c r="V29" s="416">
        <f>'MaxCapacity-Input'!H10</f>
        <v>1000</v>
      </c>
      <c r="W29" s="416">
        <f>'MaxCapacity-Input'!I10</f>
        <v>1000</v>
      </c>
      <c r="X29" s="416">
        <f>'MaxCapacity-Input'!J10</f>
        <v>1000</v>
      </c>
      <c r="Y29" s="416">
        <f>'MaxCapacity-Input'!K10</f>
        <v>1000</v>
      </c>
      <c r="Z29" s="416">
        <f>'MaxCapacity-Input'!L10</f>
        <v>1000</v>
      </c>
      <c r="AA29" s="416">
        <f>'MaxCapacity-Input'!M10</f>
        <v>1000</v>
      </c>
    </row>
    <row r="32" spans="1:32">
      <c r="A32" s="326" t="s">
        <v>1478</v>
      </c>
    </row>
    <row r="33" spans="1:29">
      <c r="A33" s="326" t="s">
        <v>1230</v>
      </c>
      <c r="N33" s="39" t="s">
        <v>1256</v>
      </c>
      <c r="P33" s="348" t="s">
        <v>1231</v>
      </c>
    </row>
    <row r="34" spans="1:29">
      <c r="A34" s="327" t="s">
        <v>621</v>
      </c>
      <c r="B34" s="327" t="s">
        <v>618</v>
      </c>
      <c r="C34" s="327" t="s">
        <v>619</v>
      </c>
      <c r="D34" s="327" t="s">
        <v>620</v>
      </c>
      <c r="E34" s="327" t="s">
        <v>660</v>
      </c>
      <c r="F34" s="327" t="s">
        <v>661</v>
      </c>
      <c r="G34" s="327" t="s">
        <v>662</v>
      </c>
      <c r="H34" s="327" t="s">
        <v>663</v>
      </c>
      <c r="I34" s="327" t="s">
        <v>664</v>
      </c>
      <c r="J34" s="327" t="s">
        <v>665</v>
      </c>
      <c r="K34" s="327" t="s">
        <v>666</v>
      </c>
      <c r="L34" s="327" t="s">
        <v>667</v>
      </c>
      <c r="M34" s="327"/>
      <c r="N34" s="327"/>
      <c r="O34" s="327" t="s">
        <v>1237</v>
      </c>
      <c r="P34" s="327" t="s">
        <v>621</v>
      </c>
      <c r="Q34" s="327" t="s">
        <v>618</v>
      </c>
      <c r="R34" s="327" t="s">
        <v>619</v>
      </c>
      <c r="S34" s="327" t="s">
        <v>620</v>
      </c>
      <c r="T34" s="327" t="s">
        <v>660</v>
      </c>
      <c r="U34" s="327" t="s">
        <v>661</v>
      </c>
      <c r="V34" s="327" t="s">
        <v>662</v>
      </c>
      <c r="W34" s="327" t="s">
        <v>663</v>
      </c>
      <c r="X34" s="327" t="s">
        <v>664</v>
      </c>
      <c r="Y34" s="327" t="s">
        <v>665</v>
      </c>
      <c r="Z34" s="327" t="s">
        <v>666</v>
      </c>
      <c r="AA34" s="327" t="s">
        <v>667</v>
      </c>
    </row>
    <row r="35" spans="1:29">
      <c r="A35" s="327" t="s">
        <v>14</v>
      </c>
      <c r="B35" s="327">
        <f>MAX(SUMIF('Source-MNRE'!$AA$6:$AA$42,EG_SH_min[[#This Row],[SubGeography2]],'Source-MNRE'!$AE$6:$AE$42),0)</f>
        <v>0</v>
      </c>
      <c r="C35" s="327">
        <v>0</v>
      </c>
      <c r="D35" s="327">
        <v>0</v>
      </c>
      <c r="E35" s="327">
        <v>0</v>
      </c>
      <c r="F35" s="327">
        <v>0</v>
      </c>
      <c r="G35" s="327">
        <v>0</v>
      </c>
      <c r="H35" s="327">
        <v>0</v>
      </c>
      <c r="I35" s="327">
        <v>0</v>
      </c>
      <c r="J35" s="327">
        <v>0</v>
      </c>
      <c r="K35" s="327">
        <v>0</v>
      </c>
      <c r="L35" s="327">
        <v>0</v>
      </c>
      <c r="M35" s="327"/>
      <c r="N35" s="327">
        <v>162.11000000000001</v>
      </c>
      <c r="O35" s="388">
        <f>N35/SUM($N$35:$N$59)</f>
        <v>3.465440191709751E-2</v>
      </c>
      <c r="P35" s="327" t="s">
        <v>14</v>
      </c>
      <c r="Q35" s="327">
        <f>EG_SH_min[[#This Row],[2021]]</f>
        <v>0</v>
      </c>
      <c r="R35" s="327">
        <f t="shared" ref="R35:AA58" si="4">$O35*R$60</f>
        <v>34.654401917097509</v>
      </c>
      <c r="S35" s="327">
        <f t="shared" si="4"/>
        <v>34.654401917097509</v>
      </c>
      <c r="T35" s="327">
        <f t="shared" si="4"/>
        <v>34.654401917097509</v>
      </c>
      <c r="U35" s="327">
        <f t="shared" si="4"/>
        <v>34.654401917097509</v>
      </c>
      <c r="V35" s="327">
        <f t="shared" si="4"/>
        <v>34.654401917097509</v>
      </c>
      <c r="W35" s="327">
        <f t="shared" si="4"/>
        <v>34.654401917097509</v>
      </c>
      <c r="X35" s="327">
        <f t="shared" si="4"/>
        <v>34.654401917097509</v>
      </c>
      <c r="Y35" s="327">
        <f t="shared" si="4"/>
        <v>34.654401917097509</v>
      </c>
      <c r="Z35" s="327">
        <f t="shared" si="4"/>
        <v>34.654401917097509</v>
      </c>
      <c r="AA35" s="327">
        <f t="shared" si="4"/>
        <v>34.654401917097509</v>
      </c>
      <c r="AC35" s="416" t="e">
        <f>VLOOKUP(EG_SH_max[[#This Row],[SubGeography2]],$P$64:$Q$89,2,FALSE)</f>
        <v>#N/A</v>
      </c>
    </row>
    <row r="36" spans="1:29">
      <c r="A36" s="327" t="s">
        <v>90</v>
      </c>
      <c r="B36" s="327">
        <f>MAX(SUMIF('Source-MNRE'!$AA$6:$AA$42,EG_SH_min[[#This Row],[SubGeography2]],'Source-MNRE'!$AE$6:$AE$42),0)</f>
        <v>0</v>
      </c>
      <c r="C36" s="327">
        <v>0</v>
      </c>
      <c r="D36" s="327">
        <v>0</v>
      </c>
      <c r="E36" s="327">
        <v>0</v>
      </c>
      <c r="F36" s="327">
        <v>0</v>
      </c>
      <c r="G36" s="327">
        <v>0</v>
      </c>
      <c r="H36" s="327">
        <v>0</v>
      </c>
      <c r="I36" s="327">
        <v>0</v>
      </c>
      <c r="J36" s="327">
        <v>0</v>
      </c>
      <c r="K36" s="327">
        <v>0</v>
      </c>
      <c r="L36" s="327">
        <v>0</v>
      </c>
      <c r="M36" s="327"/>
      <c r="N36" s="327">
        <v>304.34499999999997</v>
      </c>
      <c r="O36" s="388">
        <f t="shared" ref="O36:O59" si="5">N36/SUM($N$35:$N$59)</f>
        <v>6.5060107035093698E-2</v>
      </c>
      <c r="P36" s="327" t="s">
        <v>90</v>
      </c>
      <c r="Q36" s="327">
        <f>EG_SH_min[[#This Row],[2021]]</f>
        <v>0</v>
      </c>
      <c r="R36" s="327">
        <f t="shared" si="4"/>
        <v>65.060107035093694</v>
      </c>
      <c r="S36" s="327">
        <f t="shared" si="4"/>
        <v>65.060107035093694</v>
      </c>
      <c r="T36" s="327">
        <f t="shared" si="4"/>
        <v>65.060107035093694</v>
      </c>
      <c r="U36" s="327">
        <f t="shared" si="4"/>
        <v>65.060107035093694</v>
      </c>
      <c r="V36" s="327">
        <f t="shared" si="4"/>
        <v>65.060107035093694</v>
      </c>
      <c r="W36" s="327">
        <f t="shared" si="4"/>
        <v>65.060107035093694</v>
      </c>
      <c r="X36" s="327">
        <f t="shared" si="4"/>
        <v>65.060107035093694</v>
      </c>
      <c r="Y36" s="327">
        <f t="shared" si="4"/>
        <v>65.060107035093694</v>
      </c>
      <c r="Z36" s="327">
        <f t="shared" si="4"/>
        <v>65.060107035093694</v>
      </c>
      <c r="AA36" s="327">
        <f t="shared" si="4"/>
        <v>65.060107035093694</v>
      </c>
      <c r="AC36" s="416" t="e">
        <f>VLOOKUP(EG_SH_max[[#This Row],[SubGeography2]],$P$64:$Q$89,2,FALSE)</f>
        <v>#N/A</v>
      </c>
    </row>
    <row r="37" spans="1:29">
      <c r="A37" s="327" t="s">
        <v>29</v>
      </c>
      <c r="B37" s="327">
        <f>MAX(SUMIF('Source-MNRE'!$AA$6:$AA$42,EG_SH_min[[#This Row],[SubGeography2]],'Source-MNRE'!$AE$6:$AE$42),0)</f>
        <v>0</v>
      </c>
      <c r="C37" s="327">
        <v>0</v>
      </c>
      <c r="D37" s="327">
        <v>0</v>
      </c>
      <c r="E37" s="327">
        <v>0</v>
      </c>
      <c r="F37" s="327">
        <v>0</v>
      </c>
      <c r="G37" s="327">
        <v>0</v>
      </c>
      <c r="H37" s="327">
        <v>0</v>
      </c>
      <c r="I37" s="327">
        <v>0</v>
      </c>
      <c r="J37" s="327">
        <v>0</v>
      </c>
      <c r="K37" s="327">
        <v>0</v>
      </c>
      <c r="L37" s="327">
        <v>0</v>
      </c>
      <c r="M37" s="327"/>
      <c r="N37" s="327">
        <v>34.11</v>
      </c>
      <c r="O37" s="388">
        <f t="shared" si="5"/>
        <v>7.2917256763444325E-3</v>
      </c>
      <c r="P37" s="327" t="s">
        <v>29</v>
      </c>
      <c r="Q37" s="327">
        <f>EG_SH_min[[#This Row],[2021]]</f>
        <v>0</v>
      </c>
      <c r="R37" s="327">
        <f t="shared" si="4"/>
        <v>7.2917256763444325</v>
      </c>
      <c r="S37" s="327">
        <f t="shared" si="4"/>
        <v>7.2917256763444325</v>
      </c>
      <c r="T37" s="327">
        <f t="shared" si="4"/>
        <v>7.2917256763444325</v>
      </c>
      <c r="U37" s="327">
        <f t="shared" si="4"/>
        <v>7.2917256763444325</v>
      </c>
      <c r="V37" s="327">
        <f t="shared" si="4"/>
        <v>7.2917256763444325</v>
      </c>
      <c r="W37" s="327">
        <f t="shared" si="4"/>
        <v>7.2917256763444325</v>
      </c>
      <c r="X37" s="327">
        <f t="shared" si="4"/>
        <v>7.2917256763444325</v>
      </c>
      <c r="Y37" s="327">
        <f t="shared" si="4"/>
        <v>7.2917256763444325</v>
      </c>
      <c r="Z37" s="327">
        <f t="shared" si="4"/>
        <v>7.2917256763444325</v>
      </c>
      <c r="AA37" s="327">
        <f t="shared" si="4"/>
        <v>7.2917256763444325</v>
      </c>
      <c r="AC37" s="416" t="e">
        <f>VLOOKUP(EG_SH_max[[#This Row],[SubGeography2]],$P$64:$Q$89,2,FALSE)</f>
        <v>#N/A</v>
      </c>
    </row>
    <row r="38" spans="1:29">
      <c r="A38" s="327" t="s">
        <v>19</v>
      </c>
      <c r="B38" s="327">
        <f>MAX(SUMIF('Source-MNRE'!$AA$6:$AA$42,EG_SH_min[[#This Row],[SubGeography2]],'Source-MNRE'!$AE$6:$AE$42),0)</f>
        <v>0</v>
      </c>
      <c r="C38" s="327">
        <v>0</v>
      </c>
      <c r="D38" s="327">
        <v>0</v>
      </c>
      <c r="E38" s="327">
        <v>0</v>
      </c>
      <c r="F38" s="327">
        <v>0</v>
      </c>
      <c r="G38" s="327">
        <v>0</v>
      </c>
      <c r="H38" s="327">
        <v>0</v>
      </c>
      <c r="I38" s="327">
        <v>0</v>
      </c>
      <c r="J38" s="327">
        <v>0</v>
      </c>
      <c r="K38" s="327">
        <v>0</v>
      </c>
      <c r="L38" s="327">
        <v>0</v>
      </c>
      <c r="M38" s="327"/>
      <c r="N38" s="327">
        <v>70.7</v>
      </c>
      <c r="O38" s="388">
        <f t="shared" si="5"/>
        <v>1.5113603204853457E-2</v>
      </c>
      <c r="P38" s="327" t="s">
        <v>19</v>
      </c>
      <c r="Q38" s="327">
        <f>EG_SH_min[[#This Row],[2021]]</f>
        <v>0</v>
      </c>
      <c r="R38" s="327">
        <f t="shared" si="4"/>
        <v>15.113603204853456</v>
      </c>
      <c r="S38" s="327">
        <f t="shared" si="4"/>
        <v>15.113603204853456</v>
      </c>
      <c r="T38" s="327">
        <f t="shared" si="4"/>
        <v>15.113603204853456</v>
      </c>
      <c r="U38" s="327">
        <f t="shared" si="4"/>
        <v>15.113603204853456</v>
      </c>
      <c r="V38" s="327">
        <f t="shared" si="4"/>
        <v>15.113603204853456</v>
      </c>
      <c r="W38" s="327">
        <f t="shared" si="4"/>
        <v>15.113603204853456</v>
      </c>
      <c r="X38" s="327">
        <f t="shared" si="4"/>
        <v>15.113603204853456</v>
      </c>
      <c r="Y38" s="327">
        <f t="shared" si="4"/>
        <v>15.113603204853456</v>
      </c>
      <c r="Z38" s="327">
        <f t="shared" si="4"/>
        <v>15.113603204853456</v>
      </c>
      <c r="AA38" s="327">
        <f t="shared" si="4"/>
        <v>15.113603204853456</v>
      </c>
      <c r="AC38" s="416" t="e">
        <f>VLOOKUP(EG_SH_max[[#This Row],[SubGeography2]],$P$64:$Q$89,2,FALSE)</f>
        <v>#N/A</v>
      </c>
    </row>
    <row r="39" spans="1:29">
      <c r="A39" s="327" t="s">
        <v>18</v>
      </c>
      <c r="B39" s="327">
        <f>MAX(SUMIF('Source-MNRE'!$AA$6:$AA$42,EG_SH_min[[#This Row],[SubGeography2]],'Source-MNRE'!$AE$6:$AE$42),0)</f>
        <v>0</v>
      </c>
      <c r="C39" s="327">
        <v>0</v>
      </c>
      <c r="D39" s="327">
        <v>0</v>
      </c>
      <c r="E39" s="327">
        <v>0</v>
      </c>
      <c r="F39" s="327">
        <v>0</v>
      </c>
      <c r="G39" s="327">
        <v>0</v>
      </c>
      <c r="H39" s="327">
        <v>0</v>
      </c>
      <c r="I39" s="327">
        <v>0</v>
      </c>
      <c r="J39" s="327">
        <v>0</v>
      </c>
      <c r="K39" s="327">
        <v>0</v>
      </c>
      <c r="L39" s="327">
        <v>0</v>
      </c>
      <c r="M39" s="327"/>
      <c r="N39" s="327">
        <v>76</v>
      </c>
      <c r="O39" s="388">
        <f t="shared" si="5"/>
        <v>1.6246589017947139E-2</v>
      </c>
      <c r="P39" s="327" t="s">
        <v>18</v>
      </c>
      <c r="Q39" s="327">
        <f>EG_SH_min[[#This Row],[2021]]</f>
        <v>0</v>
      </c>
      <c r="R39" s="327">
        <f t="shared" si="4"/>
        <v>16.246589017947141</v>
      </c>
      <c r="S39" s="327">
        <f t="shared" si="4"/>
        <v>16.246589017947141</v>
      </c>
      <c r="T39" s="327">
        <f t="shared" si="4"/>
        <v>16.246589017947141</v>
      </c>
      <c r="U39" s="327">
        <f t="shared" si="4"/>
        <v>16.246589017947141</v>
      </c>
      <c r="V39" s="327">
        <f t="shared" si="4"/>
        <v>16.246589017947141</v>
      </c>
      <c r="W39" s="327">
        <f t="shared" si="4"/>
        <v>16.246589017947141</v>
      </c>
      <c r="X39" s="327">
        <f t="shared" si="4"/>
        <v>16.246589017947141</v>
      </c>
      <c r="Y39" s="327">
        <f t="shared" si="4"/>
        <v>16.246589017947141</v>
      </c>
      <c r="Z39" s="327">
        <f t="shared" si="4"/>
        <v>16.246589017947141</v>
      </c>
      <c r="AA39" s="327">
        <f t="shared" si="4"/>
        <v>16.246589017947141</v>
      </c>
      <c r="AC39" s="416" t="e">
        <f>VLOOKUP(EG_SH_max[[#This Row],[SubGeography2]],$P$64:$Q$89,2,FALSE)</f>
        <v>#N/A</v>
      </c>
    </row>
    <row r="40" spans="1:29">
      <c r="A40" s="327" t="s">
        <v>91</v>
      </c>
      <c r="B40" s="327">
        <f>MAX(SUMIF('Source-MNRE'!$AA$6:$AA$42,EG_SH_min[[#This Row],[SubGeography2]],'Source-MNRE'!$AE$6:$AE$42),0)</f>
        <v>0</v>
      </c>
      <c r="C40" s="327">
        <v>0</v>
      </c>
      <c r="D40" s="327">
        <v>0</v>
      </c>
      <c r="E40" s="327">
        <v>0</v>
      </c>
      <c r="F40" s="327">
        <v>0</v>
      </c>
      <c r="G40" s="327">
        <v>0</v>
      </c>
      <c r="H40" s="327">
        <v>0</v>
      </c>
      <c r="I40" s="327">
        <v>0</v>
      </c>
      <c r="J40" s="327">
        <v>0</v>
      </c>
      <c r="K40" s="327">
        <v>0</v>
      </c>
      <c r="L40" s="327">
        <v>0</v>
      </c>
      <c r="M40" s="327"/>
      <c r="N40" s="327">
        <v>0.05</v>
      </c>
      <c r="O40" s="388">
        <f t="shared" si="5"/>
        <v>1.068854540654417E-5</v>
      </c>
      <c r="P40" s="327" t="s">
        <v>91</v>
      </c>
      <c r="Q40" s="327">
        <f>EG_SH_min[[#This Row],[2021]]</f>
        <v>0</v>
      </c>
      <c r="R40" s="327">
        <f t="shared" si="4"/>
        <v>1.0688545406544171E-2</v>
      </c>
      <c r="S40" s="327">
        <f t="shared" si="4"/>
        <v>1.0688545406544171E-2</v>
      </c>
      <c r="T40" s="327">
        <f t="shared" si="4"/>
        <v>1.0688545406544171E-2</v>
      </c>
      <c r="U40" s="327">
        <f t="shared" si="4"/>
        <v>1.0688545406544171E-2</v>
      </c>
      <c r="V40" s="327">
        <f t="shared" si="4"/>
        <v>1.0688545406544171E-2</v>
      </c>
      <c r="W40" s="327">
        <f t="shared" si="4"/>
        <v>1.0688545406544171E-2</v>
      </c>
      <c r="X40" s="327">
        <f t="shared" si="4"/>
        <v>1.0688545406544171E-2</v>
      </c>
      <c r="Y40" s="327">
        <f t="shared" si="4"/>
        <v>1.0688545406544171E-2</v>
      </c>
      <c r="Z40" s="327">
        <f t="shared" si="4"/>
        <v>1.0688545406544171E-2</v>
      </c>
      <c r="AA40" s="327">
        <f t="shared" si="4"/>
        <v>1.0688545406544171E-2</v>
      </c>
      <c r="AC40" s="416" t="e">
        <f>VLOOKUP(EG_SH_max[[#This Row],[SubGeography2]],$P$64:$Q$89,2,FALSE)</f>
        <v>#N/A</v>
      </c>
    </row>
    <row r="41" spans="1:29">
      <c r="A41" s="327" t="s">
        <v>8</v>
      </c>
      <c r="B41" s="327">
        <f>MAX(SUMIF('Source-MNRE'!$AA$6:$AA$42,EG_SH_min[[#This Row],[SubGeography2]],'Source-MNRE'!$AE$6:$AE$42),0)</f>
        <v>9.9899999999999949</v>
      </c>
      <c r="C41" s="327">
        <v>0</v>
      </c>
      <c r="D41" s="327">
        <v>0</v>
      </c>
      <c r="E41" s="327">
        <v>0</v>
      </c>
      <c r="F41" s="327">
        <v>0</v>
      </c>
      <c r="G41" s="327">
        <v>0</v>
      </c>
      <c r="H41" s="327">
        <v>0</v>
      </c>
      <c r="I41" s="327">
        <v>0</v>
      </c>
      <c r="J41" s="327">
        <v>0</v>
      </c>
      <c r="K41" s="327">
        <v>0</v>
      </c>
      <c r="L41" s="327">
        <v>0</v>
      </c>
      <c r="M41" s="327"/>
      <c r="N41" s="327">
        <v>68.95</v>
      </c>
      <c r="O41" s="388">
        <f t="shared" si="5"/>
        <v>1.473950411562441E-2</v>
      </c>
      <c r="P41" s="327" t="s">
        <v>8</v>
      </c>
      <c r="Q41" s="327">
        <f>EG_SH_min[[#This Row],[2021]]</f>
        <v>9.9899999999999949</v>
      </c>
      <c r="R41" s="327">
        <f t="shared" si="4"/>
        <v>14.73950411562441</v>
      </c>
      <c r="S41" s="327">
        <f t="shared" si="4"/>
        <v>14.73950411562441</v>
      </c>
      <c r="T41" s="327">
        <f t="shared" si="4"/>
        <v>14.73950411562441</v>
      </c>
      <c r="U41" s="327">
        <f t="shared" si="4"/>
        <v>14.73950411562441</v>
      </c>
      <c r="V41" s="327">
        <f t="shared" si="4"/>
        <v>14.73950411562441</v>
      </c>
      <c r="W41" s="327">
        <f t="shared" si="4"/>
        <v>14.73950411562441</v>
      </c>
      <c r="X41" s="327">
        <f t="shared" si="4"/>
        <v>14.73950411562441</v>
      </c>
      <c r="Y41" s="327">
        <f t="shared" si="4"/>
        <v>14.73950411562441</v>
      </c>
      <c r="Z41" s="327">
        <f t="shared" si="4"/>
        <v>14.73950411562441</v>
      </c>
      <c r="AA41" s="327">
        <f t="shared" si="4"/>
        <v>14.73950411562441</v>
      </c>
      <c r="AC41" s="416" t="e">
        <f>VLOOKUP(EG_SH_max[[#This Row],[SubGeography2]],$P$64:$Q$89,2,FALSE)</f>
        <v>#N/A</v>
      </c>
    </row>
    <row r="42" spans="1:29">
      <c r="A42" s="327" t="s">
        <v>5</v>
      </c>
      <c r="B42" s="327">
        <f>MAX(SUMIF('Source-MNRE'!$AA$6:$AA$42,EG_SH_min[[#This Row],[SubGeography2]],'Source-MNRE'!$AE$6:$AE$42),0)</f>
        <v>0</v>
      </c>
      <c r="C42" s="327">
        <v>0</v>
      </c>
      <c r="D42" s="327">
        <v>0</v>
      </c>
      <c r="E42" s="327">
        <v>0</v>
      </c>
      <c r="F42" s="327">
        <v>0</v>
      </c>
      <c r="G42" s="327">
        <v>0</v>
      </c>
      <c r="H42" s="327">
        <v>0</v>
      </c>
      <c r="I42" s="327">
        <v>0</v>
      </c>
      <c r="J42" s="327">
        <v>0</v>
      </c>
      <c r="K42" s="327">
        <v>0</v>
      </c>
      <c r="L42" s="327">
        <v>0</v>
      </c>
      <c r="M42" s="327"/>
      <c r="N42" s="327">
        <v>73.5</v>
      </c>
      <c r="O42" s="388">
        <f t="shared" si="5"/>
        <v>1.571216174761993E-2</v>
      </c>
      <c r="P42" s="327" t="s">
        <v>5</v>
      </c>
      <c r="Q42" s="327">
        <f>EG_SH_min[[#This Row],[2021]]</f>
        <v>0</v>
      </c>
      <c r="R42" s="327">
        <f t="shared" si="4"/>
        <v>15.71216174761993</v>
      </c>
      <c r="S42" s="327">
        <f t="shared" si="4"/>
        <v>15.71216174761993</v>
      </c>
      <c r="T42" s="327">
        <f t="shared" si="4"/>
        <v>15.71216174761993</v>
      </c>
      <c r="U42" s="327">
        <f t="shared" si="4"/>
        <v>15.71216174761993</v>
      </c>
      <c r="V42" s="327">
        <f t="shared" si="4"/>
        <v>15.71216174761993</v>
      </c>
      <c r="W42" s="327">
        <f t="shared" si="4"/>
        <v>15.71216174761993</v>
      </c>
      <c r="X42" s="327">
        <f t="shared" si="4"/>
        <v>15.71216174761993</v>
      </c>
      <c r="Y42" s="327">
        <f t="shared" si="4"/>
        <v>15.71216174761993</v>
      </c>
      <c r="Z42" s="327">
        <f t="shared" si="4"/>
        <v>15.71216174761993</v>
      </c>
      <c r="AA42" s="327">
        <f t="shared" si="4"/>
        <v>15.71216174761993</v>
      </c>
      <c r="AC42" s="416" t="e">
        <f>VLOOKUP(EG_SH_max[[#This Row],[SubGeography2]],$P$64:$Q$89,2,FALSE)</f>
        <v>#N/A</v>
      </c>
    </row>
    <row r="43" spans="1:29">
      <c r="A43" s="327" t="s">
        <v>88</v>
      </c>
      <c r="B43" s="327">
        <f>MAX(SUMIF('Source-MNRE'!$AA$6:$AA$42,EG_SH_min[[#This Row],[SubGeography2]],'Source-MNRE'!$AE$6:$AE$42),0)</f>
        <v>24.600000000000023</v>
      </c>
      <c r="C43" s="327">
        <v>0</v>
      </c>
      <c r="D43" s="327">
        <v>0</v>
      </c>
      <c r="E43" s="327">
        <v>0</v>
      </c>
      <c r="F43" s="327">
        <v>0</v>
      </c>
      <c r="G43" s="327">
        <v>0</v>
      </c>
      <c r="H43" s="327">
        <v>0</v>
      </c>
      <c r="I43" s="327">
        <v>0</v>
      </c>
      <c r="J43" s="327">
        <v>0</v>
      </c>
      <c r="K43" s="327">
        <v>0</v>
      </c>
      <c r="L43" s="327">
        <v>0</v>
      </c>
      <c r="M43" s="327"/>
      <c r="N43" s="327">
        <v>911.51</v>
      </c>
      <c r="O43" s="388">
        <f t="shared" si="5"/>
        <v>0.19485432047038151</v>
      </c>
      <c r="P43" s="327" t="s">
        <v>88</v>
      </c>
      <c r="Q43" s="327">
        <f>EG_SH_min[[#This Row],[2021]]</f>
        <v>24.600000000000023</v>
      </c>
      <c r="R43" s="327">
        <f t="shared" si="4"/>
        <v>194.85432047038151</v>
      </c>
      <c r="S43" s="327">
        <f t="shared" si="4"/>
        <v>194.85432047038151</v>
      </c>
      <c r="T43" s="327">
        <f t="shared" si="4"/>
        <v>194.85432047038151</v>
      </c>
      <c r="U43" s="327">
        <f t="shared" si="4"/>
        <v>194.85432047038151</v>
      </c>
      <c r="V43" s="327">
        <f t="shared" si="4"/>
        <v>194.85432047038151</v>
      </c>
      <c r="W43" s="327">
        <f t="shared" si="4"/>
        <v>194.85432047038151</v>
      </c>
      <c r="X43" s="327">
        <f t="shared" si="4"/>
        <v>194.85432047038151</v>
      </c>
      <c r="Y43" s="327">
        <f t="shared" si="4"/>
        <v>194.85432047038151</v>
      </c>
      <c r="Z43" s="327">
        <f t="shared" si="4"/>
        <v>194.85432047038151</v>
      </c>
      <c r="AA43" s="327">
        <f t="shared" si="4"/>
        <v>194.85432047038151</v>
      </c>
      <c r="AC43" s="416" t="e">
        <f>VLOOKUP(EG_SH_max[[#This Row],[SubGeography2]],$P$64:$Q$89,2,FALSE)</f>
        <v>#N/A</v>
      </c>
    </row>
    <row r="44" spans="1:29">
      <c r="A44" s="327" t="s">
        <v>89</v>
      </c>
      <c r="B44" s="327">
        <f>MAX(SUMIF('Source-MNRE'!$AA$6:$AA$42,EG_SH_min[[#This Row],[SubGeography2]],'Source-MNRE'!$AE$6:$AE$42),0)</f>
        <v>5.5</v>
      </c>
      <c r="C44" s="327">
        <v>0</v>
      </c>
      <c r="D44" s="327">
        <v>0</v>
      </c>
      <c r="E44" s="327">
        <v>0</v>
      </c>
      <c r="F44" s="327">
        <v>0</v>
      </c>
      <c r="G44" s="327">
        <v>0</v>
      </c>
      <c r="H44" s="327">
        <v>0</v>
      </c>
      <c r="I44" s="327">
        <v>0</v>
      </c>
      <c r="J44" s="327">
        <v>0</v>
      </c>
      <c r="K44" s="327">
        <v>0</v>
      </c>
      <c r="L44" s="327">
        <v>0</v>
      </c>
      <c r="M44" s="327"/>
      <c r="N44" s="327">
        <v>180.48</v>
      </c>
      <c r="O44" s="388">
        <f t="shared" si="5"/>
        <v>3.8581373499461828E-2</v>
      </c>
      <c r="P44" s="327" t="s">
        <v>89</v>
      </c>
      <c r="Q44" s="327">
        <f>EG_SH_min[[#This Row],[2021]]</f>
        <v>5.5</v>
      </c>
      <c r="R44" s="327">
        <f t="shared" si="4"/>
        <v>38.581373499461826</v>
      </c>
      <c r="S44" s="327">
        <f t="shared" si="4"/>
        <v>38.581373499461826</v>
      </c>
      <c r="T44" s="327">
        <f t="shared" si="4"/>
        <v>38.581373499461826</v>
      </c>
      <c r="U44" s="327">
        <f t="shared" si="4"/>
        <v>38.581373499461826</v>
      </c>
      <c r="V44" s="327">
        <f t="shared" si="4"/>
        <v>38.581373499461826</v>
      </c>
      <c r="W44" s="327">
        <f t="shared" si="4"/>
        <v>38.581373499461826</v>
      </c>
      <c r="X44" s="327">
        <f t="shared" si="4"/>
        <v>38.581373499461826</v>
      </c>
      <c r="Y44" s="327">
        <f t="shared" si="4"/>
        <v>38.581373499461826</v>
      </c>
      <c r="Z44" s="327">
        <f t="shared" si="4"/>
        <v>38.581373499461826</v>
      </c>
      <c r="AA44" s="327">
        <f t="shared" si="4"/>
        <v>38.581373499461826</v>
      </c>
      <c r="AC44" s="416" t="e">
        <f>VLOOKUP(EG_SH_max[[#This Row],[SubGeography2]],$P$64:$Q$89,2,FALSE)</f>
        <v>#N/A</v>
      </c>
    </row>
    <row r="45" spans="1:29">
      <c r="A45" s="327" t="s">
        <v>20</v>
      </c>
      <c r="B45" s="327">
        <f>MAX(SUMIF('Source-MNRE'!$AA$6:$AA$42,EG_SH_min[[#This Row],[SubGeography2]],'Source-MNRE'!$AE$6:$AE$42),0)</f>
        <v>0</v>
      </c>
      <c r="C45" s="327">
        <v>0</v>
      </c>
      <c r="D45" s="327">
        <v>0</v>
      </c>
      <c r="E45" s="327">
        <v>0</v>
      </c>
      <c r="F45" s="327">
        <v>0</v>
      </c>
      <c r="G45" s="327">
        <v>0</v>
      </c>
      <c r="H45" s="327">
        <v>0</v>
      </c>
      <c r="I45" s="327">
        <v>0</v>
      </c>
      <c r="J45" s="327">
        <v>0</v>
      </c>
      <c r="K45" s="327">
        <v>0</v>
      </c>
      <c r="L45" s="327">
        <v>0</v>
      </c>
      <c r="M45" s="327"/>
      <c r="N45" s="327">
        <v>4.05</v>
      </c>
      <c r="O45" s="388">
        <f t="shared" si="5"/>
        <v>8.6577217793007769E-4</v>
      </c>
      <c r="P45" s="327" t="s">
        <v>20</v>
      </c>
      <c r="Q45" s="327">
        <f>EG_SH_min[[#This Row],[2021]]</f>
        <v>0</v>
      </c>
      <c r="R45" s="327">
        <f t="shared" si="4"/>
        <v>0.86577217793007766</v>
      </c>
      <c r="S45" s="327">
        <f t="shared" si="4"/>
        <v>0.86577217793007766</v>
      </c>
      <c r="T45" s="327">
        <f t="shared" si="4"/>
        <v>0.86577217793007766</v>
      </c>
      <c r="U45" s="327">
        <f t="shared" si="4"/>
        <v>0.86577217793007766</v>
      </c>
      <c r="V45" s="327">
        <f t="shared" si="4"/>
        <v>0.86577217793007766</v>
      </c>
      <c r="W45" s="327">
        <f t="shared" si="4"/>
        <v>0.86577217793007766</v>
      </c>
      <c r="X45" s="327">
        <f t="shared" si="4"/>
        <v>0.86577217793007766</v>
      </c>
      <c r="Y45" s="327">
        <f t="shared" si="4"/>
        <v>0.86577217793007766</v>
      </c>
      <c r="Z45" s="327">
        <f t="shared" si="4"/>
        <v>0.86577217793007766</v>
      </c>
      <c r="AA45" s="327">
        <f t="shared" si="4"/>
        <v>0.86577217793007766</v>
      </c>
      <c r="AC45" s="416" t="e">
        <f>VLOOKUP(EG_SH_max[[#This Row],[SubGeography2]],$P$64:$Q$89,2,FALSE)</f>
        <v>#N/A</v>
      </c>
    </row>
    <row r="46" spans="1:29">
      <c r="A46" s="327" t="s">
        <v>11</v>
      </c>
      <c r="B46" s="327">
        <f>MAX(SUMIF('Source-MNRE'!$AA$6:$AA$42,EG_SH_min[[#This Row],[SubGeography2]],'Source-MNRE'!$AE$6:$AE$42),0)</f>
        <v>0</v>
      </c>
      <c r="C46" s="327">
        <v>0</v>
      </c>
      <c r="D46" s="327">
        <v>0</v>
      </c>
      <c r="E46" s="327">
        <v>0</v>
      </c>
      <c r="F46" s="327">
        <v>0</v>
      </c>
      <c r="G46" s="327">
        <v>0</v>
      </c>
      <c r="H46" s="327">
        <v>0</v>
      </c>
      <c r="I46" s="327">
        <v>0</v>
      </c>
      <c r="J46" s="327">
        <v>0</v>
      </c>
      <c r="K46" s="327">
        <v>0</v>
      </c>
      <c r="L46" s="327">
        <v>0</v>
      </c>
      <c r="M46" s="327"/>
      <c r="N46" s="327">
        <v>1280.73</v>
      </c>
      <c r="O46" s="388">
        <f t="shared" si="5"/>
        <v>0.27378281517046626</v>
      </c>
      <c r="P46" s="327" t="s">
        <v>11</v>
      </c>
      <c r="Q46" s="327">
        <f>EG_SH_min[[#This Row],[2021]]</f>
        <v>0</v>
      </c>
      <c r="R46" s="327">
        <f t="shared" si="4"/>
        <v>273.78281517046628</v>
      </c>
      <c r="S46" s="327">
        <f t="shared" si="4"/>
        <v>273.78281517046628</v>
      </c>
      <c r="T46" s="327">
        <f t="shared" si="4"/>
        <v>273.78281517046628</v>
      </c>
      <c r="U46" s="327">
        <f t="shared" si="4"/>
        <v>273.78281517046628</v>
      </c>
      <c r="V46" s="327">
        <f t="shared" si="4"/>
        <v>273.78281517046628</v>
      </c>
      <c r="W46" s="327">
        <f t="shared" si="4"/>
        <v>273.78281517046628</v>
      </c>
      <c r="X46" s="327">
        <f t="shared" si="4"/>
        <v>273.78281517046628</v>
      </c>
      <c r="Y46" s="327">
        <f t="shared" si="4"/>
        <v>273.78281517046628</v>
      </c>
      <c r="Z46" s="327">
        <f t="shared" si="4"/>
        <v>273.78281517046628</v>
      </c>
      <c r="AA46" s="327">
        <f t="shared" si="4"/>
        <v>273.78281517046628</v>
      </c>
      <c r="AC46" s="416" t="e">
        <f>VLOOKUP(EG_SH_max[[#This Row],[SubGeography2]],$P$64:$Q$89,2,FALSE)</f>
        <v>#N/A</v>
      </c>
    </row>
    <row r="47" spans="1:29">
      <c r="A47" s="327" t="s">
        <v>12</v>
      </c>
      <c r="B47" s="327">
        <f>MAX(SUMIF('Source-MNRE'!$AA$6:$AA$42,EG_SH_min[[#This Row],[SubGeography2]],'Source-MNRE'!$AE$6:$AE$42),0)</f>
        <v>8</v>
      </c>
      <c r="C47" s="327">
        <v>0</v>
      </c>
      <c r="D47" s="327">
        <v>0</v>
      </c>
      <c r="E47" s="327">
        <v>0</v>
      </c>
      <c r="F47" s="327">
        <v>0</v>
      </c>
      <c r="G47" s="327">
        <v>0</v>
      </c>
      <c r="H47" s="327">
        <v>0</v>
      </c>
      <c r="I47" s="327">
        <v>0</v>
      </c>
      <c r="J47" s="327">
        <v>0</v>
      </c>
      <c r="K47" s="327">
        <v>0</v>
      </c>
      <c r="L47" s="327">
        <v>0</v>
      </c>
      <c r="M47" s="327"/>
      <c r="N47" s="327">
        <v>222.02</v>
      </c>
      <c r="O47" s="388">
        <f t="shared" si="5"/>
        <v>4.7461417023218731E-2</v>
      </c>
      <c r="P47" s="327" t="s">
        <v>12</v>
      </c>
      <c r="Q47" s="327">
        <f>EG_SH_min[[#This Row],[2021]]</f>
        <v>8</v>
      </c>
      <c r="R47" s="327">
        <f t="shared" si="4"/>
        <v>47.461417023218729</v>
      </c>
      <c r="S47" s="327">
        <f t="shared" si="4"/>
        <v>47.461417023218729</v>
      </c>
      <c r="T47" s="327">
        <f t="shared" si="4"/>
        <v>47.461417023218729</v>
      </c>
      <c r="U47" s="327">
        <f t="shared" si="4"/>
        <v>47.461417023218729</v>
      </c>
      <c r="V47" s="327">
        <f t="shared" si="4"/>
        <v>47.461417023218729</v>
      </c>
      <c r="W47" s="327">
        <f t="shared" si="4"/>
        <v>47.461417023218729</v>
      </c>
      <c r="X47" s="327">
        <f t="shared" si="4"/>
        <v>47.461417023218729</v>
      </c>
      <c r="Y47" s="327">
        <f t="shared" si="4"/>
        <v>47.461417023218729</v>
      </c>
      <c r="Z47" s="327">
        <f t="shared" si="4"/>
        <v>47.461417023218729</v>
      </c>
      <c r="AA47" s="327">
        <f t="shared" si="4"/>
        <v>47.461417023218729</v>
      </c>
      <c r="AC47" s="416" t="e">
        <f>VLOOKUP(EG_SH_max[[#This Row],[SubGeography2]],$P$64:$Q$89,2,FALSE)</f>
        <v>#N/A</v>
      </c>
    </row>
    <row r="48" spans="1:29">
      <c r="A48" s="327" t="s">
        <v>9</v>
      </c>
      <c r="B48" s="327">
        <f>MAX(SUMIF('Source-MNRE'!$AA$6:$AA$42,EG_SH_min[[#This Row],[SubGeography2]],'Source-MNRE'!$AE$6:$AE$42),0)</f>
        <v>3.7999999999999972</v>
      </c>
      <c r="C48" s="327">
        <v>0</v>
      </c>
      <c r="D48" s="327">
        <v>0</v>
      </c>
      <c r="E48" s="327">
        <v>0</v>
      </c>
      <c r="F48" s="327">
        <v>0</v>
      </c>
      <c r="G48" s="327">
        <v>0</v>
      </c>
      <c r="H48" s="327">
        <v>0</v>
      </c>
      <c r="I48" s="327">
        <v>0</v>
      </c>
      <c r="J48" s="327">
        <v>0</v>
      </c>
      <c r="K48" s="327">
        <v>0</v>
      </c>
      <c r="L48" s="327">
        <v>0</v>
      </c>
      <c r="M48" s="327"/>
      <c r="N48" s="327">
        <v>95.91</v>
      </c>
      <c r="O48" s="388">
        <f t="shared" si="5"/>
        <v>2.0502767798833026E-2</v>
      </c>
      <c r="P48" s="327" t="s">
        <v>9</v>
      </c>
      <c r="Q48" s="327">
        <f>EG_SH_min[[#This Row],[2021]]</f>
        <v>3.7999999999999972</v>
      </c>
      <c r="R48" s="327">
        <f t="shared" si="4"/>
        <v>20.502767798833027</v>
      </c>
      <c r="S48" s="327">
        <f t="shared" si="4"/>
        <v>20.502767798833027</v>
      </c>
      <c r="T48" s="327">
        <f t="shared" si="4"/>
        <v>20.502767798833027</v>
      </c>
      <c r="U48" s="327">
        <f t="shared" si="4"/>
        <v>20.502767798833027</v>
      </c>
      <c r="V48" s="327">
        <f t="shared" si="4"/>
        <v>20.502767798833027</v>
      </c>
      <c r="W48" s="327">
        <f t="shared" si="4"/>
        <v>20.502767798833027</v>
      </c>
      <c r="X48" s="327">
        <f t="shared" si="4"/>
        <v>20.502767798833027</v>
      </c>
      <c r="Y48" s="327">
        <f t="shared" si="4"/>
        <v>20.502767798833027</v>
      </c>
      <c r="Z48" s="327">
        <f t="shared" si="4"/>
        <v>20.502767798833027</v>
      </c>
      <c r="AA48" s="327">
        <f t="shared" si="4"/>
        <v>20.502767798833027</v>
      </c>
      <c r="AC48" s="416" t="e">
        <f>VLOOKUP(EG_SH_max[[#This Row],[SubGeography2]],$P$64:$Q$89,2,FALSE)</f>
        <v>#N/A</v>
      </c>
    </row>
    <row r="49" spans="1:29">
      <c r="A49" s="327" t="s">
        <v>10</v>
      </c>
      <c r="B49" s="327">
        <f>MAX(SUMIF('Source-MNRE'!$AA$6:$AA$42,EG_SH_min[[#This Row],[SubGeography2]],'Source-MNRE'!$AE$6:$AE$42),0)</f>
        <v>4.9999999999954525E-3</v>
      </c>
      <c r="C49" s="327">
        <v>0</v>
      </c>
      <c r="D49" s="327">
        <v>0</v>
      </c>
      <c r="E49" s="327">
        <v>0</v>
      </c>
      <c r="F49" s="327">
        <v>0</v>
      </c>
      <c r="G49" s="327">
        <v>0</v>
      </c>
      <c r="H49" s="327">
        <v>0</v>
      </c>
      <c r="I49" s="327">
        <v>0</v>
      </c>
      <c r="J49" s="327">
        <v>0</v>
      </c>
      <c r="K49" s="327">
        <v>0</v>
      </c>
      <c r="L49" s="327">
        <v>0</v>
      </c>
      <c r="M49" s="327"/>
      <c r="N49" s="327">
        <v>379.57499999999999</v>
      </c>
      <c r="O49" s="388">
        <f t="shared" si="5"/>
        <v>8.1142092453780054E-2</v>
      </c>
      <c r="P49" s="327" t="s">
        <v>10</v>
      </c>
      <c r="Q49" s="327">
        <f>EG_SH_min[[#This Row],[2021]]</f>
        <v>4.9999999999954525E-3</v>
      </c>
      <c r="R49" s="327">
        <f t="shared" si="4"/>
        <v>81.142092453780052</v>
      </c>
      <c r="S49" s="327">
        <f t="shared" si="4"/>
        <v>81.142092453780052</v>
      </c>
      <c r="T49" s="327">
        <f t="shared" si="4"/>
        <v>81.142092453780052</v>
      </c>
      <c r="U49" s="327">
        <f t="shared" si="4"/>
        <v>81.142092453780052</v>
      </c>
      <c r="V49" s="327">
        <f t="shared" si="4"/>
        <v>81.142092453780052</v>
      </c>
      <c r="W49" s="327">
        <f t="shared" si="4"/>
        <v>81.142092453780052</v>
      </c>
      <c r="X49" s="327">
        <f t="shared" si="4"/>
        <v>81.142092453780052</v>
      </c>
      <c r="Y49" s="327">
        <f t="shared" si="4"/>
        <v>81.142092453780052</v>
      </c>
      <c r="Z49" s="327">
        <f t="shared" si="4"/>
        <v>81.142092453780052</v>
      </c>
      <c r="AA49" s="327">
        <f t="shared" si="4"/>
        <v>81.142092453780052</v>
      </c>
      <c r="AC49" s="416" t="e">
        <f>VLOOKUP(EG_SH_max[[#This Row],[SubGeography2]],$P$64:$Q$89,2,FALSE)</f>
        <v>#N/A</v>
      </c>
    </row>
    <row r="50" spans="1:29">
      <c r="A50" s="327" t="s">
        <v>16</v>
      </c>
      <c r="B50" s="327">
        <f>MAX(SUMIF('Source-MNRE'!$AA$6:$AA$42,EG_SH_min[[#This Row],[SubGeography2]],'Source-MNRE'!$AE$6:$AE$42),0)</f>
        <v>24.004999999999995</v>
      </c>
      <c r="C50" s="327">
        <v>0</v>
      </c>
      <c r="D50" s="327">
        <v>0</v>
      </c>
      <c r="E50" s="327">
        <v>0</v>
      </c>
      <c r="F50" s="327">
        <v>0</v>
      </c>
      <c r="G50" s="327">
        <v>0</v>
      </c>
      <c r="H50" s="327">
        <v>0</v>
      </c>
      <c r="I50" s="327">
        <v>0</v>
      </c>
      <c r="J50" s="327">
        <v>0</v>
      </c>
      <c r="K50" s="327">
        <v>0</v>
      </c>
      <c r="L50" s="327">
        <v>0</v>
      </c>
      <c r="M50" s="327"/>
      <c r="N50" s="327">
        <v>64.625</v>
      </c>
      <c r="O50" s="388">
        <f t="shared" si="5"/>
        <v>1.3814944937958339E-2</v>
      </c>
      <c r="P50" s="327" t="s">
        <v>16</v>
      </c>
      <c r="Q50" s="327">
        <f>EG_SH_min[[#This Row],[2021]]</f>
        <v>24.004999999999995</v>
      </c>
      <c r="R50" s="327">
        <f t="shared" si="4"/>
        <v>13.814944937958339</v>
      </c>
      <c r="S50" s="327">
        <f t="shared" si="4"/>
        <v>13.814944937958339</v>
      </c>
      <c r="T50" s="327">
        <f t="shared" si="4"/>
        <v>13.814944937958339</v>
      </c>
      <c r="U50" s="327">
        <f t="shared" si="4"/>
        <v>13.814944937958339</v>
      </c>
      <c r="V50" s="327">
        <f t="shared" si="4"/>
        <v>13.814944937958339</v>
      </c>
      <c r="W50" s="327">
        <f t="shared" si="4"/>
        <v>13.814944937958339</v>
      </c>
      <c r="X50" s="327">
        <f t="shared" si="4"/>
        <v>13.814944937958339</v>
      </c>
      <c r="Y50" s="327">
        <f t="shared" si="4"/>
        <v>13.814944937958339</v>
      </c>
      <c r="Z50" s="327">
        <f t="shared" si="4"/>
        <v>13.814944937958339</v>
      </c>
      <c r="AA50" s="327">
        <f t="shared" si="4"/>
        <v>13.814944937958339</v>
      </c>
      <c r="AC50" s="416" t="e">
        <f>VLOOKUP(EG_SH_max[[#This Row],[SubGeography2]],$P$64:$Q$89,2,FALSE)</f>
        <v>#N/A</v>
      </c>
    </row>
    <row r="51" spans="1:29">
      <c r="A51" s="327" t="s">
        <v>1</v>
      </c>
      <c r="B51" s="327">
        <f>MAX(SUMIF('Source-MNRE'!$AA$6:$AA$42,EG_SH_min[[#This Row],[SubGeography2]],'Source-MNRE'!$AE$6:$AE$42),0)</f>
        <v>0</v>
      </c>
      <c r="C51" s="327">
        <v>0</v>
      </c>
      <c r="D51" s="327">
        <v>0</v>
      </c>
      <c r="E51" s="327">
        <v>0</v>
      </c>
      <c r="F51" s="327">
        <v>0</v>
      </c>
      <c r="G51" s="327">
        <v>0</v>
      </c>
      <c r="H51" s="327">
        <v>0</v>
      </c>
      <c r="I51" s="327">
        <v>0</v>
      </c>
      <c r="J51" s="327">
        <v>0</v>
      </c>
      <c r="K51" s="327">
        <v>0</v>
      </c>
      <c r="L51" s="327">
        <v>0</v>
      </c>
      <c r="M51" s="327"/>
      <c r="N51" s="327">
        <v>173.55</v>
      </c>
      <c r="O51" s="388">
        <f t="shared" si="5"/>
        <v>3.7099941106114816E-2</v>
      </c>
      <c r="P51" s="327" t="s">
        <v>1</v>
      </c>
      <c r="Q51" s="327">
        <f>EG_SH_min[[#This Row],[2021]]</f>
        <v>0</v>
      </c>
      <c r="R51" s="327">
        <f t="shared" si="4"/>
        <v>37.099941106114812</v>
      </c>
      <c r="S51" s="327">
        <f t="shared" si="4"/>
        <v>37.099941106114812</v>
      </c>
      <c r="T51" s="327">
        <f t="shared" si="4"/>
        <v>37.099941106114812</v>
      </c>
      <c r="U51" s="327">
        <f t="shared" si="4"/>
        <v>37.099941106114812</v>
      </c>
      <c r="V51" s="327">
        <f t="shared" si="4"/>
        <v>37.099941106114812</v>
      </c>
      <c r="W51" s="327">
        <f t="shared" si="4"/>
        <v>37.099941106114812</v>
      </c>
      <c r="X51" s="327">
        <f t="shared" si="4"/>
        <v>37.099941106114812</v>
      </c>
      <c r="Y51" s="327">
        <f t="shared" si="4"/>
        <v>37.099941106114812</v>
      </c>
      <c r="Z51" s="327">
        <f t="shared" si="4"/>
        <v>37.099941106114812</v>
      </c>
      <c r="AA51" s="327">
        <f t="shared" si="4"/>
        <v>37.099941106114812</v>
      </c>
      <c r="AC51" s="416" t="e">
        <f>VLOOKUP(EG_SH_max[[#This Row],[SubGeography2]],$P$64:$Q$89,2,FALSE)</f>
        <v>#N/A</v>
      </c>
    </row>
    <row r="52" spans="1:29">
      <c r="A52" s="327" t="s">
        <v>6</v>
      </c>
      <c r="B52" s="327">
        <f>MAX(SUMIF('Source-MNRE'!$AA$6:$AA$42,EG_SH_min[[#This Row],[SubGeography2]],'Source-MNRE'!$AE$6:$AE$42),0)</f>
        <v>0</v>
      </c>
      <c r="C52" s="327">
        <v>0</v>
      </c>
      <c r="D52" s="327">
        <v>0</v>
      </c>
      <c r="E52" s="327">
        <v>0</v>
      </c>
      <c r="F52" s="327">
        <v>0</v>
      </c>
      <c r="G52" s="327">
        <v>0</v>
      </c>
      <c r="H52" s="327">
        <v>0</v>
      </c>
      <c r="I52" s="327">
        <v>0</v>
      </c>
      <c r="J52" s="327">
        <v>0</v>
      </c>
      <c r="K52" s="327">
        <v>0</v>
      </c>
      <c r="L52" s="327">
        <v>0</v>
      </c>
      <c r="M52" s="327"/>
      <c r="N52" s="327">
        <v>23.85</v>
      </c>
      <c r="O52" s="388">
        <f t="shared" si="5"/>
        <v>5.0984361589215691E-3</v>
      </c>
      <c r="P52" s="327" t="s">
        <v>6</v>
      </c>
      <c r="Q52" s="327">
        <f>EG_SH_min[[#This Row],[2021]]</f>
        <v>0</v>
      </c>
      <c r="R52" s="327">
        <f t="shared" si="4"/>
        <v>5.0984361589215688</v>
      </c>
      <c r="S52" s="327">
        <f t="shared" si="4"/>
        <v>5.0984361589215688</v>
      </c>
      <c r="T52" s="327">
        <f t="shared" si="4"/>
        <v>5.0984361589215688</v>
      </c>
      <c r="U52" s="327">
        <f t="shared" si="4"/>
        <v>5.0984361589215688</v>
      </c>
      <c r="V52" s="327">
        <f t="shared" si="4"/>
        <v>5.0984361589215688</v>
      </c>
      <c r="W52" s="327">
        <f t="shared" si="4"/>
        <v>5.0984361589215688</v>
      </c>
      <c r="X52" s="327">
        <f t="shared" si="4"/>
        <v>5.0984361589215688</v>
      </c>
      <c r="Y52" s="327">
        <f t="shared" si="4"/>
        <v>5.0984361589215688</v>
      </c>
      <c r="Z52" s="327">
        <f t="shared" si="4"/>
        <v>5.0984361589215688</v>
      </c>
      <c r="AA52" s="327">
        <f t="shared" si="4"/>
        <v>5.0984361589215688</v>
      </c>
      <c r="AC52" s="416" t="e">
        <f>VLOOKUP(EG_SH_max[[#This Row],[SubGeography2]],$P$64:$Q$89,2,FALSE)</f>
        <v>#N/A</v>
      </c>
    </row>
    <row r="53" spans="1:29">
      <c r="A53" s="327" t="s">
        <v>13</v>
      </c>
      <c r="B53" s="327">
        <f>MAX(SUMIF('Source-MNRE'!$AA$6:$AA$42,EG_SH_min[[#This Row],[SubGeography2]],'Source-MNRE'!$AE$6:$AE$42),0)</f>
        <v>0</v>
      </c>
      <c r="C53" s="327">
        <v>0</v>
      </c>
      <c r="D53" s="327">
        <v>0</v>
      </c>
      <c r="E53" s="327">
        <v>0</v>
      </c>
      <c r="F53" s="327">
        <v>0</v>
      </c>
      <c r="G53" s="327">
        <v>0</v>
      </c>
      <c r="H53" s="327">
        <v>0</v>
      </c>
      <c r="I53" s="327">
        <v>0</v>
      </c>
      <c r="J53" s="327">
        <v>0</v>
      </c>
      <c r="K53" s="327">
        <v>0</v>
      </c>
      <c r="L53" s="327">
        <v>0</v>
      </c>
      <c r="M53" s="327"/>
      <c r="N53" s="327">
        <v>123.05</v>
      </c>
      <c r="O53" s="388">
        <f t="shared" si="5"/>
        <v>2.6304510245505199E-2</v>
      </c>
      <c r="P53" s="327" t="s">
        <v>13</v>
      </c>
      <c r="Q53" s="327">
        <f>EG_SH_min[[#This Row],[2021]]</f>
        <v>0</v>
      </c>
      <c r="R53" s="327">
        <f t="shared" si="4"/>
        <v>26.304510245505199</v>
      </c>
      <c r="S53" s="327">
        <f t="shared" si="4"/>
        <v>26.304510245505199</v>
      </c>
      <c r="T53" s="327">
        <f t="shared" si="4"/>
        <v>26.304510245505199</v>
      </c>
      <c r="U53" s="327">
        <f t="shared" si="4"/>
        <v>26.304510245505199</v>
      </c>
      <c r="V53" s="327">
        <f t="shared" si="4"/>
        <v>26.304510245505199</v>
      </c>
      <c r="W53" s="327">
        <f t="shared" si="4"/>
        <v>26.304510245505199</v>
      </c>
      <c r="X53" s="327">
        <f t="shared" si="4"/>
        <v>26.304510245505199</v>
      </c>
      <c r="Y53" s="327">
        <f t="shared" si="4"/>
        <v>26.304510245505199</v>
      </c>
      <c r="Z53" s="327">
        <f t="shared" si="4"/>
        <v>26.304510245505199</v>
      </c>
      <c r="AA53" s="327">
        <f t="shared" si="4"/>
        <v>26.304510245505199</v>
      </c>
      <c r="AC53" s="416" t="e">
        <f>VLOOKUP(EG_SH_max[[#This Row],[SubGeography2]],$P$64:$Q$89,2,FALSE)</f>
        <v>#N/A</v>
      </c>
    </row>
    <row r="54" spans="1:29">
      <c r="A54" s="327" t="s">
        <v>15</v>
      </c>
      <c r="B54" s="327">
        <f>MAX(SUMIF('Source-MNRE'!$AA$6:$AA$42,EG_SH_min[[#This Row],[SubGeography2]],'Source-MNRE'!$AE$6:$AE$42),0)</f>
        <v>0</v>
      </c>
      <c r="C54" s="327">
        <v>0</v>
      </c>
      <c r="D54" s="327">
        <v>0</v>
      </c>
      <c r="E54" s="327">
        <v>0</v>
      </c>
      <c r="F54" s="327">
        <v>0</v>
      </c>
      <c r="G54" s="327">
        <v>0</v>
      </c>
      <c r="H54" s="327">
        <v>0</v>
      </c>
      <c r="I54" s="327">
        <v>0</v>
      </c>
      <c r="J54" s="327">
        <v>0</v>
      </c>
      <c r="K54" s="327">
        <v>0</v>
      </c>
      <c r="L54" s="327">
        <v>0</v>
      </c>
      <c r="M54" s="327"/>
      <c r="N54" s="327">
        <v>90.87</v>
      </c>
      <c r="O54" s="388">
        <f t="shared" si="5"/>
        <v>1.9425362421853373E-2</v>
      </c>
      <c r="P54" s="327" t="s">
        <v>15</v>
      </c>
      <c r="Q54" s="327">
        <f>EG_SH_min[[#This Row],[2021]]</f>
        <v>0</v>
      </c>
      <c r="R54" s="327">
        <f t="shared" si="4"/>
        <v>19.425362421853372</v>
      </c>
      <c r="S54" s="327">
        <f t="shared" si="4"/>
        <v>19.425362421853372</v>
      </c>
      <c r="T54" s="327">
        <f t="shared" si="4"/>
        <v>19.425362421853372</v>
      </c>
      <c r="U54" s="327">
        <f t="shared" si="4"/>
        <v>19.425362421853372</v>
      </c>
      <c r="V54" s="327">
        <f t="shared" si="4"/>
        <v>19.425362421853372</v>
      </c>
      <c r="W54" s="327">
        <f t="shared" si="4"/>
        <v>19.425362421853372</v>
      </c>
      <c r="X54" s="327">
        <f t="shared" si="4"/>
        <v>19.425362421853372</v>
      </c>
      <c r="Y54" s="327">
        <f t="shared" si="4"/>
        <v>19.425362421853372</v>
      </c>
      <c r="Z54" s="327">
        <f t="shared" si="4"/>
        <v>19.425362421853372</v>
      </c>
      <c r="AA54" s="327">
        <f t="shared" si="4"/>
        <v>19.425362421853372</v>
      </c>
      <c r="AC54" s="416" t="e">
        <f>VLOOKUP(EG_SH_max[[#This Row],[SubGeography2]],$P$64:$Q$89,2,FALSE)</f>
        <v>#N/A</v>
      </c>
    </row>
    <row r="55" spans="1:29">
      <c r="A55" s="327" t="s">
        <v>0</v>
      </c>
      <c r="B55" s="327">
        <f>MAX(SUMIF('Source-MNRE'!$AA$6:$AA$42,EG_SH_min[[#This Row],[SubGeography2]],'Source-MNRE'!$AE$6:$AE$42),0)</f>
        <v>24</v>
      </c>
      <c r="C55" s="327">
        <v>0</v>
      </c>
      <c r="D55" s="327">
        <v>0</v>
      </c>
      <c r="E55" s="327">
        <v>0</v>
      </c>
      <c r="F55" s="327">
        <v>0</v>
      </c>
      <c r="G55" s="327">
        <v>0</v>
      </c>
      <c r="H55" s="327">
        <v>0</v>
      </c>
      <c r="I55" s="327">
        <v>0</v>
      </c>
      <c r="J55" s="327">
        <v>0</v>
      </c>
      <c r="K55" s="327">
        <v>0</v>
      </c>
      <c r="L55" s="327">
        <v>0</v>
      </c>
      <c r="M55" s="327"/>
      <c r="N55" s="327">
        <v>25.1</v>
      </c>
      <c r="O55" s="388">
        <f t="shared" si="5"/>
        <v>5.3656497940851736E-3</v>
      </c>
      <c r="P55" s="327" t="s">
        <v>0</v>
      </c>
      <c r="Q55" s="327">
        <f>EG_SH_min[[#This Row],[2021]]</f>
        <v>24</v>
      </c>
      <c r="R55" s="327">
        <f t="shared" si="4"/>
        <v>5.365649794085174</v>
      </c>
      <c r="S55" s="327">
        <f t="shared" si="4"/>
        <v>5.365649794085174</v>
      </c>
      <c r="T55" s="327">
        <f t="shared" si="4"/>
        <v>5.365649794085174</v>
      </c>
      <c r="U55" s="327">
        <f t="shared" si="4"/>
        <v>5.365649794085174</v>
      </c>
      <c r="V55" s="327">
        <f t="shared" si="4"/>
        <v>5.365649794085174</v>
      </c>
      <c r="W55" s="327">
        <f t="shared" si="4"/>
        <v>5.365649794085174</v>
      </c>
      <c r="X55" s="327">
        <f t="shared" si="4"/>
        <v>5.365649794085174</v>
      </c>
      <c r="Y55" s="327">
        <f t="shared" si="4"/>
        <v>5.365649794085174</v>
      </c>
      <c r="Z55" s="327">
        <f t="shared" si="4"/>
        <v>5.365649794085174</v>
      </c>
      <c r="AA55" s="327">
        <f t="shared" si="4"/>
        <v>5.365649794085174</v>
      </c>
      <c r="AC55" s="416" t="e">
        <f>VLOOKUP(EG_SH_max[[#This Row],[SubGeography2]],$P$64:$Q$89,2,FALSE)</f>
        <v>#N/A</v>
      </c>
    </row>
    <row r="56" spans="1:29">
      <c r="A56" s="327" t="s">
        <v>4</v>
      </c>
      <c r="B56" s="327">
        <f>MAX(SUMIF('Source-MNRE'!$AA$6:$AA$42,EG_SH_min[[#This Row],[SubGeography2]],'Source-MNRE'!$AE$6:$AE$42),0)</f>
        <v>0</v>
      </c>
      <c r="C56" s="327">
        <v>0</v>
      </c>
      <c r="D56" s="327">
        <v>0</v>
      </c>
      <c r="E56" s="327">
        <v>0</v>
      </c>
      <c r="F56" s="327">
        <v>0</v>
      </c>
      <c r="G56" s="327">
        <v>0</v>
      </c>
      <c r="H56" s="327">
        <v>0</v>
      </c>
      <c r="I56" s="327">
        <v>0</v>
      </c>
      <c r="J56" s="327">
        <v>0</v>
      </c>
      <c r="K56" s="327">
        <v>0</v>
      </c>
      <c r="L56" s="327">
        <v>0</v>
      </c>
      <c r="M56" s="327"/>
      <c r="N56" s="327">
        <v>214.32</v>
      </c>
      <c r="O56" s="388">
        <f t="shared" si="5"/>
        <v>4.5815381030610926E-2</v>
      </c>
      <c r="P56" s="327" t="s">
        <v>4</v>
      </c>
      <c r="Q56" s="327">
        <f>EG_SH_min[[#This Row],[2021]]</f>
        <v>0</v>
      </c>
      <c r="R56" s="327">
        <f t="shared" si="4"/>
        <v>45.815381030610929</v>
      </c>
      <c r="S56" s="327">
        <f t="shared" si="4"/>
        <v>45.815381030610929</v>
      </c>
      <c r="T56" s="327">
        <f t="shared" si="4"/>
        <v>45.815381030610929</v>
      </c>
      <c r="U56" s="327">
        <f t="shared" si="4"/>
        <v>45.815381030610929</v>
      </c>
      <c r="V56" s="327">
        <f t="shared" si="4"/>
        <v>45.815381030610929</v>
      </c>
      <c r="W56" s="327">
        <f t="shared" si="4"/>
        <v>45.815381030610929</v>
      </c>
      <c r="X56" s="327">
        <f t="shared" si="4"/>
        <v>45.815381030610929</v>
      </c>
      <c r="Y56" s="327">
        <f t="shared" si="4"/>
        <v>45.815381030610929</v>
      </c>
      <c r="Z56" s="327">
        <f t="shared" si="4"/>
        <v>45.815381030610929</v>
      </c>
      <c r="AA56" s="327">
        <f t="shared" si="4"/>
        <v>45.815381030610929</v>
      </c>
      <c r="AC56" s="416" t="e">
        <f>VLOOKUP(EG_SH_max[[#This Row],[SubGeography2]],$P$64:$Q$89,2,FALSE)</f>
        <v>#N/A</v>
      </c>
    </row>
    <row r="57" spans="1:29">
      <c r="A57" s="327" t="s">
        <v>17</v>
      </c>
      <c r="B57" s="327">
        <f>MAX(SUMIF('Source-MNRE'!$AA$6:$AA$42,EG_SH_min[[#This Row],[SubGeography2]],'Source-MNRE'!$AE$6:$AE$42),0)</f>
        <v>0</v>
      </c>
      <c r="C57" s="327">
        <v>0</v>
      </c>
      <c r="D57" s="327">
        <v>0</v>
      </c>
      <c r="E57" s="327">
        <v>0</v>
      </c>
      <c r="F57" s="327">
        <v>0</v>
      </c>
      <c r="G57" s="327">
        <v>0</v>
      </c>
      <c r="H57" s="327">
        <v>0</v>
      </c>
      <c r="I57" s="327">
        <v>0</v>
      </c>
      <c r="J57" s="327">
        <v>0</v>
      </c>
      <c r="K57" s="327">
        <v>0</v>
      </c>
      <c r="L57" s="327">
        <v>0</v>
      </c>
      <c r="M57" s="327"/>
      <c r="N57" s="327">
        <v>98.5</v>
      </c>
      <c r="O57" s="388">
        <f t="shared" si="5"/>
        <v>2.1056434450892014E-2</v>
      </c>
      <c r="P57" s="327" t="s">
        <v>17</v>
      </c>
      <c r="Q57" s="327">
        <f>EG_SH_min[[#This Row],[2021]]</f>
        <v>0</v>
      </c>
      <c r="R57" s="327">
        <f t="shared" si="4"/>
        <v>21.056434450892013</v>
      </c>
      <c r="S57" s="327">
        <f t="shared" si="4"/>
        <v>21.056434450892013</v>
      </c>
      <c r="T57" s="327">
        <f t="shared" si="4"/>
        <v>21.056434450892013</v>
      </c>
      <c r="U57" s="327">
        <f t="shared" si="4"/>
        <v>21.056434450892013</v>
      </c>
      <c r="V57" s="327">
        <f t="shared" si="4"/>
        <v>21.056434450892013</v>
      </c>
      <c r="W57" s="327">
        <f t="shared" si="4"/>
        <v>21.056434450892013</v>
      </c>
      <c r="X57" s="327">
        <f t="shared" si="4"/>
        <v>21.056434450892013</v>
      </c>
      <c r="Y57" s="327">
        <f t="shared" si="4"/>
        <v>21.056434450892013</v>
      </c>
      <c r="Z57" s="327">
        <f t="shared" si="4"/>
        <v>21.056434450892013</v>
      </c>
      <c r="AA57" s="327">
        <f t="shared" si="4"/>
        <v>21.056434450892013</v>
      </c>
      <c r="AC57" s="416" t="e">
        <f>VLOOKUP(EG_SH_max[[#This Row],[SubGeography2]],$P$64:$Q$89,2,FALSE)</f>
        <v>#N/A</v>
      </c>
    </row>
    <row r="58" spans="1:29">
      <c r="A58" s="327" t="s">
        <v>92</v>
      </c>
      <c r="B58" s="327">
        <f>MAX(SUMIF('Source-MNRE'!$AA$6:$AA$42,EG_SH_min[[#This Row],[SubGeography2]],'Source-MNRE'!$AE$6:$AE$42),0)</f>
        <v>0</v>
      </c>
      <c r="C58" s="327">
        <v>0</v>
      </c>
      <c r="D58" s="327">
        <v>0</v>
      </c>
      <c r="E58" s="327">
        <v>0</v>
      </c>
      <c r="F58" s="327">
        <v>0</v>
      </c>
      <c r="G58" s="327">
        <v>0</v>
      </c>
      <c r="H58" s="327">
        <v>0</v>
      </c>
      <c r="I58" s="327">
        <v>0</v>
      </c>
      <c r="J58" s="327">
        <v>0</v>
      </c>
      <c r="K58" s="327">
        <v>0</v>
      </c>
      <c r="L58" s="327">
        <v>0</v>
      </c>
      <c r="M58" s="327"/>
      <c r="N58" s="327">
        <v>0</v>
      </c>
      <c r="O58" s="388">
        <f t="shared" si="5"/>
        <v>0</v>
      </c>
      <c r="P58" s="327" t="s">
        <v>92</v>
      </c>
      <c r="Q58" s="327">
        <f>EG_SH_min[[#This Row],[2021]]</f>
        <v>0</v>
      </c>
      <c r="R58" s="327">
        <f t="shared" si="4"/>
        <v>0</v>
      </c>
      <c r="S58" s="327">
        <f t="shared" ref="R58:AA59" si="6">$O58*S$60</f>
        <v>0</v>
      </c>
      <c r="T58" s="327">
        <f t="shared" si="6"/>
        <v>0</v>
      </c>
      <c r="U58" s="327">
        <f t="shared" si="6"/>
        <v>0</v>
      </c>
      <c r="V58" s="327">
        <f t="shared" si="6"/>
        <v>0</v>
      </c>
      <c r="W58" s="327">
        <f t="shared" si="6"/>
        <v>0</v>
      </c>
      <c r="X58" s="327">
        <f t="shared" si="6"/>
        <v>0</v>
      </c>
      <c r="Y58" s="327">
        <f t="shared" si="6"/>
        <v>0</v>
      </c>
      <c r="Z58" s="327">
        <f t="shared" si="6"/>
        <v>0</v>
      </c>
      <c r="AA58" s="327">
        <f t="shared" si="6"/>
        <v>0</v>
      </c>
      <c r="AC58" s="416" t="e">
        <f>VLOOKUP(EG_SH_max[[#This Row],[SubGeography2]],$P$64:$Q$89,2,FALSE)</f>
        <v>#N/A</v>
      </c>
    </row>
    <row r="59" spans="1:29">
      <c r="A59" s="327" t="s">
        <v>93</v>
      </c>
      <c r="B59" s="327">
        <f>MAX(SUMIF('Source-MNRE'!$AA$6:$AA$42,EG_SH_min[[#This Row],[SubGeography2]],'Source-MNRE'!$AE$6:$AE$42),0)</f>
        <v>0</v>
      </c>
      <c r="C59" s="327">
        <v>0</v>
      </c>
      <c r="D59" s="327">
        <v>0</v>
      </c>
      <c r="E59" s="327">
        <v>0</v>
      </c>
      <c r="F59" s="327">
        <v>0</v>
      </c>
      <c r="G59" s="327">
        <v>0</v>
      </c>
      <c r="H59" s="327">
        <v>0</v>
      </c>
      <c r="I59" s="327">
        <v>0</v>
      </c>
      <c r="J59" s="327">
        <v>0</v>
      </c>
      <c r="K59" s="327">
        <v>0</v>
      </c>
      <c r="L59" s="327">
        <v>0</v>
      </c>
      <c r="M59" s="327"/>
      <c r="N59" s="327">
        <v>0</v>
      </c>
      <c r="O59" s="388">
        <f t="shared" si="5"/>
        <v>0</v>
      </c>
      <c r="P59" s="327" t="s">
        <v>93</v>
      </c>
      <c r="Q59" s="327">
        <f>EG_SH_min[[#This Row],[2021]]</f>
        <v>0</v>
      </c>
      <c r="R59" s="327">
        <f t="shared" si="6"/>
        <v>0</v>
      </c>
      <c r="S59" s="327">
        <f t="shared" si="6"/>
        <v>0</v>
      </c>
      <c r="T59" s="327">
        <f t="shared" si="6"/>
        <v>0</v>
      </c>
      <c r="U59" s="327">
        <f t="shared" si="6"/>
        <v>0</v>
      </c>
      <c r="V59" s="327">
        <f t="shared" si="6"/>
        <v>0</v>
      </c>
      <c r="W59" s="327">
        <f t="shared" si="6"/>
        <v>0</v>
      </c>
      <c r="X59" s="327">
        <f t="shared" si="6"/>
        <v>0</v>
      </c>
      <c r="Y59" s="327">
        <f t="shared" si="6"/>
        <v>0</v>
      </c>
      <c r="Z59" s="327">
        <f t="shared" si="6"/>
        <v>0</v>
      </c>
      <c r="AA59" s="327">
        <f t="shared" si="6"/>
        <v>0</v>
      </c>
      <c r="AC59" s="416" t="e">
        <f>VLOOKUP(EG_SH_max[[#This Row],[SubGeography2]],$P$64:$Q$89,2,FALSE)</f>
        <v>#N/A</v>
      </c>
    </row>
    <row r="60" spans="1:29">
      <c r="R60" s="416">
        <f>'MaxCapacity-Input'!D9</f>
        <v>1000</v>
      </c>
      <c r="S60" s="416">
        <f>'MaxCapacity-Input'!E9</f>
        <v>1000</v>
      </c>
      <c r="T60" s="416">
        <f>'MaxCapacity-Input'!F9</f>
        <v>1000</v>
      </c>
      <c r="U60" s="416">
        <f>'MaxCapacity-Input'!G9</f>
        <v>1000</v>
      </c>
      <c r="V60" s="416">
        <f>'MaxCapacity-Input'!H9</f>
        <v>1000</v>
      </c>
      <c r="W60" s="416">
        <f>'MaxCapacity-Input'!I9</f>
        <v>1000</v>
      </c>
      <c r="X60" s="416">
        <f>'MaxCapacity-Input'!J9</f>
        <v>1000</v>
      </c>
      <c r="Y60" s="416">
        <f>'MaxCapacity-Input'!K9</f>
        <v>1000</v>
      </c>
      <c r="Z60" s="416">
        <f>'MaxCapacity-Input'!L9</f>
        <v>1000</v>
      </c>
      <c r="AA60" s="416">
        <f>'MaxCapacity-Input'!M9</f>
        <v>1000</v>
      </c>
    </row>
  </sheetData>
  <mergeCells count="1">
    <mergeCell ref="AE3:AF3"/>
  </mergeCells>
  <conditionalFormatting sqref="O35:O59">
    <cfRule type="colorScale" priority="1">
      <colorScale>
        <cfvo type="min"/>
        <cfvo type="percentile" val="50"/>
        <cfvo type="max"/>
        <color rgb="FFF8696B"/>
        <color rgb="FFFFEB84"/>
        <color rgb="FF63BE7B"/>
      </colorScale>
    </cfRule>
  </conditionalFormatting>
  <pageMargins left="0.7" right="0.7" top="0.75" bottom="0.75" header="0.3" footer="0.3"/>
  <tableParts count="4">
    <tablePart r:id="rId1"/>
    <tablePart r:id="rId2"/>
    <tablePart r:id="rId3"/>
    <tablePart r:id="rId4"/>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A91"/>
  <sheetViews>
    <sheetView zoomScaleNormal="100" workbookViewId="0"/>
  </sheetViews>
  <sheetFormatPr defaultRowHeight="15"/>
  <cols>
    <col min="1" max="1" width="18" style="416" bestFit="1" customWidth="1"/>
    <col min="2" max="2" width="17.42578125" style="416" customWidth="1"/>
    <col min="3" max="4" width="16.28515625" style="416" customWidth="1"/>
    <col min="5" max="5" width="7.28515625" style="416" bestFit="1" customWidth="1"/>
    <col min="6" max="6" width="24.28515625" style="416" customWidth="1"/>
    <col min="7" max="7" width="14.28515625" style="416" bestFit="1" customWidth="1"/>
    <col min="8" max="8" width="9.140625" style="416"/>
    <col min="9" max="9" width="16" style="416" customWidth="1"/>
    <col min="10" max="10" width="9.5703125" style="416" bestFit="1" customWidth="1"/>
    <col min="11" max="11" width="35.42578125" style="416" customWidth="1"/>
    <col min="12" max="12" width="16" style="416" customWidth="1"/>
    <col min="13" max="13" width="13.5703125" style="416" customWidth="1"/>
    <col min="14" max="14" width="14.42578125" style="416" customWidth="1"/>
    <col min="15" max="15" width="10.28515625" style="416" customWidth="1"/>
    <col min="16" max="16" width="11" style="416" customWidth="1"/>
    <col min="17" max="17" width="10.28515625" style="416" customWidth="1"/>
    <col min="18" max="18" width="11" style="416" bestFit="1" customWidth="1"/>
    <col min="19" max="19" width="10.28515625" style="416" customWidth="1"/>
    <col min="20" max="20" width="9.140625" style="416"/>
    <col min="21" max="21" width="10.42578125" style="416" bestFit="1" customWidth="1"/>
    <col min="22" max="16384" width="9.140625" style="416"/>
  </cols>
  <sheetData>
    <row r="1" spans="1:27" ht="22.5" customHeight="1">
      <c r="A1" s="416" t="s">
        <v>1380</v>
      </c>
    </row>
    <row r="2" spans="1:27">
      <c r="A2" s="395" t="s">
        <v>622</v>
      </c>
      <c r="B2" s="395" t="s">
        <v>1233</v>
      </c>
      <c r="C2" s="395" t="s">
        <v>1234</v>
      </c>
      <c r="D2" s="395" t="s">
        <v>621</v>
      </c>
      <c r="E2" s="395" t="s">
        <v>118</v>
      </c>
      <c r="F2" s="527" t="s">
        <v>942</v>
      </c>
      <c r="G2" s="395" t="s">
        <v>117</v>
      </c>
      <c r="I2" s="416" t="s">
        <v>1920</v>
      </c>
      <c r="K2" s="39" t="s">
        <v>1953</v>
      </c>
    </row>
    <row r="3" spans="1:27">
      <c r="A3" s="353" t="s">
        <v>1264</v>
      </c>
      <c r="B3" s="353" t="s">
        <v>1235</v>
      </c>
      <c r="C3" s="353"/>
      <c r="D3" s="353"/>
      <c r="E3" s="353">
        <v>2021</v>
      </c>
      <c r="F3" s="525">
        <f>MAX(I68*I3,G3)</f>
        <v>2.8963000000000001</v>
      </c>
      <c r="G3" s="354">
        <f>P57</f>
        <v>0</v>
      </c>
      <c r="I3" s="730">
        <v>0.1</v>
      </c>
      <c r="K3" s="39" t="s">
        <v>1954</v>
      </c>
    </row>
    <row r="4" spans="1:27">
      <c r="A4" s="351" t="s">
        <v>1264</v>
      </c>
      <c r="B4" s="351" t="s">
        <v>1235</v>
      </c>
      <c r="C4" s="351"/>
      <c r="D4" s="351"/>
      <c r="E4" s="351">
        <v>2022</v>
      </c>
      <c r="F4" s="525">
        <f>MAX(F3*(1+$I$3),G4)</f>
        <v>3.1859300000000004</v>
      </c>
      <c r="G4" s="352">
        <f>Q57</f>
        <v>0.11017025533445135</v>
      </c>
      <c r="K4" s="39" t="s">
        <v>1917</v>
      </c>
    </row>
    <row r="5" spans="1:27">
      <c r="A5" s="353" t="s">
        <v>1264</v>
      </c>
      <c r="B5" s="353" t="s">
        <v>1235</v>
      </c>
      <c r="C5" s="353"/>
      <c r="D5" s="353"/>
      <c r="E5" s="353">
        <v>2023</v>
      </c>
      <c r="F5" s="525">
        <f t="shared" ref="F5:F13" si="0">MAX(F4*(1+$I$3),G5)</f>
        <v>3.5045230000000007</v>
      </c>
      <c r="G5" s="354">
        <f>R57</f>
        <v>0.87667394670393195</v>
      </c>
      <c r="K5" s="39"/>
    </row>
    <row r="6" spans="1:27">
      <c r="A6" s="351" t="s">
        <v>1264</v>
      </c>
      <c r="B6" s="351" t="s">
        <v>1235</v>
      </c>
      <c r="C6" s="351"/>
      <c r="D6" s="351"/>
      <c r="E6" s="351">
        <v>2024</v>
      </c>
      <c r="F6" s="525">
        <f t="shared" si="0"/>
        <v>3.8549753000000013</v>
      </c>
      <c r="G6" s="352">
        <f>S57</f>
        <v>0.25784527844233296</v>
      </c>
    </row>
    <row r="7" spans="1:27">
      <c r="A7" s="353" t="s">
        <v>1264</v>
      </c>
      <c r="B7" s="353" t="s">
        <v>1235</v>
      </c>
      <c r="C7" s="353"/>
      <c r="D7" s="353"/>
      <c r="E7" s="353">
        <v>2025</v>
      </c>
      <c r="F7" s="525">
        <f t="shared" si="0"/>
        <v>4.2404728300000016</v>
      </c>
      <c r="G7" s="354">
        <f>T57</f>
        <v>1.1251430332029075</v>
      </c>
    </row>
    <row r="8" spans="1:27">
      <c r="A8" s="351" t="s">
        <v>1264</v>
      </c>
      <c r="B8" s="351" t="s">
        <v>1235</v>
      </c>
      <c r="C8" s="351"/>
      <c r="D8" s="351"/>
      <c r="E8" s="351">
        <v>2026</v>
      </c>
      <c r="F8" s="525">
        <f t="shared" si="0"/>
        <v>4.6645201130000018</v>
      </c>
      <c r="G8" s="352">
        <f>U57</f>
        <v>0.23440479858393903</v>
      </c>
    </row>
    <row r="9" spans="1:27" ht="15" customHeight="1">
      <c r="A9" s="353" t="s">
        <v>1264</v>
      </c>
      <c r="B9" s="353" t="s">
        <v>1235</v>
      </c>
      <c r="C9" s="353"/>
      <c r="D9" s="353"/>
      <c r="E9" s="353">
        <v>2027</v>
      </c>
      <c r="F9" s="525">
        <f t="shared" si="0"/>
        <v>5.1309721243000022</v>
      </c>
      <c r="G9" s="354">
        <f>V57</f>
        <v>0</v>
      </c>
      <c r="K9" s="731" t="s">
        <v>1265</v>
      </c>
      <c r="M9" s="355"/>
      <c r="N9" s="355"/>
      <c r="O9" s="355"/>
      <c r="P9" s="355"/>
      <c r="Q9" s="355"/>
      <c r="R9" s="355"/>
      <c r="S9" s="355"/>
      <c r="T9" s="355"/>
      <c r="U9" s="355"/>
      <c r="V9" s="355"/>
      <c r="W9" s="355"/>
      <c r="X9" s="355"/>
      <c r="Y9" s="355"/>
      <c r="Z9" s="355"/>
      <c r="AA9" s="355"/>
    </row>
    <row r="10" spans="1:27">
      <c r="A10" s="351" t="s">
        <v>1264</v>
      </c>
      <c r="B10" s="351" t="s">
        <v>1235</v>
      </c>
      <c r="C10" s="351"/>
      <c r="D10" s="351"/>
      <c r="E10" s="351">
        <v>2028</v>
      </c>
      <c r="F10" s="525">
        <f t="shared" si="0"/>
        <v>5.644069336730003</v>
      </c>
      <c r="G10" s="352">
        <f>W57</f>
        <v>0.46880959716787807</v>
      </c>
      <c r="K10" s="356" t="s">
        <v>1266</v>
      </c>
    </row>
    <row r="11" spans="1:27">
      <c r="A11" s="353" t="s">
        <v>1264</v>
      </c>
      <c r="B11" s="353" t="s">
        <v>1235</v>
      </c>
      <c r="C11" s="353"/>
      <c r="D11" s="353"/>
      <c r="E11" s="353">
        <v>2029</v>
      </c>
      <c r="F11" s="525">
        <f t="shared" si="0"/>
        <v>6.2084762704030041</v>
      </c>
      <c r="G11" s="354">
        <f>X57</f>
        <v>0</v>
      </c>
      <c r="K11" s="345" t="s">
        <v>1267</v>
      </c>
    </row>
    <row r="12" spans="1:27">
      <c r="A12" s="351" t="s">
        <v>1264</v>
      </c>
      <c r="B12" s="351" t="s">
        <v>1235</v>
      </c>
      <c r="C12" s="351"/>
      <c r="D12" s="351"/>
      <c r="E12" s="351">
        <v>2030</v>
      </c>
      <c r="F12" s="525">
        <f t="shared" si="0"/>
        <v>6.829323897443305</v>
      </c>
      <c r="G12" s="352">
        <f>Y57</f>
        <v>0</v>
      </c>
    </row>
    <row r="13" spans="1:27">
      <c r="A13" s="353" t="s">
        <v>1264</v>
      </c>
      <c r="B13" s="353" t="s">
        <v>1235</v>
      </c>
      <c r="C13" s="353"/>
      <c r="D13" s="353"/>
      <c r="E13" s="353">
        <v>2031</v>
      </c>
      <c r="F13" s="525">
        <f t="shared" si="0"/>
        <v>7.5122562871876362</v>
      </c>
      <c r="G13" s="354">
        <f>Z57</f>
        <v>0.33754290996087222</v>
      </c>
    </row>
    <row r="14" spans="1:27">
      <c r="A14" s="353" t="s">
        <v>1268</v>
      </c>
      <c r="B14" s="353" t="s">
        <v>1235</v>
      </c>
      <c r="C14" s="353"/>
      <c r="D14" s="353"/>
      <c r="E14" s="353">
        <v>2021</v>
      </c>
      <c r="F14" s="525">
        <f>I69*I3</f>
        <v>3.2972500000000005</v>
      </c>
      <c r="G14" s="354">
        <f>P58</f>
        <v>0</v>
      </c>
    </row>
    <row r="15" spans="1:27">
      <c r="A15" s="351" t="s">
        <v>1268</v>
      </c>
      <c r="B15" s="351" t="s">
        <v>1235</v>
      </c>
      <c r="C15" s="351"/>
      <c r="D15" s="351"/>
      <c r="E15" s="351">
        <v>2022</v>
      </c>
      <c r="F15" s="525">
        <f>MAX(F14*(1+$I$3),G15)</f>
        <v>3.6269750000000007</v>
      </c>
      <c r="G15" s="352">
        <f>Q58</f>
        <v>0.34452004415814413</v>
      </c>
      <c r="K15" s="416" t="s">
        <v>1955</v>
      </c>
    </row>
    <row r="16" spans="1:27">
      <c r="A16" s="353" t="s">
        <v>1268</v>
      </c>
      <c r="B16" s="353" t="s">
        <v>1235</v>
      </c>
      <c r="C16" s="353"/>
      <c r="D16" s="353"/>
      <c r="E16" s="353">
        <v>2023</v>
      </c>
      <c r="F16" s="525">
        <f t="shared" ref="F16:F57" si="1">MAX(F15*(1+$I$3),G16)</f>
        <v>3.9896725000000011</v>
      </c>
      <c r="G16" s="354">
        <f>R58</f>
        <v>2.7414999258541677</v>
      </c>
      <c r="K16" s="416" t="s">
        <v>1269</v>
      </c>
      <c r="N16" s="230" t="s">
        <v>1270</v>
      </c>
    </row>
    <row r="17" spans="1:26">
      <c r="A17" s="351" t="s">
        <v>1268</v>
      </c>
      <c r="B17" s="351" t="s">
        <v>1235</v>
      </c>
      <c r="C17" s="351"/>
      <c r="D17" s="351"/>
      <c r="E17" s="351">
        <v>2024</v>
      </c>
      <c r="F17" s="525">
        <f t="shared" si="1"/>
        <v>4.3886397500000012</v>
      </c>
      <c r="G17" s="352">
        <f>S58</f>
        <v>0.80632350760416704</v>
      </c>
      <c r="K17" s="732" t="s">
        <v>1271</v>
      </c>
      <c r="L17" s="733"/>
      <c r="M17" s="339"/>
      <c r="N17" s="230" t="s">
        <v>1272</v>
      </c>
    </row>
    <row r="18" spans="1:26">
      <c r="A18" s="353" t="s">
        <v>1268</v>
      </c>
      <c r="B18" s="353" t="s">
        <v>1235</v>
      </c>
      <c r="C18" s="353"/>
      <c r="D18" s="353"/>
      <c r="E18" s="353">
        <v>2025</v>
      </c>
      <c r="F18" s="525">
        <f t="shared" si="1"/>
        <v>4.8275037250000015</v>
      </c>
      <c r="G18" s="354">
        <f>T58</f>
        <v>3.5185025786363653</v>
      </c>
      <c r="K18" s="339"/>
      <c r="N18" s="230"/>
    </row>
    <row r="19" spans="1:26">
      <c r="A19" s="351" t="s">
        <v>1268</v>
      </c>
      <c r="B19" s="351" t="s">
        <v>1235</v>
      </c>
      <c r="C19" s="351"/>
      <c r="D19" s="351"/>
      <c r="E19" s="351">
        <v>2026</v>
      </c>
      <c r="F19" s="525">
        <f t="shared" si="1"/>
        <v>5.3102540975000023</v>
      </c>
      <c r="G19" s="352">
        <f>U58</f>
        <v>0.73302137054924277</v>
      </c>
      <c r="I19" s="681"/>
      <c r="J19" s="681"/>
      <c r="K19" s="416" t="s">
        <v>1273</v>
      </c>
    </row>
    <row r="20" spans="1:26" ht="30">
      <c r="A20" s="353" t="s">
        <v>1268</v>
      </c>
      <c r="B20" s="353" t="s">
        <v>1235</v>
      </c>
      <c r="C20" s="353"/>
      <c r="D20" s="353"/>
      <c r="E20" s="353">
        <v>2027</v>
      </c>
      <c r="F20" s="525">
        <f t="shared" si="1"/>
        <v>5.841279507250003</v>
      </c>
      <c r="G20" s="354">
        <f>V58</f>
        <v>0</v>
      </c>
      <c r="I20" s="358" t="s">
        <v>1274</v>
      </c>
      <c r="J20" s="359" t="s">
        <v>1275</v>
      </c>
      <c r="K20" s="360" t="s">
        <v>1276</v>
      </c>
      <c r="L20" s="361" t="s">
        <v>1277</v>
      </c>
      <c r="M20" s="361" t="s">
        <v>1278</v>
      </c>
      <c r="N20" s="361" t="s">
        <v>1279</v>
      </c>
      <c r="O20" s="362">
        <v>2020</v>
      </c>
      <c r="P20" s="362">
        <v>2021</v>
      </c>
      <c r="Q20" s="362">
        <v>2022</v>
      </c>
      <c r="R20" s="362">
        <v>2023</v>
      </c>
      <c r="S20" s="362">
        <v>2024</v>
      </c>
      <c r="T20" s="362">
        <v>2025</v>
      </c>
      <c r="U20" s="362">
        <v>2026</v>
      </c>
      <c r="V20" s="362">
        <v>2027</v>
      </c>
      <c r="W20" s="362">
        <v>2028</v>
      </c>
      <c r="X20" s="362">
        <v>2029</v>
      </c>
      <c r="Y20" s="363">
        <v>2030</v>
      </c>
      <c r="Z20" s="363">
        <v>2031</v>
      </c>
    </row>
    <row r="21" spans="1:26">
      <c r="A21" s="351" t="s">
        <v>1268</v>
      </c>
      <c r="B21" s="351" t="s">
        <v>1235</v>
      </c>
      <c r="C21" s="351"/>
      <c r="D21" s="351"/>
      <c r="E21" s="351">
        <v>2028</v>
      </c>
      <c r="F21" s="525">
        <f t="shared" si="1"/>
        <v>6.4254074579750036</v>
      </c>
      <c r="G21" s="352">
        <f>W58</f>
        <v>1.4660427410984855</v>
      </c>
      <c r="I21" s="1076" t="s">
        <v>1280</v>
      </c>
      <c r="J21" s="359">
        <v>1</v>
      </c>
      <c r="K21" s="360" t="s">
        <v>1281</v>
      </c>
      <c r="L21" s="362">
        <v>0.65</v>
      </c>
      <c r="M21" s="364"/>
      <c r="N21" s="364">
        <f>SUM(L21:M21)</f>
        <v>0.65</v>
      </c>
      <c r="O21" s="364"/>
      <c r="P21" s="364"/>
      <c r="Q21" s="364"/>
      <c r="R21" s="364"/>
      <c r="S21" s="364"/>
      <c r="T21" s="364"/>
      <c r="U21" s="364"/>
      <c r="V21" s="364"/>
      <c r="W21" s="364"/>
      <c r="X21" s="364"/>
      <c r="Y21" s="360"/>
      <c r="Z21" s="360"/>
    </row>
    <row r="22" spans="1:26">
      <c r="A22" s="353" t="s">
        <v>1268</v>
      </c>
      <c r="B22" s="353" t="s">
        <v>1235</v>
      </c>
      <c r="C22" s="353"/>
      <c r="D22" s="353"/>
      <c r="E22" s="353">
        <v>2029</v>
      </c>
      <c r="F22" s="525">
        <f t="shared" si="1"/>
        <v>7.0679482037725041</v>
      </c>
      <c r="G22" s="354">
        <f>X58</f>
        <v>0</v>
      </c>
      <c r="I22" s="1076"/>
      <c r="J22" s="359">
        <v>2</v>
      </c>
      <c r="K22" s="360" t="s">
        <v>1282</v>
      </c>
      <c r="L22" s="364">
        <v>1</v>
      </c>
      <c r="M22" s="364"/>
      <c r="N22" s="364">
        <f t="shared" ref="N22:N45" si="2">SUM(L22:M22)</f>
        <v>1</v>
      </c>
      <c r="O22" s="364"/>
      <c r="P22" s="364"/>
      <c r="Q22" s="364"/>
      <c r="R22" s="364"/>
      <c r="S22" s="364"/>
      <c r="T22" s="364"/>
      <c r="U22" s="364"/>
      <c r="V22" s="364"/>
      <c r="W22" s="364"/>
      <c r="X22" s="364"/>
      <c r="Y22" s="360"/>
      <c r="Z22" s="360"/>
    </row>
    <row r="23" spans="1:26">
      <c r="A23" s="351" t="s">
        <v>1268</v>
      </c>
      <c r="B23" s="351" t="s">
        <v>1235</v>
      </c>
      <c r="C23" s="351"/>
      <c r="D23" s="351"/>
      <c r="E23" s="351">
        <v>2030</v>
      </c>
      <c r="F23" s="525">
        <f t="shared" si="1"/>
        <v>7.774743024149755</v>
      </c>
      <c r="G23" s="352">
        <f>Y58</f>
        <v>0</v>
      </c>
      <c r="I23" s="1076"/>
      <c r="J23" s="359">
        <v>3</v>
      </c>
      <c r="K23" s="360" t="s">
        <v>1283</v>
      </c>
      <c r="L23" s="364">
        <v>6</v>
      </c>
      <c r="M23" s="734">
        <v>3</v>
      </c>
      <c r="N23" s="364">
        <f t="shared" si="2"/>
        <v>9</v>
      </c>
      <c r="O23" s="364" t="s">
        <v>1284</v>
      </c>
      <c r="P23" s="364"/>
      <c r="Q23" s="364"/>
      <c r="R23" s="364">
        <v>3</v>
      </c>
      <c r="S23" s="364"/>
      <c r="T23" s="364"/>
      <c r="U23" s="364"/>
      <c r="V23" s="364"/>
      <c r="W23" s="364"/>
      <c r="X23" s="364"/>
      <c r="Y23" s="360"/>
      <c r="Z23" s="360"/>
    </row>
    <row r="24" spans="1:26">
      <c r="A24" s="353" t="s">
        <v>1268</v>
      </c>
      <c r="B24" s="353" t="s">
        <v>1235</v>
      </c>
      <c r="C24" s="353"/>
      <c r="D24" s="353"/>
      <c r="E24" s="353">
        <v>2031</v>
      </c>
      <c r="F24" s="525">
        <f t="shared" si="1"/>
        <v>8.5522173265647314</v>
      </c>
      <c r="G24" s="354">
        <f>Z58</f>
        <v>1.0555507735909095</v>
      </c>
      <c r="I24" s="1076"/>
      <c r="J24" s="359">
        <v>4</v>
      </c>
      <c r="K24" s="360" t="s">
        <v>1285</v>
      </c>
      <c r="L24" s="364">
        <v>13.7</v>
      </c>
      <c r="M24" s="734">
        <v>4.3</v>
      </c>
      <c r="N24" s="364">
        <f t="shared" si="2"/>
        <v>18</v>
      </c>
      <c r="O24" s="364"/>
      <c r="P24" s="364"/>
      <c r="Q24" s="364"/>
      <c r="R24" s="364"/>
      <c r="S24" s="364">
        <v>4.3</v>
      </c>
      <c r="T24" s="364"/>
      <c r="U24" s="364"/>
      <c r="V24" s="364"/>
      <c r="W24" s="364"/>
      <c r="X24" s="364"/>
      <c r="Y24" s="360"/>
      <c r="Z24" s="360"/>
    </row>
    <row r="25" spans="1:26">
      <c r="A25" s="353" t="s">
        <v>1288</v>
      </c>
      <c r="B25" s="353" t="s">
        <v>1235</v>
      </c>
      <c r="C25" s="353"/>
      <c r="D25" s="353"/>
      <c r="E25" s="353">
        <v>2021</v>
      </c>
      <c r="F25" s="525">
        <f>I70*I3</f>
        <v>0.87989000000000006</v>
      </c>
      <c r="G25" s="354">
        <f>P59</f>
        <v>0</v>
      </c>
      <c r="I25" s="1076"/>
      <c r="J25" s="359">
        <v>5</v>
      </c>
      <c r="K25" s="360" t="s">
        <v>1286</v>
      </c>
      <c r="L25" s="364">
        <v>2.35</v>
      </c>
      <c r="M25" s="734">
        <v>0.35</v>
      </c>
      <c r="N25" s="364">
        <f t="shared" si="2"/>
        <v>2.7</v>
      </c>
      <c r="O25" s="364"/>
      <c r="P25" s="364"/>
      <c r="Q25" s="365">
        <v>0.35</v>
      </c>
      <c r="R25" s="364"/>
      <c r="S25" s="364"/>
      <c r="T25" s="364"/>
      <c r="U25" s="364"/>
      <c r="V25" s="364"/>
      <c r="W25" s="364"/>
      <c r="X25" s="364"/>
      <c r="Y25" s="360"/>
      <c r="Z25" s="360"/>
    </row>
    <row r="26" spans="1:26">
      <c r="A26" s="351" t="s">
        <v>1288</v>
      </c>
      <c r="B26" s="351" t="s">
        <v>1235</v>
      </c>
      <c r="C26" s="351"/>
      <c r="D26" s="351"/>
      <c r="E26" s="351">
        <v>2022</v>
      </c>
      <c r="F26" s="525">
        <f t="shared" si="1"/>
        <v>0.96787900000000016</v>
      </c>
      <c r="G26" s="352">
        <f>Q59</f>
        <v>0.12856860341802742</v>
      </c>
      <c r="I26" s="1076"/>
      <c r="J26" s="359">
        <v>6</v>
      </c>
      <c r="K26" s="360" t="s">
        <v>1287</v>
      </c>
      <c r="L26" s="364">
        <v>8</v>
      </c>
      <c r="M26" s="364"/>
      <c r="N26" s="364">
        <f t="shared" si="2"/>
        <v>8</v>
      </c>
      <c r="O26" s="364"/>
      <c r="P26" s="364"/>
      <c r="Q26" s="364"/>
      <c r="R26" s="364"/>
      <c r="S26" s="364"/>
      <c r="T26" s="364"/>
      <c r="U26" s="364"/>
      <c r="V26" s="364"/>
      <c r="W26" s="364"/>
      <c r="X26" s="364"/>
      <c r="Y26" s="360"/>
      <c r="Z26" s="360"/>
    </row>
    <row r="27" spans="1:26">
      <c r="A27" s="353" t="s">
        <v>1288</v>
      </c>
      <c r="B27" s="353" t="s">
        <v>1235</v>
      </c>
      <c r="C27" s="353"/>
      <c r="D27" s="353"/>
      <c r="E27" s="353">
        <v>2023</v>
      </c>
      <c r="F27" s="525">
        <f t="shared" si="1"/>
        <v>1.0646669000000002</v>
      </c>
      <c r="G27" s="354">
        <f>R59</f>
        <v>1.0230778229434523</v>
      </c>
      <c r="I27" s="1076"/>
      <c r="J27" s="359">
        <v>7</v>
      </c>
      <c r="K27" s="360" t="s">
        <v>1289</v>
      </c>
      <c r="L27" s="364">
        <v>8</v>
      </c>
      <c r="M27" s="365">
        <v>1.2</v>
      </c>
      <c r="N27" s="364">
        <f t="shared" si="2"/>
        <v>9.1999999999999993</v>
      </c>
      <c r="O27" s="364"/>
      <c r="P27" s="364"/>
      <c r="Q27" s="364"/>
      <c r="R27" s="364"/>
      <c r="S27" s="364">
        <v>1.2</v>
      </c>
      <c r="T27" s="364"/>
      <c r="U27" s="364"/>
      <c r="V27" s="364"/>
      <c r="W27" s="364"/>
      <c r="X27" s="364"/>
      <c r="Y27" s="360"/>
      <c r="Z27" s="360"/>
    </row>
    <row r="28" spans="1:26">
      <c r="A28" s="351" t="s">
        <v>1288</v>
      </c>
      <c r="B28" s="351" t="s">
        <v>1235</v>
      </c>
      <c r="C28" s="351"/>
      <c r="D28" s="351"/>
      <c r="E28" s="351">
        <v>2024</v>
      </c>
      <c r="F28" s="525">
        <f t="shared" si="1"/>
        <v>1.1711335900000004</v>
      </c>
      <c r="G28" s="352">
        <f>S59</f>
        <v>0.30090524204219182</v>
      </c>
      <c r="I28" s="1076"/>
      <c r="J28" s="359">
        <v>8</v>
      </c>
      <c r="K28" s="360" t="s">
        <v>1290</v>
      </c>
      <c r="L28" s="364">
        <v>15</v>
      </c>
      <c r="M28" s="734">
        <v>10</v>
      </c>
      <c r="N28" s="364">
        <f t="shared" si="2"/>
        <v>25</v>
      </c>
      <c r="O28" s="364" t="s">
        <v>1291</v>
      </c>
      <c r="P28" s="364"/>
      <c r="Q28" s="364"/>
      <c r="R28" s="364"/>
      <c r="S28" s="364"/>
      <c r="T28" s="364">
        <v>10</v>
      </c>
      <c r="U28" s="364"/>
      <c r="V28" s="364"/>
      <c r="W28" s="364"/>
      <c r="X28" s="364"/>
      <c r="Y28" s="360"/>
      <c r="Z28" s="360"/>
    </row>
    <row r="29" spans="1:26">
      <c r="A29" s="353" t="s">
        <v>1288</v>
      </c>
      <c r="B29" s="353" t="s">
        <v>1235</v>
      </c>
      <c r="C29" s="353"/>
      <c r="D29" s="353"/>
      <c r="E29" s="353">
        <v>2025</v>
      </c>
      <c r="F29" s="525">
        <f t="shared" si="1"/>
        <v>1.3130410561841099</v>
      </c>
      <c r="G29" s="354">
        <f>T59</f>
        <v>1.3130410561841099</v>
      </c>
      <c r="I29" s="1076"/>
      <c r="J29" s="359">
        <v>9</v>
      </c>
      <c r="K29" s="360" t="s">
        <v>1292</v>
      </c>
      <c r="L29" s="364">
        <v>15</v>
      </c>
      <c r="M29" s="735">
        <v>10</v>
      </c>
      <c r="N29" s="364">
        <f t="shared" si="2"/>
        <v>25</v>
      </c>
      <c r="O29" s="364"/>
      <c r="P29" s="364"/>
      <c r="Q29" s="364"/>
      <c r="R29" s="364"/>
      <c r="S29" s="364"/>
      <c r="T29" s="364"/>
      <c r="U29" s="364"/>
      <c r="V29" s="364"/>
      <c r="W29" s="735">
        <v>10</v>
      </c>
      <c r="X29" s="364"/>
      <c r="Y29" s="360"/>
      <c r="Z29" s="360"/>
    </row>
    <row r="30" spans="1:26">
      <c r="A30" s="351" t="s">
        <v>1288</v>
      </c>
      <c r="B30" s="351" t="s">
        <v>1235</v>
      </c>
      <c r="C30" s="351"/>
      <c r="D30" s="351"/>
      <c r="E30" s="351">
        <v>2026</v>
      </c>
      <c r="F30" s="525">
        <f t="shared" si="1"/>
        <v>1.4443451618025211</v>
      </c>
      <c r="G30" s="352">
        <f>U59</f>
        <v>0.27355022003835622</v>
      </c>
      <c r="I30" s="1076" t="s">
        <v>1293</v>
      </c>
      <c r="J30" s="359">
        <v>10</v>
      </c>
      <c r="K30" s="360" t="s">
        <v>1294</v>
      </c>
      <c r="L30" s="364">
        <v>7.5</v>
      </c>
      <c r="M30" s="734">
        <v>2</v>
      </c>
      <c r="N30" s="364">
        <f t="shared" si="2"/>
        <v>9.5</v>
      </c>
      <c r="O30" s="364"/>
      <c r="P30" s="364"/>
      <c r="Q30" s="364">
        <v>2</v>
      </c>
      <c r="R30" s="364"/>
      <c r="S30" s="364"/>
      <c r="T30" s="364"/>
      <c r="U30" s="364"/>
      <c r="V30" s="364"/>
      <c r="W30" s="364"/>
      <c r="X30" s="364"/>
      <c r="Y30" s="360"/>
      <c r="Z30" s="360"/>
    </row>
    <row r="31" spans="1:26">
      <c r="A31" s="353" t="s">
        <v>1288</v>
      </c>
      <c r="B31" s="353" t="s">
        <v>1235</v>
      </c>
      <c r="C31" s="353"/>
      <c r="D31" s="353"/>
      <c r="E31" s="353">
        <v>2027</v>
      </c>
      <c r="F31" s="525">
        <f t="shared" si="1"/>
        <v>1.5887796779827734</v>
      </c>
      <c r="G31" s="354">
        <f>V59</f>
        <v>0</v>
      </c>
      <c r="I31" s="1076"/>
      <c r="J31" s="359">
        <v>11</v>
      </c>
      <c r="K31" s="360" t="s">
        <v>1295</v>
      </c>
      <c r="L31" s="364">
        <v>8.3000000000000007</v>
      </c>
      <c r="M31" s="734">
        <v>6.7</v>
      </c>
      <c r="N31" s="364">
        <f t="shared" si="2"/>
        <v>15</v>
      </c>
      <c r="O31" s="364"/>
      <c r="P31" s="364"/>
      <c r="Q31" s="364"/>
      <c r="R31" s="364">
        <v>6.7</v>
      </c>
      <c r="S31" s="364"/>
      <c r="T31" s="364"/>
      <c r="U31" s="364"/>
      <c r="V31" s="364"/>
      <c r="W31" s="364"/>
      <c r="X31" s="364"/>
      <c r="Y31" s="360"/>
      <c r="Z31" s="360"/>
    </row>
    <row r="32" spans="1:26">
      <c r="A32" s="351" t="s">
        <v>1288</v>
      </c>
      <c r="B32" s="351" t="s">
        <v>1235</v>
      </c>
      <c r="C32" s="351"/>
      <c r="D32" s="351"/>
      <c r="E32" s="351">
        <v>2028</v>
      </c>
      <c r="F32" s="525">
        <f t="shared" si="1"/>
        <v>1.7476576457810509</v>
      </c>
      <c r="G32" s="352">
        <f>W59</f>
        <v>0.54710044007671244</v>
      </c>
      <c r="I32" s="1076" t="s">
        <v>1296</v>
      </c>
      <c r="J32" s="359">
        <v>12</v>
      </c>
      <c r="K32" s="360" t="s">
        <v>1294</v>
      </c>
      <c r="L32" s="364">
        <v>12</v>
      </c>
      <c r="M32" s="364"/>
      <c r="N32" s="364">
        <f t="shared" si="2"/>
        <v>12</v>
      </c>
      <c r="O32" s="364"/>
      <c r="P32" s="364"/>
      <c r="Q32" s="364"/>
      <c r="R32" s="364"/>
      <c r="S32" s="364"/>
      <c r="T32" s="364"/>
      <c r="U32" s="364"/>
      <c r="V32" s="364"/>
      <c r="W32" s="364"/>
      <c r="X32" s="364"/>
      <c r="Y32" s="360"/>
      <c r="Z32" s="360"/>
    </row>
    <row r="33" spans="1:26">
      <c r="A33" s="353" t="s">
        <v>1288</v>
      </c>
      <c r="B33" s="353" t="s">
        <v>1235</v>
      </c>
      <c r="C33" s="353"/>
      <c r="D33" s="353"/>
      <c r="E33" s="353">
        <v>2029</v>
      </c>
      <c r="F33" s="525">
        <f t="shared" si="1"/>
        <v>1.9224234103591562</v>
      </c>
      <c r="G33" s="354">
        <f>X59</f>
        <v>0</v>
      </c>
      <c r="I33" s="1076"/>
      <c r="J33" s="359">
        <v>13</v>
      </c>
      <c r="K33" s="360" t="s">
        <v>1297</v>
      </c>
      <c r="L33" s="364">
        <v>15.5</v>
      </c>
      <c r="M33" s="735">
        <v>5</v>
      </c>
      <c r="N33" s="365">
        <f t="shared" si="2"/>
        <v>20.5</v>
      </c>
      <c r="O33" s="364"/>
      <c r="P33" s="364"/>
      <c r="Q33" s="364"/>
      <c r="R33" s="364"/>
      <c r="S33" s="364"/>
      <c r="T33" s="364"/>
      <c r="U33" s="735">
        <v>5</v>
      </c>
      <c r="V33" s="364"/>
      <c r="W33" s="364"/>
      <c r="X33" s="364"/>
      <c r="Y33" s="360"/>
      <c r="Z33" s="360"/>
    </row>
    <row r="34" spans="1:26">
      <c r="A34" s="351" t="s">
        <v>1288</v>
      </c>
      <c r="B34" s="351" t="s">
        <v>1235</v>
      </c>
      <c r="C34" s="351"/>
      <c r="D34" s="351"/>
      <c r="E34" s="351">
        <v>2030</v>
      </c>
      <c r="F34" s="525">
        <f t="shared" si="1"/>
        <v>2.114665751395072</v>
      </c>
      <c r="G34" s="352">
        <f>Y59</f>
        <v>0</v>
      </c>
      <c r="I34" s="1076" t="s">
        <v>1298</v>
      </c>
      <c r="J34" s="359">
        <v>14</v>
      </c>
      <c r="K34" s="360" t="s">
        <v>1299</v>
      </c>
      <c r="L34" s="364">
        <v>10.5</v>
      </c>
      <c r="M34" s="364"/>
      <c r="N34" s="364">
        <f t="shared" si="2"/>
        <v>10.5</v>
      </c>
      <c r="O34" s="364"/>
      <c r="P34" s="364"/>
      <c r="Q34" s="364"/>
      <c r="R34" s="364"/>
      <c r="S34" s="364"/>
      <c r="T34" s="364"/>
      <c r="U34" s="364"/>
      <c r="V34" s="364"/>
      <c r="W34" s="364"/>
      <c r="X34" s="364"/>
      <c r="Y34" s="360"/>
      <c r="Z34" s="360"/>
    </row>
    <row r="35" spans="1:26">
      <c r="A35" s="353" t="s">
        <v>1288</v>
      </c>
      <c r="B35" s="353" t="s">
        <v>1235</v>
      </c>
      <c r="C35" s="353"/>
      <c r="D35" s="353"/>
      <c r="E35" s="353">
        <v>2031</v>
      </c>
      <c r="F35" s="525">
        <f t="shared" si="1"/>
        <v>2.3261323265345792</v>
      </c>
      <c r="G35" s="354">
        <f>Z59</f>
        <v>0.39391231685523298</v>
      </c>
      <c r="I35" s="1076"/>
      <c r="J35" s="359">
        <v>15</v>
      </c>
      <c r="K35" s="360" t="s">
        <v>1300</v>
      </c>
      <c r="L35" s="364">
        <v>1</v>
      </c>
      <c r="M35" s="734">
        <v>8</v>
      </c>
      <c r="N35" s="364">
        <f t="shared" si="2"/>
        <v>9</v>
      </c>
      <c r="O35" s="364"/>
      <c r="P35" s="364"/>
      <c r="Q35" s="364"/>
      <c r="R35" s="364"/>
      <c r="S35" s="364"/>
      <c r="T35" s="364">
        <v>8</v>
      </c>
      <c r="V35" s="364"/>
      <c r="W35" s="364"/>
      <c r="X35" s="364"/>
      <c r="Y35" s="360"/>
      <c r="Z35" s="360"/>
    </row>
    <row r="36" spans="1:26">
      <c r="A36" s="353" t="s">
        <v>1307</v>
      </c>
      <c r="B36" s="353" t="s">
        <v>1235</v>
      </c>
      <c r="C36" s="353"/>
      <c r="D36" s="353"/>
      <c r="E36" s="353">
        <v>2021</v>
      </c>
      <c r="F36" s="525">
        <f>I71*I3</f>
        <v>9.0862200000000026</v>
      </c>
      <c r="G36" s="354">
        <f>P60</f>
        <v>0</v>
      </c>
      <c r="I36" s="366" t="s">
        <v>1301</v>
      </c>
      <c r="J36" s="359">
        <v>16</v>
      </c>
      <c r="K36" s="360" t="s">
        <v>1302</v>
      </c>
      <c r="L36" s="364">
        <v>3</v>
      </c>
      <c r="M36" s="734">
        <v>6</v>
      </c>
      <c r="N36" s="364">
        <f t="shared" si="2"/>
        <v>9</v>
      </c>
      <c r="O36" s="364"/>
      <c r="P36" s="364" t="s">
        <v>1303</v>
      </c>
      <c r="Q36" s="364"/>
      <c r="R36" s="364"/>
      <c r="S36" s="364"/>
      <c r="T36" s="364">
        <v>6</v>
      </c>
      <c r="U36" s="364"/>
      <c r="V36" s="364"/>
      <c r="W36" s="364"/>
      <c r="X36" s="364"/>
      <c r="Y36" s="360"/>
      <c r="Z36" s="360"/>
    </row>
    <row r="37" spans="1:26">
      <c r="A37" s="351" t="s">
        <v>1307</v>
      </c>
      <c r="B37" s="351" t="s">
        <v>1235</v>
      </c>
      <c r="C37" s="351"/>
      <c r="D37" s="351"/>
      <c r="E37" s="351">
        <v>2022</v>
      </c>
      <c r="F37" s="525">
        <f t="shared" si="1"/>
        <v>9.9948420000000038</v>
      </c>
      <c r="G37" s="352">
        <f>Q60</f>
        <v>0.99571469036480398</v>
      </c>
      <c r="I37" s="366" t="s">
        <v>1304</v>
      </c>
      <c r="J37" s="359">
        <v>17</v>
      </c>
      <c r="K37" s="360" t="s">
        <v>1305</v>
      </c>
      <c r="L37" s="364">
        <v>15</v>
      </c>
      <c r="M37" s="364"/>
      <c r="N37" s="364">
        <f t="shared" si="2"/>
        <v>15</v>
      </c>
      <c r="O37" s="364"/>
      <c r="P37" s="364"/>
      <c r="Q37" s="364"/>
      <c r="R37" s="364"/>
      <c r="S37" s="364"/>
      <c r="T37" s="364"/>
      <c r="U37" s="364"/>
      <c r="V37" s="364"/>
      <c r="W37" s="364"/>
      <c r="X37" s="364"/>
      <c r="Y37" s="360"/>
      <c r="Z37" s="360"/>
    </row>
    <row r="38" spans="1:26">
      <c r="A38" s="353" t="s">
        <v>1307</v>
      </c>
      <c r="B38" s="353" t="s">
        <v>1235</v>
      </c>
      <c r="C38" s="353"/>
      <c r="D38" s="353"/>
      <c r="E38" s="353">
        <v>2023</v>
      </c>
      <c r="F38" s="525">
        <f t="shared" si="1"/>
        <v>10.994326200000005</v>
      </c>
      <c r="G38" s="354">
        <f>R60</f>
        <v>7.9233466850305678</v>
      </c>
      <c r="I38" s="366" t="s">
        <v>908</v>
      </c>
      <c r="J38" s="359">
        <v>18</v>
      </c>
      <c r="K38" s="360" t="s">
        <v>1306</v>
      </c>
      <c r="L38" s="367">
        <v>6.6000000000000003E-2</v>
      </c>
      <c r="M38" s="364"/>
      <c r="N38" s="364">
        <f t="shared" si="2"/>
        <v>6.6000000000000003E-2</v>
      </c>
      <c r="O38" s="364"/>
      <c r="P38" s="364"/>
      <c r="Q38" s="364"/>
      <c r="R38" s="364"/>
      <c r="S38" s="364"/>
      <c r="T38" s="364"/>
      <c r="U38" s="364"/>
      <c r="V38" s="364"/>
      <c r="W38" s="364"/>
      <c r="X38" s="364"/>
      <c r="Y38" s="360"/>
      <c r="Z38" s="360"/>
    </row>
    <row r="39" spans="1:26">
      <c r="A39" s="351" t="s">
        <v>1307</v>
      </c>
      <c r="B39" s="351" t="s">
        <v>1235</v>
      </c>
      <c r="C39" s="351"/>
      <c r="D39" s="351"/>
      <c r="E39" s="351">
        <v>2024</v>
      </c>
      <c r="F39" s="525">
        <f t="shared" si="1"/>
        <v>12.093758820000007</v>
      </c>
      <c r="G39" s="352">
        <f>S60</f>
        <v>2.3303960838325199</v>
      </c>
      <c r="I39" s="1077" t="s">
        <v>1308</v>
      </c>
      <c r="J39" s="359">
        <v>19</v>
      </c>
      <c r="K39" s="360" t="s">
        <v>1309</v>
      </c>
      <c r="L39" s="364">
        <v>7.8</v>
      </c>
      <c r="M39" s="735">
        <v>7.2</v>
      </c>
      <c r="N39" s="365">
        <f t="shared" si="2"/>
        <v>15</v>
      </c>
      <c r="O39" s="364"/>
      <c r="P39" s="364"/>
      <c r="Q39" s="364"/>
      <c r="R39" s="364"/>
      <c r="S39" s="364"/>
      <c r="T39" s="364"/>
      <c r="U39" s="364"/>
      <c r="V39" s="364"/>
      <c r="W39" s="364"/>
      <c r="X39" s="364"/>
      <c r="Y39" s="360"/>
      <c r="Z39" s="735">
        <v>7.2</v>
      </c>
    </row>
    <row r="40" spans="1:26">
      <c r="A40" s="353" t="s">
        <v>1307</v>
      </c>
      <c r="B40" s="353" t="s">
        <v>1235</v>
      </c>
      <c r="C40" s="353"/>
      <c r="D40" s="353"/>
      <c r="E40" s="353">
        <v>2025</v>
      </c>
      <c r="F40" s="525">
        <f t="shared" si="1"/>
        <v>13.303134702000008</v>
      </c>
      <c r="G40" s="354">
        <f>T60</f>
        <v>10.16900109308736</v>
      </c>
      <c r="I40" s="1077"/>
      <c r="J40" s="359">
        <v>20</v>
      </c>
      <c r="K40" s="360" t="s">
        <v>1310</v>
      </c>
      <c r="L40" s="364">
        <v>11.3</v>
      </c>
      <c r="M40" s="364"/>
      <c r="N40" s="364">
        <f t="shared" si="2"/>
        <v>11.3</v>
      </c>
      <c r="O40" s="364"/>
      <c r="P40" s="364"/>
      <c r="Q40" s="364"/>
      <c r="R40" s="364"/>
      <c r="S40" s="364"/>
      <c r="T40" s="364"/>
      <c r="U40" s="364"/>
      <c r="V40" s="364"/>
      <c r="W40" s="364"/>
      <c r="X40" s="364"/>
      <c r="Y40" s="360"/>
      <c r="Z40" s="360"/>
    </row>
    <row r="41" spans="1:26">
      <c r="A41" s="351" t="s">
        <v>1307</v>
      </c>
      <c r="B41" s="351" t="s">
        <v>1235</v>
      </c>
      <c r="C41" s="351"/>
      <c r="D41" s="351"/>
      <c r="E41" s="351">
        <v>2026</v>
      </c>
      <c r="F41" s="525">
        <f t="shared" si="1"/>
        <v>14.63344817220001</v>
      </c>
      <c r="G41" s="352">
        <f>U60</f>
        <v>2.1185418943932</v>
      </c>
      <c r="I41" s="1076" t="s">
        <v>1311</v>
      </c>
      <c r="J41" s="359">
        <v>21</v>
      </c>
      <c r="K41" s="360" t="s">
        <v>1312</v>
      </c>
      <c r="L41" s="364">
        <v>33</v>
      </c>
      <c r="M41" s="364"/>
      <c r="N41" s="364">
        <f t="shared" si="2"/>
        <v>33</v>
      </c>
      <c r="O41" s="364"/>
      <c r="P41" s="364"/>
      <c r="Q41" s="364"/>
      <c r="R41" s="364"/>
      <c r="S41" s="364"/>
      <c r="T41" s="364"/>
      <c r="U41" s="364"/>
      <c r="V41" s="364"/>
      <c r="W41" s="364"/>
      <c r="X41" s="364"/>
      <c r="Y41" s="360"/>
      <c r="Z41" s="360"/>
    </row>
    <row r="42" spans="1:26">
      <c r="A42" s="353" t="s">
        <v>1307</v>
      </c>
      <c r="B42" s="353" t="s">
        <v>1235</v>
      </c>
      <c r="C42" s="353"/>
      <c r="D42" s="353"/>
      <c r="E42" s="353">
        <v>2027</v>
      </c>
      <c r="F42" s="525">
        <f t="shared" si="1"/>
        <v>16.096792989420013</v>
      </c>
      <c r="G42" s="354">
        <f>V60</f>
        <v>0</v>
      </c>
      <c r="I42" s="1076"/>
      <c r="J42" s="359">
        <v>22</v>
      </c>
      <c r="K42" s="360" t="s">
        <v>1313</v>
      </c>
      <c r="L42" s="364">
        <v>35.200000000000003</v>
      </c>
      <c r="M42" s="364"/>
      <c r="N42" s="364">
        <f t="shared" si="2"/>
        <v>35.200000000000003</v>
      </c>
      <c r="O42" s="364"/>
      <c r="P42" s="364"/>
      <c r="Q42" s="364"/>
      <c r="R42" s="364"/>
      <c r="S42" s="364"/>
      <c r="T42" s="364"/>
      <c r="U42" s="364"/>
      <c r="V42" s="364"/>
      <c r="W42" s="364"/>
      <c r="X42" s="364"/>
      <c r="Y42" s="360"/>
      <c r="Z42" s="360"/>
    </row>
    <row r="43" spans="1:26">
      <c r="A43" s="351" t="s">
        <v>1307</v>
      </c>
      <c r="B43" s="351" t="s">
        <v>1235</v>
      </c>
      <c r="C43" s="351"/>
      <c r="D43" s="351"/>
      <c r="E43" s="351">
        <v>2028</v>
      </c>
      <c r="F43" s="525">
        <f t="shared" si="1"/>
        <v>17.706472288362015</v>
      </c>
      <c r="G43" s="352">
        <f>W60</f>
        <v>4.2370837887863999</v>
      </c>
      <c r="I43" s="1076"/>
      <c r="J43" s="359">
        <v>23</v>
      </c>
      <c r="K43" s="360" t="s">
        <v>1314</v>
      </c>
      <c r="L43" s="364">
        <v>20</v>
      </c>
      <c r="M43" s="364"/>
      <c r="N43" s="364">
        <f t="shared" si="2"/>
        <v>20</v>
      </c>
      <c r="O43" s="364"/>
      <c r="P43" s="364"/>
      <c r="Q43" s="364"/>
      <c r="R43" s="364"/>
      <c r="S43" s="364"/>
      <c r="T43" s="364"/>
      <c r="U43" s="364"/>
      <c r="V43" s="364"/>
      <c r="W43" s="364"/>
      <c r="X43" s="364"/>
      <c r="Y43" s="360"/>
      <c r="Z43" s="360"/>
    </row>
    <row r="44" spans="1:26">
      <c r="A44" s="353" t="s">
        <v>1307</v>
      </c>
      <c r="B44" s="353" t="s">
        <v>1235</v>
      </c>
      <c r="C44" s="353"/>
      <c r="D44" s="353"/>
      <c r="E44" s="353">
        <v>2029</v>
      </c>
      <c r="F44" s="525">
        <f t="shared" si="1"/>
        <v>19.477119517198219</v>
      </c>
      <c r="G44" s="354">
        <f>X60</f>
        <v>0</v>
      </c>
      <c r="I44" s="359"/>
      <c r="J44" s="359"/>
      <c r="K44" s="360"/>
      <c r="L44" s="364"/>
      <c r="M44" s="364"/>
      <c r="N44" s="364"/>
      <c r="O44" s="364"/>
      <c r="P44" s="364"/>
      <c r="Q44" s="364"/>
      <c r="R44" s="364"/>
      <c r="S44" s="364"/>
      <c r="T44" s="364"/>
      <c r="U44" s="364"/>
      <c r="V44" s="364"/>
      <c r="W44" s="364"/>
      <c r="X44" s="364"/>
      <c r="Y44" s="360"/>
      <c r="Z44" s="360"/>
    </row>
    <row r="45" spans="1:26">
      <c r="A45" s="351" t="s">
        <v>1307</v>
      </c>
      <c r="B45" s="351" t="s">
        <v>1235</v>
      </c>
      <c r="C45" s="351"/>
      <c r="D45" s="351"/>
      <c r="E45" s="351">
        <v>2030</v>
      </c>
      <c r="F45" s="525">
        <f t="shared" si="1"/>
        <v>21.424831468918043</v>
      </c>
      <c r="G45" s="352">
        <f>Y60</f>
        <v>0</v>
      </c>
      <c r="I45" s="359" t="s">
        <v>1293</v>
      </c>
      <c r="J45" s="359">
        <v>24</v>
      </c>
      <c r="K45" s="360" t="s">
        <v>1315</v>
      </c>
      <c r="L45" s="364"/>
      <c r="M45" s="734">
        <v>9</v>
      </c>
      <c r="N45" s="364">
        <f t="shared" si="2"/>
        <v>9</v>
      </c>
      <c r="O45" s="364"/>
      <c r="P45" s="364"/>
      <c r="Q45" s="364"/>
      <c r="R45" s="364">
        <v>9</v>
      </c>
      <c r="S45" s="364"/>
      <c r="T45" s="364"/>
      <c r="U45" s="364"/>
      <c r="V45" s="364"/>
      <c r="W45" s="364"/>
      <c r="X45" s="364"/>
      <c r="Y45" s="360"/>
      <c r="Z45" s="360"/>
    </row>
    <row r="46" spans="1:26">
      <c r="A46" s="353" t="s">
        <v>1307</v>
      </c>
      <c r="B46" s="353" t="s">
        <v>1235</v>
      </c>
      <c r="C46" s="353"/>
      <c r="D46" s="353"/>
      <c r="E46" s="353">
        <v>2031</v>
      </c>
      <c r="F46" s="525">
        <f t="shared" si="1"/>
        <v>23.567314615809849</v>
      </c>
      <c r="G46" s="354">
        <f>Z60</f>
        <v>3.0507003279262079</v>
      </c>
      <c r="I46" s="359" t="s">
        <v>1316</v>
      </c>
      <c r="J46" s="359">
        <v>25</v>
      </c>
      <c r="K46" s="360" t="s">
        <v>1317</v>
      </c>
      <c r="L46" s="364"/>
      <c r="M46" s="735">
        <v>60</v>
      </c>
      <c r="N46" s="365">
        <v>60</v>
      </c>
      <c r="O46" s="364"/>
      <c r="P46" s="364"/>
      <c r="Q46" s="364"/>
      <c r="R46" s="364"/>
      <c r="S46" s="364"/>
      <c r="T46" s="364"/>
      <c r="U46" s="364"/>
      <c r="V46" s="364"/>
      <c r="W46" s="364"/>
      <c r="X46" s="364"/>
      <c r="Y46" s="735">
        <v>0</v>
      </c>
      <c r="Z46" s="360"/>
    </row>
    <row r="47" spans="1:26" ht="21" customHeight="1">
      <c r="A47" s="353" t="s">
        <v>1322</v>
      </c>
      <c r="B47" s="353" t="s">
        <v>1235</v>
      </c>
      <c r="C47" s="353"/>
      <c r="D47" s="353"/>
      <c r="E47" s="353">
        <v>2021</v>
      </c>
      <c r="F47" s="525">
        <f>I72*I3</f>
        <v>3.4138500000000001</v>
      </c>
      <c r="G47" s="354">
        <f>P61</f>
        <v>0</v>
      </c>
      <c r="I47" s="359"/>
      <c r="J47" s="359"/>
      <c r="K47" s="360"/>
      <c r="L47" s="368">
        <f t="shared" ref="L47:Z47" si="3">SUM(L21:L46)</f>
        <v>249.86600000000004</v>
      </c>
      <c r="M47" s="368">
        <f t="shared" si="3"/>
        <v>132.75</v>
      </c>
      <c r="N47" s="368">
        <f>SUM(N21:N46)</f>
        <v>382.61600000000004</v>
      </c>
      <c r="O47" s="368">
        <f t="shared" si="3"/>
        <v>0</v>
      </c>
      <c r="P47" s="368">
        <f t="shared" si="3"/>
        <v>0</v>
      </c>
      <c r="Q47" s="736">
        <f t="shared" si="3"/>
        <v>2.35</v>
      </c>
      <c r="R47" s="368">
        <f t="shared" si="3"/>
        <v>18.7</v>
      </c>
      <c r="S47" s="368">
        <f t="shared" si="3"/>
        <v>5.5</v>
      </c>
      <c r="T47" s="368">
        <f t="shared" si="3"/>
        <v>24</v>
      </c>
      <c r="U47" s="368">
        <f t="shared" si="3"/>
        <v>5</v>
      </c>
      <c r="V47" s="368">
        <f t="shared" si="3"/>
        <v>0</v>
      </c>
      <c r="W47" s="368">
        <f t="shared" si="3"/>
        <v>10</v>
      </c>
      <c r="X47" s="368">
        <f t="shared" si="3"/>
        <v>0</v>
      </c>
      <c r="Y47" s="368">
        <f t="shared" si="3"/>
        <v>0</v>
      </c>
      <c r="Z47" s="368">
        <f t="shared" si="3"/>
        <v>7.2</v>
      </c>
    </row>
    <row r="48" spans="1:26" ht="19.5" customHeight="1">
      <c r="A48" s="351" t="s">
        <v>1322</v>
      </c>
      <c r="B48" s="351" t="s">
        <v>1235</v>
      </c>
      <c r="C48" s="351"/>
      <c r="D48" s="351"/>
      <c r="E48" s="351">
        <v>2022</v>
      </c>
      <c r="F48" s="525">
        <f t="shared" si="1"/>
        <v>3.7552350000000003</v>
      </c>
      <c r="G48" s="352">
        <f>Q61</f>
        <v>0.29857481848758444</v>
      </c>
      <c r="I48" s="369"/>
      <c r="J48" s="369"/>
      <c r="K48" s="370" t="s">
        <v>1318</v>
      </c>
      <c r="L48" s="371">
        <f>L47</f>
        <v>249.86600000000004</v>
      </c>
      <c r="M48" s="372">
        <f>M47-M46</f>
        <v>72.75</v>
      </c>
      <c r="N48" s="372">
        <f>N47-N46</f>
        <v>322.61600000000004</v>
      </c>
      <c r="O48" s="373">
        <f>L48+O47</f>
        <v>249.86600000000004</v>
      </c>
      <c r="P48" s="373">
        <f>O48+P47</f>
        <v>249.86600000000004</v>
      </c>
      <c r="Q48" s="373">
        <f t="shared" ref="Q48:Z48" si="4">P48+Q47</f>
        <v>252.21600000000004</v>
      </c>
      <c r="R48" s="373">
        <f t="shared" si="4"/>
        <v>270.91600000000005</v>
      </c>
      <c r="S48" s="373">
        <f t="shared" si="4"/>
        <v>276.41600000000005</v>
      </c>
      <c r="T48" s="373">
        <f t="shared" si="4"/>
        <v>300.41600000000005</v>
      </c>
      <c r="U48" s="373">
        <f t="shared" si="4"/>
        <v>305.41600000000005</v>
      </c>
      <c r="V48" s="373">
        <f t="shared" si="4"/>
        <v>305.41600000000005</v>
      </c>
      <c r="W48" s="373">
        <f t="shared" si="4"/>
        <v>315.41600000000005</v>
      </c>
      <c r="X48" s="373">
        <f t="shared" si="4"/>
        <v>315.41600000000005</v>
      </c>
      <c r="Y48" s="373">
        <f t="shared" si="4"/>
        <v>315.41600000000005</v>
      </c>
      <c r="Z48" s="373">
        <f t="shared" si="4"/>
        <v>322.61600000000004</v>
      </c>
    </row>
    <row r="49" spans="1:26" ht="15.75">
      <c r="A49" s="353" t="s">
        <v>1322</v>
      </c>
      <c r="B49" s="353" t="s">
        <v>1235</v>
      </c>
      <c r="C49" s="353"/>
      <c r="D49" s="353"/>
      <c r="E49" s="353">
        <v>2023</v>
      </c>
      <c r="F49" s="525">
        <f t="shared" si="1"/>
        <v>4.1307585000000007</v>
      </c>
      <c r="G49" s="354">
        <f>R61</f>
        <v>2.375893236475672</v>
      </c>
      <c r="I49" s="681"/>
      <c r="J49" s="681"/>
      <c r="L49" s="374"/>
      <c r="P49" s="737"/>
      <c r="Q49" s="375" t="s">
        <v>1319</v>
      </c>
    </row>
    <row r="50" spans="1:26" ht="15.75">
      <c r="A50" s="351" t="s">
        <v>1322</v>
      </c>
      <c r="B50" s="351" t="s">
        <v>1235</v>
      </c>
      <c r="C50" s="351"/>
      <c r="D50" s="351"/>
      <c r="E50" s="351">
        <v>2024</v>
      </c>
      <c r="F50" s="525">
        <f t="shared" si="1"/>
        <v>4.5438343500000009</v>
      </c>
      <c r="G50" s="352">
        <f>S61</f>
        <v>0.69879212837519766</v>
      </c>
      <c r="I50" s="681"/>
      <c r="J50" s="681"/>
      <c r="K50" s="416" t="s">
        <v>1320</v>
      </c>
      <c r="L50" s="374"/>
      <c r="M50" s="374"/>
      <c r="N50" s="374"/>
      <c r="P50" s="738"/>
      <c r="Q50" s="375" t="s">
        <v>1321</v>
      </c>
    </row>
    <row r="51" spans="1:26">
      <c r="A51" s="353" t="s">
        <v>1322</v>
      </c>
      <c r="B51" s="353" t="s">
        <v>1235</v>
      </c>
      <c r="C51" s="353"/>
      <c r="D51" s="353"/>
      <c r="E51" s="353">
        <v>2025</v>
      </c>
      <c r="F51" s="525">
        <f t="shared" si="1"/>
        <v>4.9982177850000014</v>
      </c>
      <c r="G51" s="354">
        <f>T61</f>
        <v>3.0492747420008621</v>
      </c>
      <c r="I51" s="681"/>
      <c r="J51" s="681">
        <v>1</v>
      </c>
      <c r="K51" s="416" t="s">
        <v>1323</v>
      </c>
      <c r="L51" s="374"/>
      <c r="M51" s="374"/>
      <c r="N51" s="374"/>
    </row>
    <row r="52" spans="1:26">
      <c r="A52" s="351" t="s">
        <v>1322</v>
      </c>
      <c r="B52" s="351" t="s">
        <v>1235</v>
      </c>
      <c r="C52" s="351"/>
      <c r="D52" s="351"/>
      <c r="E52" s="351">
        <v>2026</v>
      </c>
      <c r="F52" s="525">
        <f t="shared" si="1"/>
        <v>5.4980395635000017</v>
      </c>
      <c r="G52" s="352">
        <f>U61</f>
        <v>0.63526557125017968</v>
      </c>
      <c r="I52" s="681"/>
      <c r="J52" s="681">
        <v>2</v>
      </c>
      <c r="K52" s="416" t="s">
        <v>1324</v>
      </c>
      <c r="L52" s="374"/>
      <c r="M52" s="374"/>
      <c r="N52" s="374"/>
    </row>
    <row r="53" spans="1:26">
      <c r="A53" s="353" t="s">
        <v>1322</v>
      </c>
      <c r="B53" s="353" t="s">
        <v>1235</v>
      </c>
      <c r="C53" s="353"/>
      <c r="D53" s="353"/>
      <c r="E53" s="353">
        <v>2027</v>
      </c>
      <c r="F53" s="525">
        <f t="shared" si="1"/>
        <v>6.0478435198500025</v>
      </c>
      <c r="G53" s="354">
        <f>V61</f>
        <v>0</v>
      </c>
      <c r="I53" s="681"/>
      <c r="J53" s="681">
        <v>3</v>
      </c>
      <c r="K53" s="416" t="s">
        <v>1325</v>
      </c>
      <c r="L53" s="374"/>
      <c r="M53" s="374"/>
      <c r="N53" s="374"/>
    </row>
    <row r="54" spans="1:26" ht="15.75">
      <c r="A54" s="351" t="s">
        <v>1322</v>
      </c>
      <c r="B54" s="351" t="s">
        <v>1235</v>
      </c>
      <c r="C54" s="351"/>
      <c r="D54" s="351"/>
      <c r="E54" s="351">
        <v>2028</v>
      </c>
      <c r="F54" s="525">
        <f t="shared" si="1"/>
        <v>6.6526278718350031</v>
      </c>
      <c r="G54" s="352">
        <f>W61</f>
        <v>1.2705311425003594</v>
      </c>
      <c r="I54" s="681"/>
      <c r="J54" s="681"/>
      <c r="K54" s="376"/>
      <c r="L54" s="374"/>
      <c r="M54" s="374"/>
      <c r="N54" s="374"/>
      <c r="O54" s="1073" t="s">
        <v>1326</v>
      </c>
      <c r="P54" s="1073"/>
      <c r="Q54" s="1073"/>
      <c r="R54" s="1073"/>
      <c r="S54" s="1073"/>
      <c r="T54" s="1073"/>
      <c r="U54" s="1073"/>
      <c r="V54" s="1073"/>
      <c r="W54" s="1073"/>
      <c r="X54" s="1073"/>
      <c r="Y54" s="1073"/>
      <c r="Z54" s="1073"/>
    </row>
    <row r="55" spans="1:26" ht="30">
      <c r="A55" s="353" t="s">
        <v>1322</v>
      </c>
      <c r="B55" s="353" t="s">
        <v>1235</v>
      </c>
      <c r="C55" s="353"/>
      <c r="D55" s="353"/>
      <c r="E55" s="353">
        <v>2029</v>
      </c>
      <c r="F55" s="525">
        <f t="shared" si="1"/>
        <v>7.317890659018504</v>
      </c>
      <c r="G55" s="354">
        <f>X61</f>
        <v>0</v>
      </c>
      <c r="I55" s="358" t="s">
        <v>1274</v>
      </c>
      <c r="J55" s="359" t="s">
        <v>1275</v>
      </c>
      <c r="K55" s="360" t="s">
        <v>41</v>
      </c>
      <c r="L55" s="361" t="s">
        <v>1277</v>
      </c>
      <c r="M55" s="361" t="s">
        <v>1278</v>
      </c>
      <c r="N55" s="361" t="s">
        <v>1279</v>
      </c>
      <c r="O55" s="362">
        <v>2020</v>
      </c>
      <c r="P55" s="362">
        <v>2021</v>
      </c>
      <c r="Q55" s="362">
        <v>2022</v>
      </c>
      <c r="R55" s="362">
        <v>2023</v>
      </c>
      <c r="S55" s="362">
        <v>2024</v>
      </c>
      <c r="T55" s="362">
        <v>2025</v>
      </c>
      <c r="U55" s="362">
        <v>2026</v>
      </c>
      <c r="V55" s="362">
        <v>2027</v>
      </c>
      <c r="W55" s="362">
        <v>2028</v>
      </c>
      <c r="X55" s="362">
        <v>2029</v>
      </c>
      <c r="Y55" s="363">
        <v>2030</v>
      </c>
      <c r="Z55" s="363">
        <v>2031</v>
      </c>
    </row>
    <row r="56" spans="1:26" ht="18" customHeight="1">
      <c r="A56" s="351" t="s">
        <v>1322</v>
      </c>
      <c r="B56" s="351" t="s">
        <v>1235</v>
      </c>
      <c r="C56" s="351"/>
      <c r="D56" s="351"/>
      <c r="E56" s="351">
        <v>2030</v>
      </c>
      <c r="F56" s="525">
        <f t="shared" si="1"/>
        <v>8.0496797249203542</v>
      </c>
      <c r="G56" s="352">
        <f>Y61</f>
        <v>0</v>
      </c>
      <c r="J56" s="681"/>
      <c r="K56" s="377" t="s">
        <v>1327</v>
      </c>
      <c r="L56" s="378">
        <f>L48</f>
        <v>249.86600000000004</v>
      </c>
      <c r="M56" s="378">
        <f>M48</f>
        <v>72.75</v>
      </c>
      <c r="N56" s="378">
        <f>N48</f>
        <v>322.61600000000004</v>
      </c>
      <c r="O56" s="378">
        <f t="shared" ref="O56:Z56" si="5">O47</f>
        <v>0</v>
      </c>
      <c r="P56" s="378">
        <f t="shared" si="5"/>
        <v>0</v>
      </c>
      <c r="Q56" s="378">
        <f t="shared" si="5"/>
        <v>2.35</v>
      </c>
      <c r="R56" s="378">
        <f t="shared" si="5"/>
        <v>18.7</v>
      </c>
      <c r="S56" s="378">
        <f t="shared" si="5"/>
        <v>5.5</v>
      </c>
      <c r="T56" s="378">
        <f t="shared" si="5"/>
        <v>24</v>
      </c>
      <c r="U56" s="378">
        <f t="shared" si="5"/>
        <v>5</v>
      </c>
      <c r="V56" s="378">
        <f t="shared" si="5"/>
        <v>0</v>
      </c>
      <c r="W56" s="378">
        <f t="shared" si="5"/>
        <v>10</v>
      </c>
      <c r="X56" s="378">
        <f t="shared" si="5"/>
        <v>0</v>
      </c>
      <c r="Y56" s="378">
        <f t="shared" si="5"/>
        <v>0</v>
      </c>
      <c r="Z56" s="378">
        <f t="shared" si="5"/>
        <v>7.2</v>
      </c>
    </row>
    <row r="57" spans="1:26" ht="18" customHeight="1">
      <c r="A57" s="353" t="s">
        <v>1322</v>
      </c>
      <c r="B57" s="353" t="s">
        <v>1235</v>
      </c>
      <c r="C57" s="353"/>
      <c r="D57" s="353"/>
      <c r="E57" s="353">
        <v>2031</v>
      </c>
      <c r="F57" s="525">
        <f t="shared" si="1"/>
        <v>8.8546476974123909</v>
      </c>
      <c r="G57" s="354">
        <f>Z61</f>
        <v>0.91478242260025877</v>
      </c>
      <c r="J57" s="681"/>
      <c r="K57" s="379" t="s">
        <v>1328</v>
      </c>
      <c r="L57" s="374">
        <f>L$56*HistoricalProdPP!$P4</f>
        <v>11.713957880594904</v>
      </c>
      <c r="M57" s="374">
        <f>M$56*HistoricalProdPP!$P4</f>
        <v>3.4105898193963133</v>
      </c>
      <c r="N57" s="374">
        <f>N$56*HistoricalProdPP!$P4</f>
        <v>15.124547699991219</v>
      </c>
      <c r="O57" s="374">
        <f>O$56*HistoricalProdPP!$P4</f>
        <v>0</v>
      </c>
      <c r="P57" s="374">
        <f>P$56*HistoricalProdPP!$P4</f>
        <v>0</v>
      </c>
      <c r="Q57" s="374">
        <f>Q$56*HistoricalProdPP!$P4</f>
        <v>0.11017025533445135</v>
      </c>
      <c r="R57" s="374">
        <f>R$56*HistoricalProdPP!$P4</f>
        <v>0.87667394670393195</v>
      </c>
      <c r="S57" s="374">
        <f>S$56*HistoricalProdPP!$P4</f>
        <v>0.25784527844233296</v>
      </c>
      <c r="T57" s="380">
        <f>T$56*HistoricalProdPP!$P4</f>
        <v>1.1251430332029075</v>
      </c>
      <c r="U57" s="374">
        <f>U$56*HistoricalProdPP!$P4</f>
        <v>0.23440479858393903</v>
      </c>
      <c r="V57" s="374">
        <f>V$56*HistoricalProdPP!$P4</f>
        <v>0</v>
      </c>
      <c r="W57" s="374">
        <f>W$56*HistoricalProdPP!$P4</f>
        <v>0.46880959716787807</v>
      </c>
      <c r="X57" s="374">
        <f>X$56*HistoricalProdPP!$P4</f>
        <v>0</v>
      </c>
      <c r="Y57" s="381">
        <f>Y$56*HistoricalProdPP!$P4</f>
        <v>0</v>
      </c>
      <c r="Z57" s="374">
        <f>Z$56*HistoricalProdPP!$P4</f>
        <v>0.33754290996087222</v>
      </c>
    </row>
    <row r="58" spans="1:26" ht="20.25" customHeight="1">
      <c r="I58" s="382"/>
      <c r="J58" s="681"/>
      <c r="K58" s="416" t="s">
        <v>1329</v>
      </c>
      <c r="L58" s="374">
        <f>L$56*HistoricalProdPP!$P5</f>
        <v>36.631423554731427</v>
      </c>
      <c r="M58" s="374">
        <f>M$56*HistoricalProdPP!$P5</f>
        <v>10.665460941491482</v>
      </c>
      <c r="N58" s="374">
        <f>N$56*HistoricalProdPP!$P5</f>
        <v>47.296884496222908</v>
      </c>
      <c r="O58" s="374">
        <f>O$56*HistoricalProdPP!$P5</f>
        <v>0</v>
      </c>
      <c r="P58" s="374">
        <f>P$56*HistoricalProdPP!$P5</f>
        <v>0</v>
      </c>
      <c r="Q58" s="374">
        <f>Q$56*HistoricalProdPP!$P5</f>
        <v>0.34452004415814413</v>
      </c>
      <c r="R58" s="374">
        <f>R$56*HistoricalProdPP!$P5</f>
        <v>2.7414999258541677</v>
      </c>
      <c r="S58" s="374">
        <f>S$56*HistoricalProdPP!$P5</f>
        <v>0.80632350760416704</v>
      </c>
      <c r="T58" s="380">
        <f>T$56*HistoricalProdPP!$P5</f>
        <v>3.5185025786363653</v>
      </c>
      <c r="U58" s="374">
        <f>U$56*HistoricalProdPP!$P5</f>
        <v>0.73302137054924277</v>
      </c>
      <c r="V58" s="374">
        <f>V$56*HistoricalProdPP!$P5</f>
        <v>0</v>
      </c>
      <c r="W58" s="374">
        <f>W$56*HistoricalProdPP!$P5</f>
        <v>1.4660427410984855</v>
      </c>
      <c r="X58" s="374">
        <f>X$56*HistoricalProdPP!$P5</f>
        <v>0</v>
      </c>
      <c r="Y58" s="381">
        <f>Y$56*HistoricalProdPP!$P5</f>
        <v>0</v>
      </c>
      <c r="Z58" s="374">
        <f>Z$56*HistoricalProdPP!$P5</f>
        <v>1.0555507735909095</v>
      </c>
    </row>
    <row r="59" spans="1:26" ht="19.5" customHeight="1">
      <c r="I59" s="681"/>
      <c r="J59" s="681"/>
      <c r="K59" s="416" t="s">
        <v>1330</v>
      </c>
      <c r="L59" s="374">
        <f>L$56*HistoricalProdPP!$P6</f>
        <v>13.670179856020786</v>
      </c>
      <c r="M59" s="374">
        <f>M$56*HistoricalProdPP!$P6</f>
        <v>3.9801557015580831</v>
      </c>
      <c r="N59" s="374">
        <f>N$56*HistoricalProdPP!$P6</f>
        <v>17.65033555757887</v>
      </c>
      <c r="O59" s="374">
        <f>O$56*HistoricalProdPP!$P6</f>
        <v>0</v>
      </c>
      <c r="P59" s="374">
        <f>P$56*HistoricalProdPP!$P6</f>
        <v>0</v>
      </c>
      <c r="Q59" s="374">
        <f>Q$56*HistoricalProdPP!$P6</f>
        <v>0.12856860341802742</v>
      </c>
      <c r="R59" s="374">
        <f>R$56*HistoricalProdPP!$P6</f>
        <v>1.0230778229434523</v>
      </c>
      <c r="S59" s="374">
        <f>S$56*HistoricalProdPP!$P6</f>
        <v>0.30090524204219182</v>
      </c>
      <c r="T59" s="380">
        <f>T$56*HistoricalProdPP!$P6</f>
        <v>1.3130410561841099</v>
      </c>
      <c r="U59" s="374">
        <f>U$56*HistoricalProdPP!$P6</f>
        <v>0.27355022003835622</v>
      </c>
      <c r="V59" s="374">
        <f>V$56*HistoricalProdPP!$P6</f>
        <v>0</v>
      </c>
      <c r="W59" s="374">
        <f>W$56*HistoricalProdPP!$P6</f>
        <v>0.54710044007671244</v>
      </c>
      <c r="X59" s="374">
        <f>X$56*HistoricalProdPP!$P6</f>
        <v>0</v>
      </c>
      <c r="Y59" s="381">
        <f>Y$56*HistoricalProdPP!$P6</f>
        <v>0</v>
      </c>
      <c r="Z59" s="374">
        <f>Z$56*HistoricalProdPP!$P6</f>
        <v>0.39391231685523298</v>
      </c>
    </row>
    <row r="60" spans="1:26" ht="20.25" customHeight="1">
      <c r="I60" s="681"/>
      <c r="J60" s="681"/>
      <c r="K60" s="416" t="s">
        <v>1331</v>
      </c>
      <c r="L60" s="374">
        <f>L$56*HistoricalProdPP!$P7</f>
        <v>105.87031779689028</v>
      </c>
      <c r="M60" s="374">
        <f>M$56*HistoricalProdPP!$P7</f>
        <v>30.824784563421058</v>
      </c>
      <c r="N60" s="374">
        <f>N$56*HistoricalProdPP!$P7</f>
        <v>136.69510236031132</v>
      </c>
      <c r="O60" s="374">
        <f>O$56*HistoricalProdPP!$P7</f>
        <v>0</v>
      </c>
      <c r="P60" s="374">
        <f>P$56*HistoricalProdPP!$P7</f>
        <v>0</v>
      </c>
      <c r="Q60" s="374">
        <f>Q$56*HistoricalProdPP!$P7</f>
        <v>0.99571469036480398</v>
      </c>
      <c r="R60" s="374">
        <f>R$56*HistoricalProdPP!$P7</f>
        <v>7.9233466850305678</v>
      </c>
      <c r="S60" s="374">
        <f>S$56*HistoricalProdPP!$P7</f>
        <v>2.3303960838325199</v>
      </c>
      <c r="T60" s="380">
        <f>T$56*HistoricalProdPP!$P7</f>
        <v>10.16900109308736</v>
      </c>
      <c r="U60" s="374">
        <f>U$56*HistoricalProdPP!$P7</f>
        <v>2.1185418943932</v>
      </c>
      <c r="V60" s="374">
        <f>V$56*HistoricalProdPP!$P7</f>
        <v>0</v>
      </c>
      <c r="W60" s="374">
        <f>W$56*HistoricalProdPP!$P7</f>
        <v>4.2370837887863999</v>
      </c>
      <c r="X60" s="374">
        <f>X$56*HistoricalProdPP!$P7</f>
        <v>0</v>
      </c>
      <c r="Y60" s="381">
        <f>Y$56*HistoricalProdPP!$P7</f>
        <v>0</v>
      </c>
      <c r="Z60" s="374">
        <f>Z$56*HistoricalProdPP!$P7</f>
        <v>3.0507003279262079</v>
      </c>
    </row>
    <row r="61" spans="1:26" ht="30" customHeight="1">
      <c r="I61" s="681"/>
      <c r="J61" s="681"/>
      <c r="K61" s="639" t="s">
        <v>1488</v>
      </c>
      <c r="L61" s="374">
        <f>L$56*HistoricalProdPP!$P17</f>
        <v>31.746253445199482</v>
      </c>
      <c r="M61" s="374">
        <f>M$56*HistoricalProdPP!$P17</f>
        <v>9.2431140616901146</v>
      </c>
      <c r="N61" s="374">
        <f>N$56*HistoricalProdPP!$P17</f>
        <v>40.9893675068896</v>
      </c>
      <c r="O61" s="374">
        <f>O$56*HistoricalProdPP!$P17</f>
        <v>0</v>
      </c>
      <c r="P61" s="374">
        <f>P$56*HistoricalProdPP!$P17</f>
        <v>0</v>
      </c>
      <c r="Q61" s="374">
        <f>Q$56*HistoricalProdPP!$P17</f>
        <v>0.29857481848758444</v>
      </c>
      <c r="R61" s="374">
        <f>R$56*HistoricalProdPP!$P17</f>
        <v>2.375893236475672</v>
      </c>
      <c r="S61" s="374">
        <f>S$56*HistoricalProdPP!$P17</f>
        <v>0.69879212837519766</v>
      </c>
      <c r="T61" s="380">
        <f>T$56*HistoricalProdPP!$P17</f>
        <v>3.0492747420008621</v>
      </c>
      <c r="U61" s="374">
        <f>U$56*HistoricalProdPP!$P17</f>
        <v>0.63526557125017968</v>
      </c>
      <c r="V61" s="374">
        <f>V$56*HistoricalProdPP!$P17</f>
        <v>0</v>
      </c>
      <c r="W61" s="374">
        <f>W$56*HistoricalProdPP!$P17</f>
        <v>1.2705311425003594</v>
      </c>
      <c r="X61" s="374">
        <f>X$56*HistoricalProdPP!$P17</f>
        <v>0</v>
      </c>
      <c r="Y61" s="381">
        <f>Y$56*HistoricalProdPP!$P17</f>
        <v>0</v>
      </c>
      <c r="Z61" s="374">
        <f>Z$56*HistoricalProdPP!$P17</f>
        <v>0.91478242260025877</v>
      </c>
    </row>
    <row r="62" spans="1:26">
      <c r="I62" s="681"/>
      <c r="J62" s="681"/>
      <c r="K62" s="383" t="s">
        <v>1332</v>
      </c>
      <c r="L62" s="327">
        <f>L56-SUM(L57:L61)</f>
        <v>50.233867466563169</v>
      </c>
      <c r="M62" s="327">
        <f t="shared" ref="M62:Z62" si="6">M56-SUM(M57:M61)</f>
        <v>14.625894912442952</v>
      </c>
      <c r="N62" s="327">
        <f t="shared" si="6"/>
        <v>64.859762379006099</v>
      </c>
      <c r="O62" s="327">
        <f t="shared" si="6"/>
        <v>0</v>
      </c>
      <c r="P62" s="327">
        <f t="shared" si="6"/>
        <v>0</v>
      </c>
      <c r="Q62" s="327">
        <f t="shared" si="6"/>
        <v>0.47245158823698863</v>
      </c>
      <c r="R62" s="327">
        <f t="shared" si="6"/>
        <v>3.7595083829922071</v>
      </c>
      <c r="S62" s="327">
        <f t="shared" si="6"/>
        <v>1.1057377597035902</v>
      </c>
      <c r="T62" s="327">
        <f t="shared" si="6"/>
        <v>4.8250374968883953</v>
      </c>
      <c r="U62" s="327">
        <f t="shared" si="6"/>
        <v>1.0052161451850825</v>
      </c>
      <c r="V62" s="327">
        <f t="shared" si="6"/>
        <v>0</v>
      </c>
      <c r="W62" s="327">
        <f t="shared" si="6"/>
        <v>2.010432290370165</v>
      </c>
      <c r="X62" s="327">
        <f t="shared" si="6"/>
        <v>0</v>
      </c>
      <c r="Y62" s="327">
        <f t="shared" si="6"/>
        <v>0</v>
      </c>
      <c r="Z62" s="327">
        <f t="shared" si="6"/>
        <v>1.447511249066519</v>
      </c>
    </row>
    <row r="63" spans="1:26">
      <c r="I63" s="681"/>
      <c r="J63" s="681"/>
      <c r="K63" s="383" t="s">
        <v>1333</v>
      </c>
      <c r="L63" s="239">
        <f>L62/L56</f>
        <v>0.20104322903701649</v>
      </c>
      <c r="M63" s="239">
        <f t="shared" ref="M63:N63" si="7">M62/M56</f>
        <v>0.20104322903701652</v>
      </c>
      <c r="N63" s="239">
        <f t="shared" si="7"/>
        <v>0.20104322903701644</v>
      </c>
      <c r="P63" s="342"/>
      <c r="Q63" s="239">
        <f t="shared" ref="Q63:W63" si="8">Q62/Q56</f>
        <v>0.20104322903701644</v>
      </c>
      <c r="R63" s="239">
        <f t="shared" si="8"/>
        <v>0.20104322903701644</v>
      </c>
      <c r="S63" s="239">
        <f t="shared" si="8"/>
        <v>0.20104322903701641</v>
      </c>
      <c r="T63" s="239">
        <f t="shared" si="8"/>
        <v>0.20104322903701646</v>
      </c>
      <c r="U63" s="239">
        <f t="shared" si="8"/>
        <v>0.20104322903701649</v>
      </c>
      <c r="W63" s="239">
        <f t="shared" si="8"/>
        <v>0.20104322903701649</v>
      </c>
      <c r="Y63" s="239"/>
      <c r="Z63" s="239">
        <f t="shared" ref="Z63" si="9">Z62/Z56</f>
        <v>0.20104322903701652</v>
      </c>
    </row>
    <row r="64" spans="1:26">
      <c r="I64" s="681"/>
      <c r="J64" s="681"/>
      <c r="N64" s="380"/>
      <c r="O64" s="416" t="s">
        <v>1334</v>
      </c>
      <c r="W64" s="382"/>
    </row>
    <row r="65" spans="7:26">
      <c r="I65" s="681"/>
      <c r="J65" s="681"/>
    </row>
    <row r="66" spans="7:26" ht="15" customHeight="1">
      <c r="G66" s="242" t="s">
        <v>1921</v>
      </c>
      <c r="I66" s="681"/>
      <c r="J66" s="681"/>
      <c r="O66" s="1073" t="s">
        <v>1335</v>
      </c>
      <c r="P66" s="1073"/>
      <c r="Q66" s="1073"/>
      <c r="R66" s="1073"/>
      <c r="S66" s="1073"/>
      <c r="T66" s="1073"/>
      <c r="U66" s="1073"/>
      <c r="V66" s="1073"/>
      <c r="W66" s="1073"/>
      <c r="X66" s="1073"/>
      <c r="Y66" s="1073"/>
      <c r="Z66" s="1073"/>
    </row>
    <row r="67" spans="7:26" ht="30">
      <c r="I67" s="227" t="s">
        <v>1919</v>
      </c>
      <c r="J67" s="681"/>
      <c r="K67" s="360" t="s">
        <v>1336</v>
      </c>
      <c r="L67" s="361" t="s">
        <v>1337</v>
      </c>
      <c r="M67" s="361" t="s">
        <v>1338</v>
      </c>
      <c r="N67" s="361" t="s">
        <v>1339</v>
      </c>
      <c r="O67" s="362">
        <v>2020</v>
      </c>
      <c r="P67" s="362">
        <v>2021</v>
      </c>
      <c r="Q67" s="362">
        <v>2022</v>
      </c>
      <c r="R67" s="362">
        <v>2023</v>
      </c>
      <c r="S67" s="362">
        <v>2024</v>
      </c>
      <c r="T67" s="362">
        <v>2025</v>
      </c>
      <c r="U67" s="362">
        <v>2026</v>
      </c>
      <c r="V67" s="362">
        <v>2027</v>
      </c>
      <c r="W67" s="362">
        <v>2028</v>
      </c>
      <c r="X67" s="362">
        <v>2029</v>
      </c>
      <c r="Y67" s="363">
        <v>2030</v>
      </c>
      <c r="Z67" s="363">
        <v>2031</v>
      </c>
    </row>
    <row r="68" spans="7:26">
      <c r="G68" s="39" t="s">
        <v>1328</v>
      </c>
      <c r="I68" s="416">
        <v>28.963000000000001</v>
      </c>
      <c r="J68" s="681"/>
      <c r="K68" s="416" t="s">
        <v>1328</v>
      </c>
      <c r="L68" s="327">
        <f>L57</f>
        <v>11.713957880594904</v>
      </c>
      <c r="M68" s="327">
        <f>M57</f>
        <v>3.4105898193963133</v>
      </c>
      <c r="N68" s="327">
        <f>N57</f>
        <v>15.124547699991219</v>
      </c>
      <c r="O68" s="327">
        <f t="shared" ref="O68:O73" si="10">L68+O57</f>
        <v>11.713957880594904</v>
      </c>
      <c r="P68" s="327">
        <f>O68+P57</f>
        <v>11.713957880594904</v>
      </c>
      <c r="Q68" s="327">
        <f>P68+Q57</f>
        <v>11.824128135929355</v>
      </c>
      <c r="R68" s="327">
        <f t="shared" ref="R68:Z68" si="11">Q68+R57</f>
        <v>12.700802082633286</v>
      </c>
      <c r="S68" s="327">
        <f t="shared" si="11"/>
        <v>12.95864736107562</v>
      </c>
      <c r="T68" s="327">
        <f t="shared" si="11"/>
        <v>14.083790394278527</v>
      </c>
      <c r="U68" s="327">
        <f t="shared" si="11"/>
        <v>14.318195192862465</v>
      </c>
      <c r="V68" s="327">
        <f t="shared" si="11"/>
        <v>14.318195192862465</v>
      </c>
      <c r="W68" s="327">
        <f t="shared" si="11"/>
        <v>14.787004790030343</v>
      </c>
      <c r="X68" s="327">
        <f t="shared" si="11"/>
        <v>14.787004790030343</v>
      </c>
      <c r="Y68" s="327">
        <f t="shared" si="11"/>
        <v>14.787004790030343</v>
      </c>
      <c r="Z68" s="327">
        <f t="shared" si="11"/>
        <v>15.124547699991215</v>
      </c>
    </row>
    <row r="69" spans="7:26">
      <c r="G69" s="39" t="s">
        <v>1329</v>
      </c>
      <c r="I69" s="416">
        <v>32.972500000000004</v>
      </c>
      <c r="K69" s="416" t="s">
        <v>1329</v>
      </c>
      <c r="L69" s="327">
        <f t="shared" ref="L69:N73" si="12">L58</f>
        <v>36.631423554731427</v>
      </c>
      <c r="M69" s="327">
        <f t="shared" si="12"/>
        <v>10.665460941491482</v>
      </c>
      <c r="N69" s="327">
        <f t="shared" si="12"/>
        <v>47.296884496222908</v>
      </c>
      <c r="O69" s="327">
        <f t="shared" si="10"/>
        <v>36.631423554731427</v>
      </c>
      <c r="P69" s="327">
        <f>O69+P58</f>
        <v>36.631423554731427</v>
      </c>
      <c r="Q69" s="327">
        <f t="shared" ref="Q69:Z73" si="13">P69+Q58</f>
        <v>36.975943598889572</v>
      </c>
      <c r="R69" s="327">
        <f t="shared" si="13"/>
        <v>39.717443524743743</v>
      </c>
      <c r="S69" s="327">
        <f t="shared" si="13"/>
        <v>40.523767032347912</v>
      </c>
      <c r="T69" s="327">
        <f t="shared" si="13"/>
        <v>44.042269610984278</v>
      </c>
      <c r="U69" s="327">
        <f t="shared" si="13"/>
        <v>44.775290981533523</v>
      </c>
      <c r="V69" s="327">
        <f t="shared" si="13"/>
        <v>44.775290981533523</v>
      </c>
      <c r="W69" s="327">
        <f t="shared" si="13"/>
        <v>46.241333722632007</v>
      </c>
      <c r="X69" s="327">
        <f t="shared" si="13"/>
        <v>46.241333722632007</v>
      </c>
      <c r="Y69" s="327">
        <f t="shared" si="13"/>
        <v>46.241333722632007</v>
      </c>
      <c r="Z69" s="327">
        <f t="shared" si="13"/>
        <v>47.296884496222916</v>
      </c>
    </row>
    <row r="70" spans="7:26">
      <c r="G70" s="39" t="s">
        <v>1330</v>
      </c>
      <c r="I70" s="416">
        <v>8.7988999999999997</v>
      </c>
      <c r="K70" s="416" t="s">
        <v>1330</v>
      </c>
      <c r="L70" s="327">
        <f t="shared" si="12"/>
        <v>13.670179856020786</v>
      </c>
      <c r="M70" s="327">
        <f t="shared" si="12"/>
        <v>3.9801557015580831</v>
      </c>
      <c r="N70" s="327">
        <f t="shared" si="12"/>
        <v>17.65033555757887</v>
      </c>
      <c r="O70" s="327">
        <f t="shared" si="10"/>
        <v>13.670179856020786</v>
      </c>
      <c r="P70" s="327">
        <f>O70+P59</f>
        <v>13.670179856020786</v>
      </c>
      <c r="Q70" s="327">
        <f t="shared" si="13"/>
        <v>13.798748459438814</v>
      </c>
      <c r="R70" s="327">
        <f t="shared" si="13"/>
        <v>14.821826282382267</v>
      </c>
      <c r="S70" s="327">
        <f t="shared" si="13"/>
        <v>15.122731524424459</v>
      </c>
      <c r="T70" s="327">
        <f t="shared" si="13"/>
        <v>16.435772580608571</v>
      </c>
      <c r="U70" s="327">
        <f t="shared" si="13"/>
        <v>16.709322800646927</v>
      </c>
      <c r="V70" s="327">
        <f t="shared" si="13"/>
        <v>16.709322800646927</v>
      </c>
      <c r="W70" s="327">
        <f t="shared" si="13"/>
        <v>17.256423240723638</v>
      </c>
      <c r="X70" s="327">
        <f t="shared" si="13"/>
        <v>17.256423240723638</v>
      </c>
      <c r="Y70" s="327">
        <f t="shared" si="13"/>
        <v>17.256423240723638</v>
      </c>
      <c r="Z70" s="327">
        <f t="shared" si="13"/>
        <v>17.65033555757887</v>
      </c>
    </row>
    <row r="71" spans="7:26">
      <c r="G71" s="39" t="s">
        <v>1331</v>
      </c>
      <c r="I71" s="416">
        <v>90.862200000000016</v>
      </c>
      <c r="K71" s="416" t="s">
        <v>1331</v>
      </c>
      <c r="L71" s="327">
        <f t="shared" si="12"/>
        <v>105.87031779689028</v>
      </c>
      <c r="M71" s="327">
        <f t="shared" si="12"/>
        <v>30.824784563421058</v>
      </c>
      <c r="N71" s="327">
        <f t="shared" si="12"/>
        <v>136.69510236031132</v>
      </c>
      <c r="O71" s="327">
        <f t="shared" si="10"/>
        <v>105.87031779689028</v>
      </c>
      <c r="P71" s="327">
        <f>O71+P60</f>
        <v>105.87031779689028</v>
      </c>
      <c r="Q71" s="327">
        <f t="shared" si="13"/>
        <v>106.86603248725508</v>
      </c>
      <c r="R71" s="327">
        <f t="shared" si="13"/>
        <v>114.78937917228565</v>
      </c>
      <c r="S71" s="327">
        <f t="shared" si="13"/>
        <v>117.11977525611817</v>
      </c>
      <c r="T71" s="327">
        <f t="shared" si="13"/>
        <v>127.28877634920553</v>
      </c>
      <c r="U71" s="327">
        <f t="shared" si="13"/>
        <v>129.40731824359872</v>
      </c>
      <c r="V71" s="327">
        <f t="shared" si="13"/>
        <v>129.40731824359872</v>
      </c>
      <c r="W71" s="327">
        <f t="shared" si="13"/>
        <v>133.64440203238513</v>
      </c>
      <c r="X71" s="327">
        <f t="shared" si="13"/>
        <v>133.64440203238513</v>
      </c>
      <c r="Y71" s="327">
        <f t="shared" si="13"/>
        <v>133.64440203238513</v>
      </c>
      <c r="Z71" s="327">
        <f t="shared" si="13"/>
        <v>136.69510236031135</v>
      </c>
    </row>
    <row r="72" spans="7:26" ht="30">
      <c r="G72" s="227" t="s">
        <v>1918</v>
      </c>
      <c r="I72" s="416">
        <v>34.138500000000001</v>
      </c>
      <c r="K72" s="639" t="s">
        <v>1489</v>
      </c>
      <c r="L72" s="327">
        <f t="shared" si="12"/>
        <v>31.746253445199482</v>
      </c>
      <c r="M72" s="327">
        <f t="shared" si="12"/>
        <v>9.2431140616901146</v>
      </c>
      <c r="N72" s="327">
        <f t="shared" si="12"/>
        <v>40.9893675068896</v>
      </c>
      <c r="O72" s="327">
        <f t="shared" si="10"/>
        <v>31.746253445199482</v>
      </c>
      <c r="P72" s="327">
        <f>O72+P61</f>
        <v>31.746253445199482</v>
      </c>
      <c r="Q72" s="327">
        <f t="shared" si="13"/>
        <v>32.044828263687066</v>
      </c>
      <c r="R72" s="327">
        <f t="shared" si="13"/>
        <v>34.420721500162735</v>
      </c>
      <c r="S72" s="327">
        <f t="shared" si="13"/>
        <v>35.119513628537931</v>
      </c>
      <c r="T72" s="327">
        <f t="shared" si="13"/>
        <v>38.168788370538792</v>
      </c>
      <c r="U72" s="327">
        <f t="shared" si="13"/>
        <v>38.804053941788972</v>
      </c>
      <c r="V72" s="327">
        <f t="shared" si="13"/>
        <v>38.804053941788972</v>
      </c>
      <c r="W72" s="327">
        <f t="shared" si="13"/>
        <v>40.074585084289332</v>
      </c>
      <c r="X72" s="327">
        <f t="shared" si="13"/>
        <v>40.074585084289332</v>
      </c>
      <c r="Y72" s="327">
        <f t="shared" si="13"/>
        <v>40.074585084289332</v>
      </c>
      <c r="Z72" s="327">
        <f t="shared" si="13"/>
        <v>40.989367506889593</v>
      </c>
    </row>
    <row r="73" spans="7:26">
      <c r="I73" s="630"/>
      <c r="K73" s="416" t="s">
        <v>1340</v>
      </c>
      <c r="L73" s="327">
        <f t="shared" si="12"/>
        <v>50.233867466563169</v>
      </c>
      <c r="M73" s="327">
        <f t="shared" si="12"/>
        <v>14.625894912442952</v>
      </c>
      <c r="N73" s="327">
        <f t="shared" si="12"/>
        <v>64.859762379006099</v>
      </c>
      <c r="O73" s="327">
        <f t="shared" si="10"/>
        <v>50.233867466563169</v>
      </c>
      <c r="P73" s="327">
        <f>O73+P62</f>
        <v>50.233867466563169</v>
      </c>
      <c r="Q73" s="327">
        <f t="shared" si="13"/>
        <v>50.706319054800154</v>
      </c>
      <c r="R73" s="327">
        <f t="shared" si="13"/>
        <v>54.465827437792363</v>
      </c>
      <c r="S73" s="327">
        <f t="shared" si="13"/>
        <v>55.571565197495957</v>
      </c>
      <c r="T73" s="327">
        <f t="shared" si="13"/>
        <v>60.396602694384356</v>
      </c>
      <c r="U73" s="327">
        <f t="shared" si="13"/>
        <v>61.401818839569437</v>
      </c>
      <c r="V73" s="327">
        <f t="shared" si="13"/>
        <v>61.401818839569437</v>
      </c>
      <c r="W73" s="327">
        <f t="shared" si="13"/>
        <v>63.412251129939605</v>
      </c>
      <c r="X73" s="327">
        <f t="shared" si="13"/>
        <v>63.412251129939605</v>
      </c>
      <c r="Y73" s="327">
        <f t="shared" si="13"/>
        <v>63.412251129939605</v>
      </c>
      <c r="Z73" s="327">
        <f t="shared" si="13"/>
        <v>64.859762379006128</v>
      </c>
    </row>
    <row r="74" spans="7:26" ht="23.25" customHeight="1">
      <c r="I74" s="630"/>
      <c r="K74" s="416" t="s">
        <v>1327</v>
      </c>
      <c r="L74" s="327">
        <f>SUM(L68:L73)</f>
        <v>249.86600000000004</v>
      </c>
      <c r="M74" s="327">
        <f t="shared" ref="M74:Z74" si="14">SUM(M68:M73)</f>
        <v>72.75</v>
      </c>
      <c r="N74" s="327">
        <f t="shared" si="14"/>
        <v>322.61600000000004</v>
      </c>
      <c r="O74" s="327">
        <f t="shared" si="14"/>
        <v>249.86600000000004</v>
      </c>
      <c r="P74" s="327">
        <f t="shared" si="14"/>
        <v>249.86600000000004</v>
      </c>
      <c r="Q74" s="327">
        <f t="shared" si="14"/>
        <v>252.21600000000004</v>
      </c>
      <c r="R74" s="327">
        <f t="shared" si="14"/>
        <v>270.916</v>
      </c>
      <c r="S74" s="327">
        <f t="shared" si="14"/>
        <v>276.41600000000005</v>
      </c>
      <c r="T74" s="327">
        <f t="shared" si="14"/>
        <v>300.41600000000005</v>
      </c>
      <c r="U74" s="327">
        <f t="shared" si="14"/>
        <v>305.41600000000005</v>
      </c>
      <c r="V74" s="327">
        <f t="shared" si="14"/>
        <v>305.41600000000005</v>
      </c>
      <c r="W74" s="739">
        <f t="shared" si="14"/>
        <v>315.41600000000005</v>
      </c>
      <c r="X74" s="327">
        <f t="shared" si="14"/>
        <v>315.41600000000005</v>
      </c>
      <c r="Y74" s="327">
        <f t="shared" si="14"/>
        <v>315.41600000000005</v>
      </c>
      <c r="Z74" s="327">
        <f t="shared" si="14"/>
        <v>322.6160000000001</v>
      </c>
    </row>
    <row r="75" spans="7:26">
      <c r="K75" s="765" t="s">
        <v>2007</v>
      </c>
      <c r="M75" s="766">
        <f>M74-M73</f>
        <v>58.124105087557048</v>
      </c>
      <c r="O75" s="327"/>
      <c r="P75" s="327"/>
      <c r="Q75" s="327"/>
      <c r="R75" s="327"/>
      <c r="S75" s="327"/>
      <c r="T75" s="327"/>
      <c r="U75" s="327"/>
      <c r="V75" s="327"/>
      <c r="W75" s="327"/>
      <c r="X75" s="327"/>
      <c r="Y75" s="327"/>
      <c r="Z75" s="327"/>
    </row>
    <row r="77" spans="7:26">
      <c r="K77" s="416" t="s">
        <v>1341</v>
      </c>
      <c r="L77" s="383" t="s">
        <v>1342</v>
      </c>
    </row>
    <row r="78" spans="7:26">
      <c r="K78" s="416" t="s">
        <v>1343</v>
      </c>
      <c r="L78" s="327">
        <v>15</v>
      </c>
    </row>
    <row r="79" spans="7:26">
      <c r="K79" s="416" t="s">
        <v>1344</v>
      </c>
      <c r="L79" s="327">
        <v>33</v>
      </c>
    </row>
    <row r="80" spans="7:26">
      <c r="K80" s="416" t="s">
        <v>1345</v>
      </c>
      <c r="L80" s="740">
        <v>24</v>
      </c>
    </row>
    <row r="81" spans="11:27">
      <c r="K81" s="56" t="s">
        <v>1956</v>
      </c>
      <c r="L81" s="740">
        <f>L80*125%</f>
        <v>30</v>
      </c>
    </row>
    <row r="82" spans="11:27" ht="15.75">
      <c r="L82" s="1074" t="s">
        <v>1346</v>
      </c>
      <c r="M82" s="1074"/>
      <c r="N82" s="1074"/>
      <c r="O82" s="1074"/>
      <c r="P82" s="1075" t="s">
        <v>1347</v>
      </c>
      <c r="Q82" s="1075"/>
      <c r="R82" s="1075"/>
      <c r="S82" s="1075"/>
      <c r="T82" s="1075"/>
      <c r="U82" s="1075"/>
      <c r="V82" s="1075"/>
      <c r="W82" s="1075"/>
      <c r="X82" s="1075"/>
      <c r="Y82" s="1075"/>
      <c r="Z82" s="1075"/>
      <c r="AA82" s="416" t="s">
        <v>1348</v>
      </c>
    </row>
    <row r="83" spans="11:27">
      <c r="K83" s="384"/>
      <c r="L83" s="416">
        <v>2017</v>
      </c>
      <c r="M83" s="416">
        <v>2018</v>
      </c>
      <c r="N83" s="416">
        <v>2019</v>
      </c>
      <c r="O83" s="416">
        <v>2020</v>
      </c>
      <c r="P83" s="226">
        <v>2021</v>
      </c>
      <c r="Q83" s="226">
        <v>2022</v>
      </c>
      <c r="R83" s="226">
        <v>2023</v>
      </c>
      <c r="S83" s="226">
        <v>2024</v>
      </c>
      <c r="T83" s="226">
        <v>2025</v>
      </c>
      <c r="U83" s="226">
        <v>2026</v>
      </c>
      <c r="V83" s="226">
        <v>2027</v>
      </c>
      <c r="W83" s="226">
        <v>2028</v>
      </c>
      <c r="X83" s="226">
        <v>2029</v>
      </c>
      <c r="Y83" s="226">
        <v>2030</v>
      </c>
      <c r="Z83" s="226">
        <v>2031</v>
      </c>
    </row>
    <row r="84" spans="11:27">
      <c r="K84" s="384" t="s">
        <v>1349</v>
      </c>
      <c r="L84" s="416">
        <f>HistoricalProdPP!E24/1000</f>
        <v>194.59700000000001</v>
      </c>
      <c r="M84" s="416">
        <f>HistoricalProdPP!F24/1000</f>
        <v>206.166</v>
      </c>
      <c r="N84" s="416">
        <f>HistoricalProdPP!G24/1000</f>
        <v>213.21600000000001</v>
      </c>
      <c r="O84" s="416">
        <f>HistoricalProdPP!H24/1000</f>
        <v>214.12700000000001</v>
      </c>
      <c r="P84" s="416">
        <f>O84*(1+HistoricalProdPP!$I24)</f>
        <v>225.15811784576823</v>
      </c>
      <c r="Q84" s="416">
        <f>P84*(1+HistoricalProdPP!$I24)</f>
        <v>236.75752255366606</v>
      </c>
      <c r="R84" s="416">
        <f>Q84*(1+HistoricalProdPP!$I24)</f>
        <v>248.95449039126532</v>
      </c>
      <c r="S84" s="416">
        <f>R84*(1+HistoricalProdPP!$I24)</f>
        <v>261.77980584302628</v>
      </c>
      <c r="T84" s="416">
        <f>S84*(1+HistoricalProdPP!$I24)</f>
        <v>275.26583930866462</v>
      </c>
      <c r="U84" s="416">
        <f>T84*(1+HistoricalProdPP!$I24)</f>
        <v>289.44662880428251</v>
      </c>
      <c r="V84" s="416">
        <f>U84*(1+HistoricalProdPP!$I24)</f>
        <v>304.35796587247273</v>
      </c>
      <c r="W84" s="394">
        <f>V84*(1+HistoricalProdPP!$I24)</f>
        <v>320.03748591822853</v>
      </c>
      <c r="X84" s="416">
        <f>W84*(1+HistoricalProdPP!$I24)</f>
        <v>336.52476319866196</v>
      </c>
      <c r="Y84" s="416">
        <f>X84*(1+HistoricalProdPP!$I24)</f>
        <v>353.8614107062798</v>
      </c>
      <c r="Z84" s="416">
        <f>Y84*(1+HistoricalProdPP!$I24)</f>
        <v>372.09118519791679</v>
      </c>
      <c r="AA84" s="385">
        <v>5.1999999999999998E-2</v>
      </c>
    </row>
    <row r="85" spans="11:27">
      <c r="K85" s="386" t="s">
        <v>1350</v>
      </c>
      <c r="AA85" s="387"/>
    </row>
    <row r="86" spans="11:27">
      <c r="K86" s="384"/>
      <c r="O86" s="416">
        <f>HistoricalProdPP!H24/1000</f>
        <v>214.12700000000001</v>
      </c>
      <c r="P86" s="416">
        <f>O86*(1+4%)</f>
        <v>222.69208</v>
      </c>
      <c r="Q86" s="416">
        <f t="shared" ref="Q86:Z86" si="15">P86*(1+4%)</f>
        <v>231.59976320000001</v>
      </c>
      <c r="R86" s="416">
        <f t="shared" si="15"/>
        <v>240.86375372800003</v>
      </c>
      <c r="S86" s="416">
        <f t="shared" si="15"/>
        <v>250.49830387712004</v>
      </c>
      <c r="T86" s="416">
        <f t="shared" si="15"/>
        <v>260.51823603220487</v>
      </c>
      <c r="U86" s="416">
        <f t="shared" si="15"/>
        <v>270.93896547349306</v>
      </c>
      <c r="V86" s="416">
        <f t="shared" si="15"/>
        <v>281.77652409243279</v>
      </c>
      <c r="W86" s="416">
        <f t="shared" si="15"/>
        <v>293.04758505613012</v>
      </c>
      <c r="X86" s="416">
        <f t="shared" si="15"/>
        <v>304.76948845837535</v>
      </c>
      <c r="Y86" s="416">
        <f t="shared" si="15"/>
        <v>316.9602679967104</v>
      </c>
      <c r="Z86" s="416">
        <f t="shared" si="15"/>
        <v>329.63867871657885</v>
      </c>
      <c r="AA86" s="387">
        <v>0.04</v>
      </c>
    </row>
    <row r="87" spans="11:27">
      <c r="K87" s="384"/>
      <c r="O87" s="416">
        <f>HistoricalProdPP!H24/1000</f>
        <v>214.12700000000001</v>
      </c>
      <c r="P87" s="416">
        <f>O87*(1+3%)</f>
        <v>220.55081000000001</v>
      </c>
      <c r="Q87" s="416">
        <f t="shared" ref="Q87:Z87" si="16">P87*(1+3%)</f>
        <v>227.16733430000002</v>
      </c>
      <c r="R87" s="416">
        <f t="shared" si="16"/>
        <v>233.98235432900003</v>
      </c>
      <c r="S87" s="416">
        <f t="shared" si="16"/>
        <v>241.00182495887003</v>
      </c>
      <c r="T87" s="416">
        <f t="shared" si="16"/>
        <v>248.23187970763612</v>
      </c>
      <c r="U87" s="416">
        <f t="shared" si="16"/>
        <v>255.67883609886522</v>
      </c>
      <c r="V87" s="416">
        <f t="shared" si="16"/>
        <v>263.34920118183118</v>
      </c>
      <c r="W87" s="416">
        <f t="shared" si="16"/>
        <v>271.24967721728609</v>
      </c>
      <c r="X87" s="416">
        <f t="shared" si="16"/>
        <v>279.3871675338047</v>
      </c>
      <c r="Y87" s="416">
        <f t="shared" si="16"/>
        <v>287.76878255981887</v>
      </c>
      <c r="Z87" s="416">
        <f t="shared" si="16"/>
        <v>296.40184603661345</v>
      </c>
      <c r="AA87" s="387">
        <v>0.03</v>
      </c>
    </row>
    <row r="89" spans="11:27">
      <c r="L89" s="416" t="s">
        <v>1351</v>
      </c>
    </row>
    <row r="90" spans="11:27">
      <c r="L90" s="416" t="s">
        <v>1352</v>
      </c>
    </row>
    <row r="91" spans="11:27">
      <c r="L91" s="394" t="s">
        <v>1353</v>
      </c>
      <c r="M91" s="394"/>
      <c r="N91" s="394"/>
      <c r="O91" s="394"/>
      <c r="P91" s="394"/>
      <c r="Q91" s="394"/>
      <c r="R91" s="394"/>
    </row>
  </sheetData>
  <mergeCells count="10">
    <mergeCell ref="O54:Z54"/>
    <mergeCell ref="O66:Z66"/>
    <mergeCell ref="L82:O82"/>
    <mergeCell ref="P82:Z82"/>
    <mergeCell ref="I21:I29"/>
    <mergeCell ref="I30:I31"/>
    <mergeCell ref="I32:I33"/>
    <mergeCell ref="I34:I35"/>
    <mergeCell ref="I39:I40"/>
    <mergeCell ref="I41:I43"/>
  </mergeCells>
  <hyperlinks>
    <hyperlink ref="K10" r:id="rId1"/>
    <hyperlink ref="N16" r:id="rId2"/>
    <hyperlink ref="N17" r:id="rId3"/>
  </hyperlinks>
  <pageMargins left="0.7" right="0.7" top="0.75" bottom="0.75" header="0.3" footer="0.3"/>
  <pageSetup orientation="portrait" r:id="rId4"/>
  <legacyDrawing r:id="rId5"/>
  <tableParts count="1">
    <tablePart r:id="rId6"/>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Q29"/>
  <sheetViews>
    <sheetView zoomScaleNormal="100" workbookViewId="0"/>
  </sheetViews>
  <sheetFormatPr defaultRowHeight="15"/>
  <cols>
    <col min="1" max="1" width="32.28515625" style="416" bestFit="1" customWidth="1"/>
    <col min="2" max="2" width="10.140625" style="416" bestFit="1" customWidth="1"/>
    <col min="3" max="3" width="14.42578125" style="416" customWidth="1"/>
    <col min="4" max="4" width="13.140625" style="416" customWidth="1"/>
    <col min="5" max="16" width="9.140625" style="416"/>
    <col min="17" max="17" width="10.28515625" style="416" bestFit="1" customWidth="1"/>
    <col min="18" max="16384" width="9.140625" style="416"/>
  </cols>
  <sheetData>
    <row r="1" spans="1:17">
      <c r="A1" s="416" t="s">
        <v>1952</v>
      </c>
    </row>
    <row r="2" spans="1:17" ht="22.5" customHeight="1">
      <c r="B2" s="1078" t="s">
        <v>1354</v>
      </c>
      <c r="C2" s="1078"/>
      <c r="D2" s="1078"/>
      <c r="E2" s="1078"/>
      <c r="F2" s="1078"/>
      <c r="G2" s="1078"/>
      <c r="H2" s="1078"/>
      <c r="I2" s="1078" t="s">
        <v>1355</v>
      </c>
      <c r="J2" s="1078"/>
      <c r="K2" s="1078"/>
      <c r="L2" s="1078"/>
      <c r="M2" s="1078"/>
      <c r="N2" s="1078"/>
      <c r="O2" s="1078"/>
      <c r="P2" s="728" t="s">
        <v>1356</v>
      </c>
      <c r="Q2" s="416" t="s">
        <v>1357</v>
      </c>
    </row>
    <row r="3" spans="1:17">
      <c r="A3" s="416" t="s">
        <v>1358</v>
      </c>
      <c r="B3" s="416" t="s">
        <v>1359</v>
      </c>
      <c r="C3" s="416" t="s">
        <v>1360</v>
      </c>
      <c r="D3" s="416" t="s">
        <v>1361</v>
      </c>
      <c r="E3" s="416" t="s">
        <v>1362</v>
      </c>
      <c r="F3" s="416" t="s">
        <v>687</v>
      </c>
      <c r="G3" s="416" t="s">
        <v>907</v>
      </c>
      <c r="H3" s="416" t="s">
        <v>694</v>
      </c>
      <c r="I3" s="416" t="s">
        <v>1359</v>
      </c>
      <c r="J3" s="416" t="s">
        <v>1360</v>
      </c>
      <c r="K3" s="416" t="s">
        <v>1361</v>
      </c>
      <c r="L3" s="416" t="s">
        <v>1362</v>
      </c>
      <c r="M3" s="416" t="s">
        <v>687</v>
      </c>
      <c r="N3" s="416" t="s">
        <v>907</v>
      </c>
      <c r="O3" s="416" t="s">
        <v>694</v>
      </c>
      <c r="P3" s="728" t="s">
        <v>1363</v>
      </c>
      <c r="Q3" s="416" t="s">
        <v>1364</v>
      </c>
    </row>
    <row r="4" spans="1:17">
      <c r="A4" s="416" t="s">
        <v>1328</v>
      </c>
      <c r="B4" s="416">
        <v>10030</v>
      </c>
      <c r="C4" s="416">
        <v>9840</v>
      </c>
      <c r="D4" s="416">
        <v>10568</v>
      </c>
      <c r="E4" s="416">
        <v>11326</v>
      </c>
      <c r="F4" s="416">
        <v>12380</v>
      </c>
      <c r="G4" s="416">
        <v>12786</v>
      </c>
      <c r="H4" s="39">
        <v>12823</v>
      </c>
      <c r="I4" s="388">
        <f t="shared" ref="I4:O18" si="0">B4/B$19</f>
        <v>4.5434778669662432E-2</v>
      </c>
      <c r="J4" s="388">
        <f t="shared" si="0"/>
        <v>4.44975037985674E-2</v>
      </c>
      <c r="K4" s="388">
        <f t="shared" si="0"/>
        <v>4.5566847617528231E-2</v>
      </c>
      <c r="L4" s="388">
        <f t="shared" si="0"/>
        <v>4.6503607047394591E-2</v>
      </c>
      <c r="M4" s="388">
        <f t="shared" si="0"/>
        <v>4.866256559422967E-2</v>
      </c>
      <c r="N4" s="388">
        <f t="shared" si="0"/>
        <v>4.8734377441769165E-2</v>
      </c>
      <c r="O4" s="388">
        <f t="shared" si="0"/>
        <v>4.876703784836315E-2</v>
      </c>
      <c r="P4" s="392">
        <f>AVERAGE(I4:O4)</f>
        <v>4.6880959716787809E-2</v>
      </c>
      <c r="Q4" s="388">
        <f>(H4/B4)^(1/6)-1</f>
        <v>4.1793039675741106E-2</v>
      </c>
    </row>
    <row r="5" spans="1:17">
      <c r="A5" s="416" t="s">
        <v>1365</v>
      </c>
      <c r="B5" s="416">
        <v>30275</v>
      </c>
      <c r="C5" s="416">
        <v>32325</v>
      </c>
      <c r="D5" s="416">
        <v>35321</v>
      </c>
      <c r="E5" s="416">
        <v>36593</v>
      </c>
      <c r="F5" s="416">
        <v>37784</v>
      </c>
      <c r="G5" s="416">
        <v>38039</v>
      </c>
      <c r="H5" s="39">
        <v>38616</v>
      </c>
      <c r="I5" s="388">
        <f t="shared" si="0"/>
        <v>0.13714236532642374</v>
      </c>
      <c r="J5" s="388">
        <f t="shared" si="0"/>
        <v>0.14617701324072063</v>
      </c>
      <c r="K5" s="388">
        <f t="shared" si="0"/>
        <v>0.15229623625082464</v>
      </c>
      <c r="L5" s="388">
        <f t="shared" si="0"/>
        <v>0.15024779204355557</v>
      </c>
      <c r="M5" s="388">
        <f t="shared" si="0"/>
        <v>0.14851909357127416</v>
      </c>
      <c r="N5" s="388">
        <f t="shared" si="0"/>
        <v>0.14498725039163596</v>
      </c>
      <c r="O5" s="388">
        <f t="shared" si="0"/>
        <v>0.14686016794450529</v>
      </c>
      <c r="P5" s="392">
        <f>AVERAGE(I5:O5)</f>
        <v>0.14660427410984855</v>
      </c>
      <c r="Q5" s="388">
        <f>(H5/B5)^(1/6)-1</f>
        <v>4.1391085383229553E-2</v>
      </c>
    </row>
    <row r="6" spans="1:17">
      <c r="A6" s="416" t="s">
        <v>1330</v>
      </c>
      <c r="B6" s="416">
        <v>11220</v>
      </c>
      <c r="C6" s="416">
        <v>11103</v>
      </c>
      <c r="D6" s="416">
        <v>11789</v>
      </c>
      <c r="E6" s="416">
        <v>13831</v>
      </c>
      <c r="F6" s="416">
        <v>14594</v>
      </c>
      <c r="G6" s="416">
        <v>15479</v>
      </c>
      <c r="H6" s="39">
        <v>15238</v>
      </c>
      <c r="I6" s="388">
        <f t="shared" si="0"/>
        <v>5.0825345630469837E-2</v>
      </c>
      <c r="J6" s="388">
        <f t="shared" si="0"/>
        <v>5.0208921206859131E-2</v>
      </c>
      <c r="K6" s="388">
        <f t="shared" si="0"/>
        <v>5.0831525980605634E-2</v>
      </c>
      <c r="L6" s="388">
        <f t="shared" si="0"/>
        <v>5.678892716515227E-2</v>
      </c>
      <c r="M6" s="388">
        <f t="shared" si="0"/>
        <v>5.7365224740079795E-2</v>
      </c>
      <c r="N6" s="388">
        <f t="shared" si="0"/>
        <v>5.8998860348908562E-2</v>
      </c>
      <c r="O6" s="388">
        <f t="shared" si="0"/>
        <v>5.7951502981623465E-2</v>
      </c>
      <c r="P6" s="392">
        <f>AVERAGE(I6:O6)</f>
        <v>5.4710044007671245E-2</v>
      </c>
      <c r="Q6" s="388">
        <f>(H6/B6)^(1/6)-1</f>
        <v>5.2339451355752908E-2</v>
      </c>
    </row>
    <row r="7" spans="1:17">
      <c r="A7" s="416" t="s">
        <v>1331</v>
      </c>
      <c r="B7" s="416">
        <v>93759</v>
      </c>
      <c r="C7" s="416">
        <v>94428</v>
      </c>
      <c r="D7" s="416">
        <v>98588</v>
      </c>
      <c r="E7" s="416">
        <v>102484</v>
      </c>
      <c r="F7" s="416">
        <v>107904</v>
      </c>
      <c r="G7" s="416">
        <v>110535</v>
      </c>
      <c r="H7" s="39">
        <v>111198</v>
      </c>
      <c r="I7" s="388">
        <f t="shared" si="0"/>
        <v>0.42471778796499304</v>
      </c>
      <c r="J7" s="388">
        <f t="shared" si="0"/>
        <v>0.42701324072064251</v>
      </c>
      <c r="K7" s="388">
        <f t="shared" si="0"/>
        <v>0.42508936155534383</v>
      </c>
      <c r="L7" s="388">
        <f t="shared" si="0"/>
        <v>0.42079071734462187</v>
      </c>
      <c r="M7" s="388">
        <f t="shared" si="0"/>
        <v>0.42414260726007741</v>
      </c>
      <c r="N7" s="388">
        <f t="shared" si="0"/>
        <v>0.4213088073303578</v>
      </c>
      <c r="O7" s="388">
        <f t="shared" si="0"/>
        <v>0.4228961299744432</v>
      </c>
      <c r="P7" s="392">
        <f>AVERAGE(I7:O7)</f>
        <v>0.42370837887863999</v>
      </c>
      <c r="Q7" s="388">
        <f>(H7/B7)^(1/6)-1</f>
        <v>2.8838801716752682E-2</v>
      </c>
    </row>
    <row r="8" spans="1:17">
      <c r="A8" s="389" t="s">
        <v>1366</v>
      </c>
      <c r="B8" s="389">
        <v>423</v>
      </c>
      <c r="C8" s="389">
        <v>358</v>
      </c>
      <c r="D8" s="389">
        <v>429</v>
      </c>
      <c r="E8" s="389">
        <v>629</v>
      </c>
      <c r="F8" s="389">
        <v>562</v>
      </c>
      <c r="G8" s="389">
        <v>702</v>
      </c>
      <c r="H8" s="389">
        <v>643</v>
      </c>
      <c r="I8" s="390">
        <f t="shared" si="0"/>
        <v>1.9161427095979271E-3</v>
      </c>
      <c r="J8" s="390">
        <f t="shared" si="0"/>
        <v>1.6189132479560091E-3</v>
      </c>
      <c r="K8" s="390">
        <f t="shared" si="0"/>
        <v>1.8497518572974652E-3</v>
      </c>
      <c r="L8" s="390">
        <f t="shared" si="0"/>
        <v>2.5826212990297721E-3</v>
      </c>
      <c r="M8" s="390">
        <f t="shared" si="0"/>
        <v>2.20907607947957E-3</v>
      </c>
      <c r="N8" s="390">
        <f t="shared" si="0"/>
        <v>2.6757025624997619E-3</v>
      </c>
      <c r="O8" s="390">
        <f t="shared" si="0"/>
        <v>2.4453876110502619E-3</v>
      </c>
      <c r="P8" s="728"/>
    </row>
    <row r="9" spans="1:17">
      <c r="A9" s="357" t="s">
        <v>1367</v>
      </c>
      <c r="B9" s="357">
        <v>18505</v>
      </c>
      <c r="C9" s="357">
        <v>17391</v>
      </c>
      <c r="D9" s="357">
        <v>17861</v>
      </c>
      <c r="E9" s="357">
        <v>19946</v>
      </c>
      <c r="F9" s="357">
        <v>20006</v>
      </c>
      <c r="G9" s="357">
        <v>19786</v>
      </c>
      <c r="H9" s="357">
        <v>20679</v>
      </c>
      <c r="I9" s="391">
        <f t="shared" si="0"/>
        <v>8.3825581184656356E-2</v>
      </c>
      <c r="J9" s="391">
        <f t="shared" si="0"/>
        <v>7.8643911439114395E-2</v>
      </c>
      <c r="K9" s="391">
        <f t="shared" si="0"/>
        <v>7.7012629191585136E-2</v>
      </c>
      <c r="L9" s="391">
        <f t="shared" si="0"/>
        <v>8.1896604817882093E-2</v>
      </c>
      <c r="M9" s="391">
        <f t="shared" si="0"/>
        <v>7.8638391541046751E-2</v>
      </c>
      <c r="N9" s="391">
        <f t="shared" si="0"/>
        <v>7.5415172224530327E-2</v>
      </c>
      <c r="O9" s="391">
        <f t="shared" si="0"/>
        <v>7.864412194231471E-2</v>
      </c>
      <c r="P9" s="728"/>
    </row>
    <row r="10" spans="1:17">
      <c r="A10" s="389" t="s">
        <v>1368</v>
      </c>
      <c r="B10" s="389">
        <v>7418</v>
      </c>
      <c r="C10" s="389">
        <v>7559</v>
      </c>
      <c r="D10" s="389">
        <v>7503</v>
      </c>
      <c r="E10" s="389">
        <v>6041</v>
      </c>
      <c r="F10" s="389">
        <v>4408</v>
      </c>
      <c r="G10" s="389">
        <v>4072</v>
      </c>
      <c r="H10" s="389">
        <v>3141</v>
      </c>
      <c r="I10" s="390">
        <f t="shared" si="0"/>
        <v>3.360271068510029E-2</v>
      </c>
      <c r="J10" s="390">
        <f t="shared" si="0"/>
        <v>3.4182584472903552E-2</v>
      </c>
      <c r="K10" s="390">
        <f t="shared" si="0"/>
        <v>3.2351254511195526E-2</v>
      </c>
      <c r="L10" s="390">
        <f t="shared" si="0"/>
        <v>2.4803839852843963E-2</v>
      </c>
      <c r="M10" s="390">
        <f t="shared" si="0"/>
        <v>1.7326703484601323E-2</v>
      </c>
      <c r="N10" s="390">
        <f t="shared" si="0"/>
        <v>1.5520599479343348E-2</v>
      </c>
      <c r="O10" s="390">
        <f t="shared" si="0"/>
        <v>1.194550930996714E-2</v>
      </c>
      <c r="P10" s="728"/>
    </row>
    <row r="11" spans="1:17">
      <c r="A11" s="389" t="s">
        <v>1369</v>
      </c>
      <c r="B11" s="389">
        <v>13405</v>
      </c>
      <c r="C11" s="389">
        <v>11919</v>
      </c>
      <c r="D11" s="389">
        <v>9727</v>
      </c>
      <c r="E11" s="389">
        <v>9962</v>
      </c>
      <c r="F11" s="389">
        <v>9486</v>
      </c>
      <c r="G11" s="389">
        <v>10032</v>
      </c>
      <c r="H11" s="389">
        <v>8610</v>
      </c>
      <c r="I11" s="390">
        <f t="shared" si="0"/>
        <v>6.072315135262462E-2</v>
      </c>
      <c r="J11" s="390">
        <f t="shared" si="0"/>
        <v>5.3898958107228133E-2</v>
      </c>
      <c r="K11" s="390">
        <f t="shared" si="0"/>
        <v>4.1940644093082617E-2</v>
      </c>
      <c r="L11" s="390">
        <f t="shared" si="0"/>
        <v>4.0903137330579632E-2</v>
      </c>
      <c r="M11" s="390">
        <f t="shared" si="0"/>
        <v>3.7287003007016373E-2</v>
      </c>
      <c r="N11" s="390">
        <f t="shared" si="0"/>
        <v>3.8237390465808561E-2</v>
      </c>
      <c r="O11" s="390">
        <f t="shared" si="0"/>
        <v>3.2744614822928078E-2</v>
      </c>
      <c r="P11" s="728"/>
    </row>
    <row r="12" spans="1:17">
      <c r="A12" s="357" t="s">
        <v>1370</v>
      </c>
      <c r="B12" s="357">
        <v>941</v>
      </c>
      <c r="C12" s="357">
        <v>946</v>
      </c>
      <c r="D12" s="357">
        <v>1037</v>
      </c>
      <c r="E12" s="357">
        <v>1029</v>
      </c>
      <c r="F12" s="357">
        <v>1036</v>
      </c>
      <c r="G12" s="357">
        <v>949</v>
      </c>
      <c r="H12" s="357">
        <v>932</v>
      </c>
      <c r="I12" s="391">
        <f t="shared" si="0"/>
        <v>4.2626247984199747E-3</v>
      </c>
      <c r="J12" s="391">
        <f t="shared" si="0"/>
        <v>4.2779104261630851E-3</v>
      </c>
      <c r="K12" s="391">
        <f t="shared" si="0"/>
        <v>4.471311599108325E-3</v>
      </c>
      <c r="L12" s="391">
        <f t="shared" si="0"/>
        <v>4.2249877848992614E-3</v>
      </c>
      <c r="M12" s="391">
        <f t="shared" si="0"/>
        <v>4.072247007723905E-3</v>
      </c>
      <c r="N12" s="391">
        <f t="shared" si="0"/>
        <v>3.6171534641200485E-3</v>
      </c>
      <c r="O12" s="391">
        <f t="shared" si="0"/>
        <v>3.5444809541195083E-3</v>
      </c>
      <c r="P12" s="728"/>
    </row>
    <row r="13" spans="1:17">
      <c r="A13" s="357" t="s">
        <v>1371</v>
      </c>
      <c r="B13" s="357">
        <v>4785</v>
      </c>
      <c r="C13" s="357">
        <v>4632</v>
      </c>
      <c r="D13" s="357">
        <v>5157</v>
      </c>
      <c r="E13" s="357">
        <v>5185</v>
      </c>
      <c r="F13" s="357">
        <v>5277</v>
      </c>
      <c r="G13" s="357">
        <v>5803</v>
      </c>
      <c r="H13" s="357">
        <v>5244</v>
      </c>
      <c r="I13" s="391">
        <f t="shared" si="0"/>
        <v>2.1675515048288609E-2</v>
      </c>
      <c r="J13" s="391">
        <f t="shared" si="0"/>
        <v>2.094638593444758E-2</v>
      </c>
      <c r="K13" s="391">
        <f t="shared" si="0"/>
        <v>2.2235828270589807E-2</v>
      </c>
      <c r="L13" s="391">
        <f t="shared" si="0"/>
        <v>2.1289175573083255E-2</v>
      </c>
      <c r="M13" s="391">
        <f t="shared" si="0"/>
        <v>2.0742516853049273E-2</v>
      </c>
      <c r="N13" s="391">
        <f t="shared" si="0"/>
        <v>2.2118378874909E-2</v>
      </c>
      <c r="O13" s="391">
        <f t="shared" si="0"/>
        <v>1.9943410003650967E-2</v>
      </c>
      <c r="P13" s="728"/>
    </row>
    <row r="14" spans="1:17">
      <c r="A14" s="389" t="s">
        <v>1372</v>
      </c>
      <c r="B14" s="389">
        <v>12068</v>
      </c>
      <c r="C14" s="389">
        <v>12448</v>
      </c>
      <c r="D14" s="389">
        <v>13322</v>
      </c>
      <c r="E14" s="389">
        <v>13936</v>
      </c>
      <c r="F14" s="389">
        <v>14754</v>
      </c>
      <c r="G14" s="389">
        <v>14676</v>
      </c>
      <c r="H14" s="389">
        <v>15528</v>
      </c>
      <c r="I14" s="390">
        <f t="shared" si="0"/>
        <v>5.466669082607041E-2</v>
      </c>
      <c r="J14" s="390">
        <f t="shared" si="0"/>
        <v>5.6291151146805586E-2</v>
      </c>
      <c r="K14" s="390">
        <f t="shared" si="0"/>
        <v>5.7441478421717554E-2</v>
      </c>
      <c r="L14" s="390">
        <f t="shared" si="0"/>
        <v>5.7220048367693011E-2</v>
      </c>
      <c r="M14" s="390">
        <f t="shared" si="0"/>
        <v>5.7994143196871129E-2</v>
      </c>
      <c r="N14" s="390">
        <f t="shared" si="0"/>
        <v>5.5938192033114675E-2</v>
      </c>
      <c r="O14" s="390">
        <f t="shared" si="0"/>
        <v>5.9054399415845199E-2</v>
      </c>
      <c r="P14" s="728"/>
    </row>
    <row r="15" spans="1:17">
      <c r="A15" s="357" t="s">
        <v>1373</v>
      </c>
      <c r="B15" s="357">
        <v>55</v>
      </c>
      <c r="C15" s="357">
        <v>51</v>
      </c>
      <c r="D15" s="357">
        <v>65</v>
      </c>
      <c r="E15" s="357">
        <v>85</v>
      </c>
      <c r="F15" s="357">
        <v>104</v>
      </c>
      <c r="G15" s="357">
        <v>90</v>
      </c>
      <c r="H15" s="357">
        <v>96</v>
      </c>
      <c r="I15" s="391">
        <f t="shared" si="0"/>
        <v>2.4914385112975414E-4</v>
      </c>
      <c r="J15" s="391">
        <f t="shared" si="0"/>
        <v>2.3062730627306272E-4</v>
      </c>
      <c r="K15" s="391">
        <f t="shared" si="0"/>
        <v>2.8026543292385836E-4</v>
      </c>
      <c r="L15" s="391">
        <f t="shared" si="0"/>
        <v>3.4900287824726647E-4</v>
      </c>
      <c r="M15" s="391">
        <f t="shared" si="0"/>
        <v>4.0879699691436883E-4</v>
      </c>
      <c r="N15" s="391">
        <f t="shared" si="0"/>
        <v>3.4303879006407204E-4</v>
      </c>
      <c r="O15" s="391">
        <f t="shared" si="0"/>
        <v>3.6509675063891932E-4</v>
      </c>
      <c r="P15" s="728"/>
    </row>
    <row r="16" spans="1:17">
      <c r="A16" s="357" t="s">
        <v>85</v>
      </c>
      <c r="B16" s="357">
        <v>17872</v>
      </c>
      <c r="C16" s="357">
        <v>18136</v>
      </c>
      <c r="D16" s="357">
        <v>20556</v>
      </c>
      <c r="E16" s="357">
        <v>22504</v>
      </c>
      <c r="F16" s="357">
        <v>26110</v>
      </c>
      <c r="G16" s="357">
        <v>29412</v>
      </c>
      <c r="H16" s="357">
        <v>30196</v>
      </c>
      <c r="I16" s="391">
        <f t="shared" si="0"/>
        <v>8.0958161952563015E-2</v>
      </c>
      <c r="J16" s="391">
        <f t="shared" si="0"/>
        <v>8.2012878952318929E-2</v>
      </c>
      <c r="K16" s="391">
        <f t="shared" si="0"/>
        <v>8.8632865218197424E-2</v>
      </c>
      <c r="L16" s="391">
        <f t="shared" si="0"/>
        <v>9.2399538495017475E-2</v>
      </c>
      <c r="M16" s="391">
        <f t="shared" si="0"/>
        <v>0.10263163066763625</v>
      </c>
      <c r="N16" s="391">
        <f t="shared" si="0"/>
        <v>0.11210507659293874</v>
      </c>
      <c r="O16" s="391">
        <f t="shared" si="0"/>
        <v>0.11483814044055007</v>
      </c>
      <c r="P16" s="728"/>
    </row>
    <row r="17" spans="1:17" ht="29.25" customHeight="1">
      <c r="A17" s="528" t="s">
        <v>1487</v>
      </c>
      <c r="B17" s="389">
        <f t="shared" ref="B17:H17" si="1">B8+SUM(B10:B11)+B14</f>
        <v>33314</v>
      </c>
      <c r="C17" s="389">
        <f t="shared" si="1"/>
        <v>32284</v>
      </c>
      <c r="D17" s="389">
        <f t="shared" si="1"/>
        <v>30981</v>
      </c>
      <c r="E17" s="389">
        <f t="shared" si="1"/>
        <v>30568</v>
      </c>
      <c r="F17" s="389">
        <f t="shared" si="1"/>
        <v>29210</v>
      </c>
      <c r="G17" s="389">
        <f t="shared" si="1"/>
        <v>29482</v>
      </c>
      <c r="H17" s="389">
        <f t="shared" si="1"/>
        <v>27922</v>
      </c>
      <c r="I17" s="390">
        <f t="shared" si="0"/>
        <v>0.15090869557339326</v>
      </c>
      <c r="J17" s="390">
        <f t="shared" si="0"/>
        <v>0.14599160697489327</v>
      </c>
      <c r="K17" s="390">
        <f t="shared" si="0"/>
        <v>0.13358312888329316</v>
      </c>
      <c r="L17" s="390">
        <f t="shared" si="0"/>
        <v>0.12550964685014637</v>
      </c>
      <c r="M17" s="390">
        <f t="shared" si="0"/>
        <v>0.1148169257679684</v>
      </c>
      <c r="N17" s="390">
        <f t="shared" si="0"/>
        <v>0.11237188454076635</v>
      </c>
      <c r="O17" s="390">
        <f t="shared" si="0"/>
        <v>0.10618991115979068</v>
      </c>
      <c r="P17" s="392">
        <f>AVERAGE(I17:O17)</f>
        <v>0.12705311425003593</v>
      </c>
      <c r="Q17" s="388">
        <f>(H17/B17)^(1/6)-1</f>
        <v>-2.8998374600243459E-2</v>
      </c>
    </row>
    <row r="18" spans="1:17" ht="23.25" customHeight="1">
      <c r="A18" s="416" t="s">
        <v>1374</v>
      </c>
      <c r="B18" s="416">
        <f>SUM(B8:B16)</f>
        <v>75472</v>
      </c>
      <c r="C18" s="416">
        <f t="shared" ref="C18:H18" si="2">SUM(C8:C16)</f>
        <v>73440</v>
      </c>
      <c r="D18" s="416">
        <f t="shared" si="2"/>
        <v>75657</v>
      </c>
      <c r="E18" s="416">
        <f t="shared" si="2"/>
        <v>79317</v>
      </c>
      <c r="F18" s="416">
        <f t="shared" si="2"/>
        <v>81743</v>
      </c>
      <c r="G18" s="416">
        <f t="shared" si="2"/>
        <v>85522</v>
      </c>
      <c r="H18" s="39">
        <f t="shared" si="2"/>
        <v>85069</v>
      </c>
      <c r="I18" s="388">
        <f t="shared" si="0"/>
        <v>0.34187972240845094</v>
      </c>
      <c r="J18" s="388">
        <f t="shared" si="0"/>
        <v>0.33210332103321033</v>
      </c>
      <c r="K18" s="388">
        <f t="shared" si="0"/>
        <v>0.3262160285956977</v>
      </c>
      <c r="L18" s="388">
        <f t="shared" si="0"/>
        <v>0.32566895639927573</v>
      </c>
      <c r="M18" s="388">
        <f t="shared" si="0"/>
        <v>0.32131050883433893</v>
      </c>
      <c r="N18" s="388">
        <f t="shared" si="0"/>
        <v>0.32597070448732851</v>
      </c>
      <c r="O18" s="388">
        <f t="shared" si="0"/>
        <v>0.32352516125106484</v>
      </c>
      <c r="P18" s="392">
        <f>AVERAGE(I18:O18)</f>
        <v>0.32809634328705245</v>
      </c>
      <c r="Q18" s="388">
        <f>(H18/B18)^(1/6)-1</f>
        <v>2.0150495368943977E-2</v>
      </c>
    </row>
    <row r="19" spans="1:17" ht="24.75" customHeight="1">
      <c r="A19" s="416" t="s">
        <v>1375</v>
      </c>
      <c r="B19" s="416">
        <f t="shared" ref="B19:P19" si="3">SUM(B4:B7)+B18</f>
        <v>220756</v>
      </c>
      <c r="C19" s="416">
        <f t="shared" si="3"/>
        <v>221136</v>
      </c>
      <c r="D19" s="416">
        <f t="shared" si="3"/>
        <v>231923</v>
      </c>
      <c r="E19" s="416">
        <f t="shared" si="3"/>
        <v>243551</v>
      </c>
      <c r="F19" s="416">
        <f t="shared" si="3"/>
        <v>254405</v>
      </c>
      <c r="G19" s="416">
        <f t="shared" si="3"/>
        <v>262361</v>
      </c>
      <c r="H19" s="39">
        <f t="shared" si="3"/>
        <v>262944</v>
      </c>
      <c r="I19" s="239">
        <f t="shared" si="3"/>
        <v>1</v>
      </c>
      <c r="J19" s="239">
        <f t="shared" si="3"/>
        <v>1</v>
      </c>
      <c r="K19" s="239">
        <f t="shared" si="3"/>
        <v>1</v>
      </c>
      <c r="L19" s="239">
        <f t="shared" si="3"/>
        <v>1</v>
      </c>
      <c r="M19" s="239">
        <f t="shared" si="3"/>
        <v>1</v>
      </c>
      <c r="N19" s="239">
        <f t="shared" si="3"/>
        <v>1</v>
      </c>
      <c r="O19" s="239">
        <f t="shared" si="3"/>
        <v>1</v>
      </c>
      <c r="P19" s="239">
        <f t="shared" si="3"/>
        <v>1</v>
      </c>
      <c r="Q19" s="388">
        <f>(H19/B19)^(1/6)-1</f>
        <v>2.9576113345583188E-2</v>
      </c>
    </row>
    <row r="20" spans="1:17" ht="24.75" customHeight="1">
      <c r="A20" s="416" t="s">
        <v>1376</v>
      </c>
      <c r="B20" s="345">
        <v>17868</v>
      </c>
      <c r="C20" s="345">
        <v>17669</v>
      </c>
      <c r="D20" s="345">
        <v>18773</v>
      </c>
      <c r="E20" s="345">
        <v>20070</v>
      </c>
      <c r="F20" s="345">
        <v>21164</v>
      </c>
      <c r="G20" s="345">
        <v>21454</v>
      </c>
      <c r="H20" s="39">
        <v>23510</v>
      </c>
      <c r="I20" s="239"/>
      <c r="J20" s="239"/>
      <c r="K20" s="239"/>
      <c r="L20" s="239"/>
      <c r="M20" s="239"/>
      <c r="N20" s="239"/>
      <c r="O20" s="239"/>
      <c r="P20" s="239"/>
      <c r="Q20" s="239"/>
    </row>
    <row r="21" spans="1:17">
      <c r="B21" s="388">
        <f>B20/B19</f>
        <v>8.0940042399753567E-2</v>
      </c>
      <c r="C21" s="388">
        <f t="shared" ref="C21:H21" si="4">C20/C19</f>
        <v>7.9901056363504808E-2</v>
      </c>
      <c r="D21" s="388">
        <f t="shared" si="4"/>
        <v>8.0944968804301423E-2</v>
      </c>
      <c r="E21" s="388">
        <f t="shared" si="4"/>
        <v>8.2405738428501629E-2</v>
      </c>
      <c r="F21" s="388">
        <f t="shared" si="4"/>
        <v>8.319018887207405E-2</v>
      </c>
      <c r="G21" s="388">
        <f t="shared" si="4"/>
        <v>8.1772824467051128E-2</v>
      </c>
      <c r="H21" s="388">
        <f t="shared" si="4"/>
        <v>8.9410672995010348E-2</v>
      </c>
      <c r="I21" s="393">
        <f>AVERAGE(B21:H21)</f>
        <v>8.2652213190028134E-2</v>
      </c>
    </row>
    <row r="22" spans="1:17" ht="18.75" customHeight="1"/>
    <row r="23" spans="1:17" ht="18.75" customHeight="1">
      <c r="A23" s="339" t="s">
        <v>1377</v>
      </c>
      <c r="B23" s="416" t="s">
        <v>1359</v>
      </c>
      <c r="C23" s="416" t="s">
        <v>1360</v>
      </c>
      <c r="D23" s="416" t="s">
        <v>1361</v>
      </c>
      <c r="E23" s="416" t="s">
        <v>1362</v>
      </c>
      <c r="F23" s="416" t="s">
        <v>687</v>
      </c>
      <c r="G23" s="416" t="s">
        <v>907</v>
      </c>
      <c r="H23" s="416" t="s">
        <v>694</v>
      </c>
      <c r="I23" s="416" t="s">
        <v>1378</v>
      </c>
    </row>
    <row r="24" spans="1:17">
      <c r="A24" s="416" t="s">
        <v>1379</v>
      </c>
      <c r="B24" s="416">
        <v>158407</v>
      </c>
      <c r="C24" s="416">
        <v>165520</v>
      </c>
      <c r="D24" s="416">
        <v>184674</v>
      </c>
      <c r="E24" s="416">
        <v>194597</v>
      </c>
      <c r="F24" s="416">
        <v>206166</v>
      </c>
      <c r="G24" s="416">
        <v>213216</v>
      </c>
      <c r="H24" s="416">
        <v>214127</v>
      </c>
      <c r="I24" s="729">
        <f>(H24/B24)^(1/6)-1</f>
        <v>5.1516706654313627E-2</v>
      </c>
    </row>
    <row r="25" spans="1:17">
      <c r="G25" s="239"/>
      <c r="H25" s="239"/>
    </row>
    <row r="27" spans="1:17">
      <c r="A27" s="416" t="s">
        <v>1957</v>
      </c>
    </row>
    <row r="28" spans="1:17">
      <c r="A28" s="416" t="s">
        <v>1958</v>
      </c>
    </row>
    <row r="29" spans="1:17">
      <c r="A29" s="416" t="s">
        <v>1959</v>
      </c>
    </row>
  </sheetData>
  <mergeCells count="2">
    <mergeCell ref="B2:H2"/>
    <mergeCell ref="I2:O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531"/>
  <sheetViews>
    <sheetView zoomScaleNormal="100" workbookViewId="0"/>
  </sheetViews>
  <sheetFormatPr defaultRowHeight="15"/>
  <cols>
    <col min="1" max="1" width="18" bestFit="1" customWidth="1"/>
    <col min="2" max="2" width="19" bestFit="1" customWidth="1"/>
    <col min="3" max="4" width="17.42578125" bestFit="1" customWidth="1"/>
    <col min="5" max="5" width="7.28515625" bestFit="1" customWidth="1"/>
    <col min="6" max="6" width="14.5703125" style="526" bestFit="1" customWidth="1"/>
    <col min="7" max="7" width="14.28515625" style="526" bestFit="1" customWidth="1"/>
  </cols>
  <sheetData>
    <row r="1" spans="1:7">
      <c r="A1" s="226" t="s">
        <v>622</v>
      </c>
      <c r="B1" s="226" t="s">
        <v>1233</v>
      </c>
      <c r="C1" s="226" t="s">
        <v>1234</v>
      </c>
      <c r="D1" s="226" t="s">
        <v>621</v>
      </c>
      <c r="E1" s="226" t="s">
        <v>118</v>
      </c>
      <c r="F1" s="526" t="s">
        <v>942</v>
      </c>
      <c r="G1" s="526" t="s">
        <v>117</v>
      </c>
    </row>
    <row r="2" spans="1:7">
      <c r="A2" s="226" t="s">
        <v>659</v>
      </c>
      <c r="B2" s="226" t="s">
        <v>1235</v>
      </c>
      <c r="C2" s="226" t="s">
        <v>627</v>
      </c>
      <c r="D2" s="226" t="s">
        <v>14</v>
      </c>
      <c r="E2" s="226" t="s">
        <v>618</v>
      </c>
      <c r="F2" s="226">
        <v>0</v>
      </c>
      <c r="G2" s="226">
        <v>0</v>
      </c>
    </row>
    <row r="3" spans="1:7">
      <c r="A3" s="226" t="s">
        <v>659</v>
      </c>
      <c r="B3" s="226" t="s">
        <v>1235</v>
      </c>
      <c r="C3" s="226" t="s">
        <v>627</v>
      </c>
      <c r="D3" s="226" t="s">
        <v>14</v>
      </c>
      <c r="E3" s="226" t="s">
        <v>619</v>
      </c>
      <c r="F3" s="226">
        <v>0</v>
      </c>
      <c r="G3" s="226">
        <v>0</v>
      </c>
    </row>
    <row r="4" spans="1:7">
      <c r="A4" s="226" t="s">
        <v>659</v>
      </c>
      <c r="B4" s="226" t="s">
        <v>1235</v>
      </c>
      <c r="C4" s="226" t="s">
        <v>627</v>
      </c>
      <c r="D4" s="226" t="s">
        <v>14</v>
      </c>
      <c r="E4" s="226" t="s">
        <v>620</v>
      </c>
      <c r="F4" s="226">
        <v>0.15797068198483749</v>
      </c>
      <c r="G4" s="226">
        <v>0</v>
      </c>
    </row>
    <row r="5" spans="1:7">
      <c r="A5" s="226" t="s">
        <v>659</v>
      </c>
      <c r="B5" s="226" t="s">
        <v>1235</v>
      </c>
      <c r="C5" s="226" t="s">
        <v>627</v>
      </c>
      <c r="D5" s="226" t="s">
        <v>14</v>
      </c>
      <c r="E5" s="226" t="s">
        <v>660</v>
      </c>
      <c r="F5" s="226">
        <v>0.15797068198483749</v>
      </c>
      <c r="G5" s="226">
        <v>0</v>
      </c>
    </row>
    <row r="6" spans="1:7">
      <c r="A6" s="226" t="s">
        <v>659</v>
      </c>
      <c r="B6" s="226" t="s">
        <v>1235</v>
      </c>
      <c r="C6" s="226" t="s">
        <v>627</v>
      </c>
      <c r="D6" s="226" t="s">
        <v>14</v>
      </c>
      <c r="E6" s="226" t="s">
        <v>661</v>
      </c>
      <c r="F6" s="226">
        <v>0.15797068198483749</v>
      </c>
      <c r="G6" s="226">
        <v>0</v>
      </c>
    </row>
    <row r="7" spans="1:7">
      <c r="A7" s="226" t="s">
        <v>659</v>
      </c>
      <c r="B7" s="226" t="s">
        <v>1235</v>
      </c>
      <c r="C7" s="226" t="s">
        <v>627</v>
      </c>
      <c r="D7" s="226" t="s">
        <v>14</v>
      </c>
      <c r="E7" s="226" t="s">
        <v>662</v>
      </c>
      <c r="F7" s="226">
        <v>0.15797068198483749</v>
      </c>
      <c r="G7" s="226">
        <v>0</v>
      </c>
    </row>
    <row r="8" spans="1:7">
      <c r="A8" s="226" t="s">
        <v>659</v>
      </c>
      <c r="B8" s="226" t="s">
        <v>1235</v>
      </c>
      <c r="C8" s="226" t="s">
        <v>627</v>
      </c>
      <c r="D8" s="226" t="s">
        <v>14</v>
      </c>
      <c r="E8" s="226" t="s">
        <v>663</v>
      </c>
      <c r="F8" s="226">
        <v>0.15797068198483749</v>
      </c>
      <c r="G8" s="226">
        <v>0</v>
      </c>
    </row>
    <row r="9" spans="1:7">
      <c r="A9" s="226" t="s">
        <v>659</v>
      </c>
      <c r="B9" s="226" t="s">
        <v>1235</v>
      </c>
      <c r="C9" s="226" t="s">
        <v>627</v>
      </c>
      <c r="D9" s="226" t="s">
        <v>14</v>
      </c>
      <c r="E9" s="226" t="s">
        <v>664</v>
      </c>
      <c r="F9" s="226">
        <v>0.15797068198483749</v>
      </c>
      <c r="G9" s="226">
        <v>0</v>
      </c>
    </row>
    <row r="10" spans="1:7">
      <c r="A10" s="226" t="s">
        <v>659</v>
      </c>
      <c r="B10" s="226" t="s">
        <v>1235</v>
      </c>
      <c r="C10" s="226" t="s">
        <v>627</v>
      </c>
      <c r="D10" s="226" t="s">
        <v>14</v>
      </c>
      <c r="E10" s="226" t="s">
        <v>665</v>
      </c>
      <c r="F10" s="226">
        <v>0.15797068198483749</v>
      </c>
      <c r="G10" s="226">
        <v>0</v>
      </c>
    </row>
    <row r="11" spans="1:7">
      <c r="A11" s="226" t="s">
        <v>659</v>
      </c>
      <c r="B11" s="226" t="s">
        <v>1235</v>
      </c>
      <c r="C11" s="226" t="s">
        <v>627</v>
      </c>
      <c r="D11" s="226" t="s">
        <v>14</v>
      </c>
      <c r="E11" s="226" t="s">
        <v>666</v>
      </c>
      <c r="F11" s="226">
        <v>0.15797068198483749</v>
      </c>
      <c r="G11" s="226">
        <v>0</v>
      </c>
    </row>
    <row r="12" spans="1:7">
      <c r="A12" s="226" t="s">
        <v>659</v>
      </c>
      <c r="B12" s="226" t="s">
        <v>1235</v>
      </c>
      <c r="C12" s="226" t="s">
        <v>627</v>
      </c>
      <c r="D12" s="226" t="s">
        <v>14</v>
      </c>
      <c r="E12" s="226" t="s">
        <v>667</v>
      </c>
      <c r="F12" s="226">
        <v>0.15797068198483749</v>
      </c>
      <c r="G12" s="226">
        <v>0</v>
      </c>
    </row>
    <row r="13" spans="1:7">
      <c r="A13" s="226" t="s">
        <v>659</v>
      </c>
      <c r="B13" s="226" t="s">
        <v>1235</v>
      </c>
      <c r="C13" s="226" t="s">
        <v>630</v>
      </c>
      <c r="D13" s="226" t="s">
        <v>29</v>
      </c>
      <c r="E13" s="226" t="s">
        <v>618</v>
      </c>
      <c r="F13" s="226">
        <v>0</v>
      </c>
      <c r="G13" s="226">
        <v>0</v>
      </c>
    </row>
    <row r="14" spans="1:7">
      <c r="A14" s="226" t="s">
        <v>659</v>
      </c>
      <c r="B14" s="226" t="s">
        <v>1235</v>
      </c>
      <c r="C14" s="226" t="s">
        <v>630</v>
      </c>
      <c r="D14" s="226" t="s">
        <v>29</v>
      </c>
      <c r="E14" s="226" t="s">
        <v>619</v>
      </c>
      <c r="F14" s="226">
        <v>5.6884948112474742E-2</v>
      </c>
      <c r="G14" s="226">
        <v>3.6150000000000002E-2</v>
      </c>
    </row>
    <row r="15" spans="1:7">
      <c r="A15" s="226" t="s">
        <v>659</v>
      </c>
      <c r="B15" s="226" t="s">
        <v>1235</v>
      </c>
      <c r="C15" s="226" t="s">
        <v>630</v>
      </c>
      <c r="D15" s="226" t="s">
        <v>29</v>
      </c>
      <c r="E15" s="226" t="s">
        <v>620</v>
      </c>
      <c r="F15" s="226">
        <v>3.1387537426541351E-2</v>
      </c>
      <c r="G15" s="226">
        <v>0</v>
      </c>
    </row>
    <row r="16" spans="1:7">
      <c r="A16" s="226" t="s">
        <v>659</v>
      </c>
      <c r="B16" s="226" t="s">
        <v>1235</v>
      </c>
      <c r="C16" s="226" t="s">
        <v>630</v>
      </c>
      <c r="D16" s="226" t="s">
        <v>29</v>
      </c>
      <c r="E16" s="226" t="s">
        <v>660</v>
      </c>
      <c r="F16" s="226">
        <v>3.1387537426541351E-2</v>
      </c>
      <c r="G16" s="226">
        <v>0</v>
      </c>
    </row>
    <row r="17" spans="1:7">
      <c r="A17" s="226" t="s">
        <v>659</v>
      </c>
      <c r="B17" s="226" t="s">
        <v>1235</v>
      </c>
      <c r="C17" s="226" t="s">
        <v>630</v>
      </c>
      <c r="D17" s="226" t="s">
        <v>90</v>
      </c>
      <c r="E17" s="226" t="s">
        <v>618</v>
      </c>
      <c r="F17" s="226">
        <v>0</v>
      </c>
      <c r="G17" s="226">
        <v>0</v>
      </c>
    </row>
    <row r="18" spans="1:7">
      <c r="A18" s="226" t="s">
        <v>659</v>
      </c>
      <c r="B18" s="226" t="s">
        <v>1235</v>
      </c>
      <c r="C18" s="226" t="s">
        <v>630</v>
      </c>
      <c r="D18" s="226" t="s">
        <v>90</v>
      </c>
      <c r="E18" s="226" t="s">
        <v>619</v>
      </c>
      <c r="F18" s="226">
        <v>0</v>
      </c>
      <c r="G18" s="226">
        <v>0</v>
      </c>
    </row>
    <row r="19" spans="1:7">
      <c r="A19" s="226" t="s">
        <v>659</v>
      </c>
      <c r="B19" s="226" t="s">
        <v>1235</v>
      </c>
      <c r="C19" s="226" t="s">
        <v>630</v>
      </c>
      <c r="D19" s="226" t="s">
        <v>90</v>
      </c>
      <c r="E19" s="226" t="s">
        <v>620</v>
      </c>
      <c r="F19" s="226">
        <v>3.508079769910126E-2</v>
      </c>
      <c r="G19" s="226">
        <v>0</v>
      </c>
    </row>
    <row r="20" spans="1:7">
      <c r="A20" s="226" t="s">
        <v>659</v>
      </c>
      <c r="B20" s="226" t="s">
        <v>1235</v>
      </c>
      <c r="C20" s="226" t="s">
        <v>630</v>
      </c>
      <c r="D20" s="226" t="s">
        <v>90</v>
      </c>
      <c r="E20" s="226" t="s">
        <v>660</v>
      </c>
      <c r="F20" s="226">
        <v>3.508079769910126E-2</v>
      </c>
      <c r="G20" s="226">
        <v>0</v>
      </c>
    </row>
    <row r="21" spans="1:7">
      <c r="A21" s="226" t="s">
        <v>659</v>
      </c>
      <c r="B21" s="226" t="s">
        <v>1235</v>
      </c>
      <c r="C21" s="226" t="s">
        <v>630</v>
      </c>
      <c r="D21" s="226" t="s">
        <v>90</v>
      </c>
      <c r="E21" s="226" t="s">
        <v>661</v>
      </c>
      <c r="F21" s="226">
        <v>3.508079769910126E-2</v>
      </c>
      <c r="G21" s="226">
        <v>0</v>
      </c>
    </row>
    <row r="22" spans="1:7">
      <c r="A22" s="226" t="s">
        <v>659</v>
      </c>
      <c r="B22" s="226" t="s">
        <v>1235</v>
      </c>
      <c r="C22" s="226" t="s">
        <v>630</v>
      </c>
      <c r="D22" s="226" t="s">
        <v>90</v>
      </c>
      <c r="E22" s="226" t="s">
        <v>662</v>
      </c>
      <c r="F22" s="226">
        <v>3.508079769910126E-2</v>
      </c>
      <c r="G22" s="226">
        <v>0</v>
      </c>
    </row>
    <row r="23" spans="1:7">
      <c r="A23" s="226" t="s">
        <v>659</v>
      </c>
      <c r="B23" s="226" t="s">
        <v>1235</v>
      </c>
      <c r="C23" s="226" t="s">
        <v>630</v>
      </c>
      <c r="D23" s="226" t="s">
        <v>90</v>
      </c>
      <c r="E23" s="226" t="s">
        <v>663</v>
      </c>
      <c r="F23" s="226">
        <v>3.508079769910126E-2</v>
      </c>
      <c r="G23" s="226">
        <v>0</v>
      </c>
    </row>
    <row r="24" spans="1:7">
      <c r="A24" s="226" t="s">
        <v>659</v>
      </c>
      <c r="B24" s="226" t="s">
        <v>1235</v>
      </c>
      <c r="C24" s="226" t="s">
        <v>630</v>
      </c>
      <c r="D24" s="226" t="s">
        <v>90</v>
      </c>
      <c r="E24" s="226" t="s">
        <v>664</v>
      </c>
      <c r="F24" s="226">
        <v>3.508079769910126E-2</v>
      </c>
      <c r="G24" s="226">
        <v>0</v>
      </c>
    </row>
    <row r="25" spans="1:7">
      <c r="A25" s="226" t="s">
        <v>659</v>
      </c>
      <c r="B25" s="226" t="s">
        <v>1235</v>
      </c>
      <c r="C25" s="226" t="s">
        <v>630</v>
      </c>
      <c r="D25" s="226" t="s">
        <v>90</v>
      </c>
      <c r="E25" s="226" t="s">
        <v>665</v>
      </c>
      <c r="F25" s="226">
        <v>3.508079769910126E-2</v>
      </c>
      <c r="G25" s="226">
        <v>0</v>
      </c>
    </row>
    <row r="26" spans="1:7">
      <c r="A26" s="226" t="s">
        <v>659</v>
      </c>
      <c r="B26" s="226" t="s">
        <v>1235</v>
      </c>
      <c r="C26" s="226" t="s">
        <v>630</v>
      </c>
      <c r="D26" s="226" t="s">
        <v>90</v>
      </c>
      <c r="E26" s="226" t="s">
        <v>666</v>
      </c>
      <c r="F26" s="226">
        <v>3.508079769910126E-2</v>
      </c>
      <c r="G26" s="226">
        <v>0</v>
      </c>
    </row>
    <row r="27" spans="1:7">
      <c r="A27" s="226" t="s">
        <v>659</v>
      </c>
      <c r="B27" s="226" t="s">
        <v>1235</v>
      </c>
      <c r="C27" s="226" t="s">
        <v>630</v>
      </c>
      <c r="D27" s="226" t="s">
        <v>90</v>
      </c>
      <c r="E27" s="226" t="s">
        <v>667</v>
      </c>
      <c r="F27" s="226">
        <v>3.508079769910126E-2</v>
      </c>
      <c r="G27" s="226">
        <v>0</v>
      </c>
    </row>
    <row r="28" spans="1:7">
      <c r="A28" s="226" t="s">
        <v>659</v>
      </c>
      <c r="B28" s="226" t="s">
        <v>1235</v>
      </c>
      <c r="C28" s="226" t="s">
        <v>630</v>
      </c>
      <c r="D28" s="226" t="s">
        <v>29</v>
      </c>
      <c r="E28" s="226" t="s">
        <v>661</v>
      </c>
      <c r="F28" s="226">
        <v>3.1387537426541351E-2</v>
      </c>
      <c r="G28" s="226">
        <v>0</v>
      </c>
    </row>
    <row r="29" spans="1:7">
      <c r="A29" s="226" t="s">
        <v>659</v>
      </c>
      <c r="B29" s="226" t="s">
        <v>1235</v>
      </c>
      <c r="C29" s="226" t="s">
        <v>630</v>
      </c>
      <c r="D29" s="226" t="s">
        <v>29</v>
      </c>
      <c r="E29" s="226" t="s">
        <v>662</v>
      </c>
      <c r="F29" s="226">
        <v>3.1387537426541351E-2</v>
      </c>
      <c r="G29" s="226">
        <v>0</v>
      </c>
    </row>
    <row r="30" spans="1:7">
      <c r="A30" s="226" t="s">
        <v>659</v>
      </c>
      <c r="B30" s="226" t="s">
        <v>1235</v>
      </c>
      <c r="C30" s="226" t="s">
        <v>630</v>
      </c>
      <c r="D30" s="226" t="s">
        <v>29</v>
      </c>
      <c r="E30" s="226" t="s">
        <v>663</v>
      </c>
      <c r="F30" s="226">
        <v>3.1387537426541351E-2</v>
      </c>
      <c r="G30" s="226">
        <v>0</v>
      </c>
    </row>
    <row r="31" spans="1:7">
      <c r="A31" s="226" t="s">
        <v>659</v>
      </c>
      <c r="B31" s="226" t="s">
        <v>1235</v>
      </c>
      <c r="C31" s="226" t="s">
        <v>630</v>
      </c>
      <c r="D31" s="226" t="s">
        <v>29</v>
      </c>
      <c r="E31" s="226" t="s">
        <v>664</v>
      </c>
      <c r="F31" s="226">
        <v>3.1387537426541351E-2</v>
      </c>
      <c r="G31" s="226">
        <v>0</v>
      </c>
    </row>
    <row r="32" spans="1:7">
      <c r="A32" s="226" t="s">
        <v>659</v>
      </c>
      <c r="B32" s="226" t="s">
        <v>1235</v>
      </c>
      <c r="C32" s="226" t="s">
        <v>630</v>
      </c>
      <c r="D32" s="226" t="s">
        <v>29</v>
      </c>
      <c r="E32" s="226" t="s">
        <v>665</v>
      </c>
      <c r="F32" s="226">
        <v>3.1387537426541351E-2</v>
      </c>
      <c r="G32" s="226">
        <v>0</v>
      </c>
    </row>
    <row r="33" spans="1:7">
      <c r="A33" s="226" t="s">
        <v>659</v>
      </c>
      <c r="B33" s="226" t="s">
        <v>1235</v>
      </c>
      <c r="C33" s="226" t="s">
        <v>630</v>
      </c>
      <c r="D33" s="226" t="s">
        <v>29</v>
      </c>
      <c r="E33" s="226" t="s">
        <v>666</v>
      </c>
      <c r="F33" s="226">
        <v>3.1387537426541351E-2</v>
      </c>
      <c r="G33" s="226">
        <v>0</v>
      </c>
    </row>
    <row r="34" spans="1:7">
      <c r="A34" s="226" t="s">
        <v>659</v>
      </c>
      <c r="B34" s="226" t="s">
        <v>1235</v>
      </c>
      <c r="C34" s="226" t="s">
        <v>630</v>
      </c>
      <c r="D34" s="226" t="s">
        <v>29</v>
      </c>
      <c r="E34" s="226" t="s">
        <v>667</v>
      </c>
      <c r="F34" s="226">
        <v>3.1387537426541351E-2</v>
      </c>
      <c r="G34" s="226">
        <v>0</v>
      </c>
    </row>
    <row r="35" spans="1:7">
      <c r="A35" s="226" t="s">
        <v>659</v>
      </c>
      <c r="B35" s="226" t="s">
        <v>1235</v>
      </c>
      <c r="C35" s="226" t="s">
        <v>963</v>
      </c>
      <c r="D35" s="226" t="s">
        <v>19</v>
      </c>
      <c r="E35" s="226" t="s">
        <v>618</v>
      </c>
      <c r="F35" s="226">
        <v>0</v>
      </c>
      <c r="G35" s="226">
        <v>0</v>
      </c>
    </row>
    <row r="36" spans="1:7">
      <c r="A36" s="226" t="s">
        <v>659</v>
      </c>
      <c r="B36" s="226" t="s">
        <v>1235</v>
      </c>
      <c r="C36" s="226" t="s">
        <v>963</v>
      </c>
      <c r="D36" s="226" t="s">
        <v>19</v>
      </c>
      <c r="E36" s="226" t="s">
        <v>619</v>
      </c>
      <c r="F36" s="226">
        <v>0</v>
      </c>
      <c r="G36" s="226">
        <v>0</v>
      </c>
    </row>
    <row r="37" spans="1:7">
      <c r="A37" s="226" t="s">
        <v>659</v>
      </c>
      <c r="B37" s="226" t="s">
        <v>1235</v>
      </c>
      <c r="C37" s="226" t="s">
        <v>963</v>
      </c>
      <c r="D37" s="226" t="s">
        <v>19</v>
      </c>
      <c r="E37" s="226" t="s">
        <v>620</v>
      </c>
      <c r="F37" s="226">
        <v>1.2873391569750577E-3</v>
      </c>
      <c r="G37" s="226">
        <v>0</v>
      </c>
    </row>
    <row r="38" spans="1:7">
      <c r="A38" s="226" t="s">
        <v>659</v>
      </c>
      <c r="B38" s="226" t="s">
        <v>1235</v>
      </c>
      <c r="C38" s="226" t="s">
        <v>963</v>
      </c>
      <c r="D38" s="226" t="s">
        <v>19</v>
      </c>
      <c r="E38" s="226" t="s">
        <v>660</v>
      </c>
      <c r="F38" s="226">
        <v>1.2873391569750577E-3</v>
      </c>
      <c r="G38" s="226">
        <v>0</v>
      </c>
    </row>
    <row r="39" spans="1:7">
      <c r="A39" s="226" t="s">
        <v>659</v>
      </c>
      <c r="B39" s="226" t="s">
        <v>1235</v>
      </c>
      <c r="C39" s="226" t="s">
        <v>963</v>
      </c>
      <c r="D39" s="226" t="s">
        <v>19</v>
      </c>
      <c r="E39" s="226" t="s">
        <v>661</v>
      </c>
      <c r="F39" s="226">
        <v>1.2873391569750577E-3</v>
      </c>
      <c r="G39" s="226">
        <v>0</v>
      </c>
    </row>
    <row r="40" spans="1:7">
      <c r="A40" s="226" t="s">
        <v>659</v>
      </c>
      <c r="B40" s="226" t="s">
        <v>1235</v>
      </c>
      <c r="C40" s="226" t="s">
        <v>963</v>
      </c>
      <c r="D40" s="226" t="s">
        <v>19</v>
      </c>
      <c r="E40" s="226" t="s">
        <v>662</v>
      </c>
      <c r="F40" s="226">
        <v>1.2873391569750577E-3</v>
      </c>
      <c r="G40" s="226">
        <v>0</v>
      </c>
    </row>
    <row r="41" spans="1:7">
      <c r="A41" s="226" t="s">
        <v>659</v>
      </c>
      <c r="B41" s="226" t="s">
        <v>1235</v>
      </c>
      <c r="C41" s="226" t="s">
        <v>963</v>
      </c>
      <c r="D41" s="226" t="s">
        <v>19</v>
      </c>
      <c r="E41" s="226" t="s">
        <v>663</v>
      </c>
      <c r="F41" s="226">
        <v>1.2873391569750577E-3</v>
      </c>
      <c r="G41" s="226">
        <v>0</v>
      </c>
    </row>
    <row r="42" spans="1:7">
      <c r="A42" s="226" t="s">
        <v>659</v>
      </c>
      <c r="B42" s="226" t="s">
        <v>1235</v>
      </c>
      <c r="C42" s="226" t="s">
        <v>963</v>
      </c>
      <c r="D42" s="226" t="s">
        <v>19</v>
      </c>
      <c r="E42" s="226" t="s">
        <v>664</v>
      </c>
      <c r="F42" s="226">
        <v>1.2873391569750577E-3</v>
      </c>
      <c r="G42" s="226">
        <v>0</v>
      </c>
    </row>
    <row r="43" spans="1:7">
      <c r="A43" s="226" t="s">
        <v>659</v>
      </c>
      <c r="B43" s="226" t="s">
        <v>1235</v>
      </c>
      <c r="C43" s="226" t="s">
        <v>963</v>
      </c>
      <c r="D43" s="226" t="s">
        <v>19</v>
      </c>
      <c r="E43" s="226" t="s">
        <v>665</v>
      </c>
      <c r="F43" s="226">
        <v>1.2873391569750577E-3</v>
      </c>
      <c r="G43" s="226">
        <v>0</v>
      </c>
    </row>
    <row r="44" spans="1:7">
      <c r="A44" s="226" t="s">
        <v>659</v>
      </c>
      <c r="B44" s="226" t="s">
        <v>1235</v>
      </c>
      <c r="C44" s="226" t="s">
        <v>963</v>
      </c>
      <c r="D44" s="226" t="s">
        <v>19</v>
      </c>
      <c r="E44" s="226" t="s">
        <v>666</v>
      </c>
      <c r="F44" s="226">
        <v>1.2873391569750577E-3</v>
      </c>
      <c r="G44" s="226">
        <v>0</v>
      </c>
    </row>
    <row r="45" spans="1:7">
      <c r="A45" s="226" t="s">
        <v>659</v>
      </c>
      <c r="B45" s="226" t="s">
        <v>1235</v>
      </c>
      <c r="C45" s="226" t="s">
        <v>963</v>
      </c>
      <c r="D45" s="226" t="s">
        <v>19</v>
      </c>
      <c r="E45" s="226" t="s">
        <v>667</v>
      </c>
      <c r="F45" s="226">
        <v>1.2873391569750577E-3</v>
      </c>
      <c r="G45" s="226">
        <v>0</v>
      </c>
    </row>
    <row r="46" spans="1:7">
      <c r="A46" s="226" t="s">
        <v>659</v>
      </c>
      <c r="B46" s="226" t="s">
        <v>1235</v>
      </c>
      <c r="C46" s="226" t="s">
        <v>626</v>
      </c>
      <c r="D46" s="226" t="s">
        <v>18</v>
      </c>
      <c r="E46" s="226" t="s">
        <v>618</v>
      </c>
      <c r="F46" s="226">
        <v>0</v>
      </c>
      <c r="G46" s="226">
        <v>0</v>
      </c>
    </row>
    <row r="47" spans="1:7">
      <c r="A47" s="226" t="s">
        <v>659</v>
      </c>
      <c r="B47" s="226" t="s">
        <v>1235</v>
      </c>
      <c r="C47" s="226" t="s">
        <v>626</v>
      </c>
      <c r="D47" s="226" t="s">
        <v>18</v>
      </c>
      <c r="E47" s="226" t="s">
        <v>619</v>
      </c>
      <c r="F47" s="226">
        <v>0</v>
      </c>
      <c r="G47" s="226">
        <v>0</v>
      </c>
    </row>
    <row r="48" spans="1:7">
      <c r="A48" s="226" t="s">
        <v>659</v>
      </c>
      <c r="B48" s="226" t="s">
        <v>1235</v>
      </c>
      <c r="C48" s="226" t="s">
        <v>626</v>
      </c>
      <c r="D48" s="226" t="s">
        <v>18</v>
      </c>
      <c r="E48" s="226" t="s">
        <v>620</v>
      </c>
      <c r="F48" s="226">
        <v>2.8344763953115364E-3</v>
      </c>
      <c r="G48" s="226">
        <v>0</v>
      </c>
    </row>
    <row r="49" spans="1:7">
      <c r="A49" s="226" t="s">
        <v>659</v>
      </c>
      <c r="B49" s="226" t="s">
        <v>1235</v>
      </c>
      <c r="C49" s="226" t="s">
        <v>626</v>
      </c>
      <c r="D49" s="226" t="s">
        <v>18</v>
      </c>
      <c r="E49" s="226" t="s">
        <v>660</v>
      </c>
      <c r="F49" s="226">
        <v>2.8344763953115364E-3</v>
      </c>
      <c r="G49" s="226">
        <v>0</v>
      </c>
    </row>
    <row r="50" spans="1:7">
      <c r="A50" s="226" t="s">
        <v>659</v>
      </c>
      <c r="B50" s="226" t="s">
        <v>1235</v>
      </c>
      <c r="C50" s="226" t="s">
        <v>626</v>
      </c>
      <c r="D50" s="226" t="s">
        <v>18</v>
      </c>
      <c r="E50" s="226" t="s">
        <v>661</v>
      </c>
      <c r="F50" s="226">
        <v>2.8344763953115364E-3</v>
      </c>
      <c r="G50" s="226">
        <v>0</v>
      </c>
    </row>
    <row r="51" spans="1:7">
      <c r="A51" s="226" t="s">
        <v>659</v>
      </c>
      <c r="B51" s="226" t="s">
        <v>1235</v>
      </c>
      <c r="C51" s="226" t="s">
        <v>626</v>
      </c>
      <c r="D51" s="226" t="s">
        <v>18</v>
      </c>
      <c r="E51" s="226" t="s">
        <v>662</v>
      </c>
      <c r="F51" s="226">
        <v>2.8344763953115364E-3</v>
      </c>
      <c r="G51" s="226">
        <v>0</v>
      </c>
    </row>
    <row r="52" spans="1:7">
      <c r="A52" s="226" t="s">
        <v>659</v>
      </c>
      <c r="B52" s="226" t="s">
        <v>1235</v>
      </c>
      <c r="C52" s="226" t="s">
        <v>626</v>
      </c>
      <c r="D52" s="226" t="s">
        <v>18</v>
      </c>
      <c r="E52" s="226" t="s">
        <v>663</v>
      </c>
      <c r="F52" s="226">
        <v>2.8344763953115364E-3</v>
      </c>
      <c r="G52" s="226">
        <v>0</v>
      </c>
    </row>
    <row r="53" spans="1:7">
      <c r="A53" s="226" t="s">
        <v>659</v>
      </c>
      <c r="B53" s="226" t="s">
        <v>1235</v>
      </c>
      <c r="C53" s="226" t="s">
        <v>626</v>
      </c>
      <c r="D53" s="226" t="s">
        <v>18</v>
      </c>
      <c r="E53" s="226" t="s">
        <v>664</v>
      </c>
      <c r="F53" s="226">
        <v>2.8344763953115364E-3</v>
      </c>
      <c r="G53" s="226">
        <v>0</v>
      </c>
    </row>
    <row r="54" spans="1:7">
      <c r="A54" s="226" t="s">
        <v>659</v>
      </c>
      <c r="B54" s="226" t="s">
        <v>1235</v>
      </c>
      <c r="C54" s="226" t="s">
        <v>626</v>
      </c>
      <c r="D54" s="226" t="s">
        <v>18</v>
      </c>
      <c r="E54" s="226" t="s">
        <v>665</v>
      </c>
      <c r="F54" s="226">
        <v>2.8344763953115364E-3</v>
      </c>
      <c r="G54" s="226">
        <v>0</v>
      </c>
    </row>
    <row r="55" spans="1:7">
      <c r="A55" s="226" t="s">
        <v>659</v>
      </c>
      <c r="B55" s="226" t="s">
        <v>1235</v>
      </c>
      <c r="C55" s="226" t="s">
        <v>626</v>
      </c>
      <c r="D55" s="226" t="s">
        <v>18</v>
      </c>
      <c r="E55" s="226" t="s">
        <v>666</v>
      </c>
      <c r="F55" s="226">
        <v>2.8344763953115364E-3</v>
      </c>
      <c r="G55" s="226">
        <v>0</v>
      </c>
    </row>
    <row r="56" spans="1:7">
      <c r="A56" s="226" t="s">
        <v>659</v>
      </c>
      <c r="B56" s="226" t="s">
        <v>1235</v>
      </c>
      <c r="C56" s="226" t="s">
        <v>626</v>
      </c>
      <c r="D56" s="226" t="s">
        <v>18</v>
      </c>
      <c r="E56" s="226" t="s">
        <v>667</v>
      </c>
      <c r="F56" s="226">
        <v>2.8344763953115364E-3</v>
      </c>
      <c r="G56" s="226">
        <v>0</v>
      </c>
    </row>
    <row r="57" spans="1:7">
      <c r="A57" s="226" t="s">
        <v>659</v>
      </c>
      <c r="B57" s="226" t="s">
        <v>1235</v>
      </c>
      <c r="C57" s="226" t="s">
        <v>626</v>
      </c>
      <c r="D57" s="226" t="s">
        <v>91</v>
      </c>
      <c r="E57" s="226" t="s">
        <v>618</v>
      </c>
      <c r="F57" s="226">
        <v>0</v>
      </c>
      <c r="G57" s="226">
        <v>0</v>
      </c>
    </row>
    <row r="58" spans="1:7">
      <c r="A58" s="226" t="s">
        <v>659</v>
      </c>
      <c r="B58" s="226" t="s">
        <v>1235</v>
      </c>
      <c r="C58" s="226" t="s">
        <v>626</v>
      </c>
      <c r="D58" s="226" t="s">
        <v>91</v>
      </c>
      <c r="E58" s="226" t="s">
        <v>619</v>
      </c>
      <c r="F58" s="226">
        <v>0</v>
      </c>
      <c r="G58" s="226">
        <v>0</v>
      </c>
    </row>
    <row r="59" spans="1:7">
      <c r="A59" s="226" t="s">
        <v>659</v>
      </c>
      <c r="B59" s="226" t="s">
        <v>1235</v>
      </c>
      <c r="C59" s="226" t="s">
        <v>626</v>
      </c>
      <c r="D59" s="226" t="s">
        <v>91</v>
      </c>
      <c r="E59" s="226" t="s">
        <v>620</v>
      </c>
      <c r="F59" s="226">
        <v>4.0686412312445864E-3</v>
      </c>
      <c r="G59" s="226">
        <v>0</v>
      </c>
    </row>
    <row r="60" spans="1:7">
      <c r="A60" s="226" t="s">
        <v>659</v>
      </c>
      <c r="B60" s="226" t="s">
        <v>1235</v>
      </c>
      <c r="C60" s="226" t="s">
        <v>626</v>
      </c>
      <c r="D60" s="226" t="s">
        <v>91</v>
      </c>
      <c r="E60" s="226" t="s">
        <v>660</v>
      </c>
      <c r="F60" s="226">
        <v>4.0686412312445864E-3</v>
      </c>
      <c r="G60" s="226">
        <v>0</v>
      </c>
    </row>
    <row r="61" spans="1:7">
      <c r="A61" s="226" t="s">
        <v>659</v>
      </c>
      <c r="B61" s="226" t="s">
        <v>1235</v>
      </c>
      <c r="C61" s="226" t="s">
        <v>626</v>
      </c>
      <c r="D61" s="226" t="s">
        <v>91</v>
      </c>
      <c r="E61" s="226" t="s">
        <v>661</v>
      </c>
      <c r="F61" s="226">
        <v>4.0686412312445864E-3</v>
      </c>
      <c r="G61" s="226">
        <v>0</v>
      </c>
    </row>
    <row r="62" spans="1:7">
      <c r="A62" s="226" t="s">
        <v>659</v>
      </c>
      <c r="B62" s="226" t="s">
        <v>1235</v>
      </c>
      <c r="C62" s="226" t="s">
        <v>626</v>
      </c>
      <c r="D62" s="226" t="s">
        <v>91</v>
      </c>
      <c r="E62" s="226" t="s">
        <v>662</v>
      </c>
      <c r="F62" s="226">
        <v>4.0686412312445864E-3</v>
      </c>
      <c r="G62" s="226">
        <v>0</v>
      </c>
    </row>
    <row r="63" spans="1:7">
      <c r="A63" s="226" t="s">
        <v>659</v>
      </c>
      <c r="B63" s="226" t="s">
        <v>1235</v>
      </c>
      <c r="C63" s="226" t="s">
        <v>626</v>
      </c>
      <c r="D63" s="226" t="s">
        <v>91</v>
      </c>
      <c r="E63" s="226" t="s">
        <v>663</v>
      </c>
      <c r="F63" s="226">
        <v>4.0686412312445864E-3</v>
      </c>
      <c r="G63" s="226">
        <v>0</v>
      </c>
    </row>
    <row r="64" spans="1:7">
      <c r="A64" s="226" t="s">
        <v>659</v>
      </c>
      <c r="B64" s="226" t="s">
        <v>1235</v>
      </c>
      <c r="C64" s="226" t="s">
        <v>626</v>
      </c>
      <c r="D64" s="226" t="s">
        <v>91</v>
      </c>
      <c r="E64" s="226" t="s">
        <v>664</v>
      </c>
      <c r="F64" s="226">
        <v>4.0686412312445864E-3</v>
      </c>
      <c r="G64" s="226">
        <v>0</v>
      </c>
    </row>
    <row r="65" spans="1:7">
      <c r="A65" s="226" t="s">
        <v>659</v>
      </c>
      <c r="B65" s="226" t="s">
        <v>1235</v>
      </c>
      <c r="C65" s="226" t="s">
        <v>626</v>
      </c>
      <c r="D65" s="226" t="s">
        <v>91</v>
      </c>
      <c r="E65" s="226" t="s">
        <v>665</v>
      </c>
      <c r="F65" s="226">
        <v>4.0686412312445864E-3</v>
      </c>
      <c r="G65" s="226">
        <v>0</v>
      </c>
    </row>
    <row r="66" spans="1:7">
      <c r="A66" s="226" t="s">
        <v>659</v>
      </c>
      <c r="B66" s="226" t="s">
        <v>1235</v>
      </c>
      <c r="C66" s="226" t="s">
        <v>626</v>
      </c>
      <c r="D66" s="226" t="s">
        <v>91</v>
      </c>
      <c r="E66" s="226" t="s">
        <v>666</v>
      </c>
      <c r="F66" s="226">
        <v>4.0686412312445864E-3</v>
      </c>
      <c r="G66" s="226">
        <v>0</v>
      </c>
    </row>
    <row r="67" spans="1:7">
      <c r="A67" s="226" t="s">
        <v>659</v>
      </c>
      <c r="B67" s="226" t="s">
        <v>1235</v>
      </c>
      <c r="C67" s="226" t="s">
        <v>626</v>
      </c>
      <c r="D67" s="226" t="s">
        <v>91</v>
      </c>
      <c r="E67" s="226" t="s">
        <v>667</v>
      </c>
      <c r="F67" s="226">
        <v>4.0686412312445864E-3</v>
      </c>
      <c r="G67" s="226">
        <v>0</v>
      </c>
    </row>
    <row r="68" spans="1:7">
      <c r="A68" s="226" t="s">
        <v>659</v>
      </c>
      <c r="B68" s="226" t="s">
        <v>1235</v>
      </c>
      <c r="C68" s="226" t="s">
        <v>626</v>
      </c>
      <c r="D68" s="226" t="s">
        <v>8</v>
      </c>
      <c r="E68" s="226" t="s">
        <v>618</v>
      </c>
      <c r="F68" s="226">
        <v>0</v>
      </c>
      <c r="G68" s="226">
        <v>0</v>
      </c>
    </row>
    <row r="69" spans="1:7">
      <c r="A69" s="226" t="s">
        <v>659</v>
      </c>
      <c r="B69" s="226" t="s">
        <v>1235</v>
      </c>
      <c r="C69" s="226" t="s">
        <v>626</v>
      </c>
      <c r="D69" s="226" t="s">
        <v>8</v>
      </c>
      <c r="E69" s="226" t="s">
        <v>619</v>
      </c>
      <c r="F69" s="226">
        <v>0</v>
      </c>
      <c r="G69" s="226">
        <v>0</v>
      </c>
    </row>
    <row r="70" spans="1:7">
      <c r="A70" s="226" t="s">
        <v>659</v>
      </c>
      <c r="B70" s="226" t="s">
        <v>1235</v>
      </c>
      <c r="C70" s="226" t="s">
        <v>626</v>
      </c>
      <c r="D70" s="226" t="s">
        <v>8</v>
      </c>
      <c r="E70" s="226" t="s">
        <v>620</v>
      </c>
      <c r="F70" s="226">
        <v>0.32577173416706695</v>
      </c>
      <c r="G70" s="226">
        <v>0</v>
      </c>
    </row>
    <row r="71" spans="1:7">
      <c r="A71" s="226" t="s">
        <v>659</v>
      </c>
      <c r="B71" s="226" t="s">
        <v>1235</v>
      </c>
      <c r="C71" s="226" t="s">
        <v>626</v>
      </c>
      <c r="D71" s="226" t="s">
        <v>8</v>
      </c>
      <c r="E71" s="226" t="s">
        <v>660</v>
      </c>
      <c r="F71" s="226">
        <v>0.32577173416706695</v>
      </c>
      <c r="G71" s="226">
        <v>0</v>
      </c>
    </row>
    <row r="72" spans="1:7">
      <c r="A72" s="226" t="s">
        <v>659</v>
      </c>
      <c r="B72" s="226" t="s">
        <v>1235</v>
      </c>
      <c r="C72" s="226" t="s">
        <v>626</v>
      </c>
      <c r="D72" s="226" t="s">
        <v>8</v>
      </c>
      <c r="E72" s="226" t="s">
        <v>661</v>
      </c>
      <c r="F72" s="226">
        <v>0.32577173416706695</v>
      </c>
      <c r="G72" s="226">
        <v>0</v>
      </c>
    </row>
    <row r="73" spans="1:7">
      <c r="A73" s="226" t="s">
        <v>659</v>
      </c>
      <c r="B73" s="226" t="s">
        <v>1235</v>
      </c>
      <c r="C73" s="226" t="s">
        <v>626</v>
      </c>
      <c r="D73" s="226" t="s">
        <v>8</v>
      </c>
      <c r="E73" s="226" t="s">
        <v>662</v>
      </c>
      <c r="F73" s="226">
        <v>0.32577173416706695</v>
      </c>
      <c r="G73" s="226">
        <v>0</v>
      </c>
    </row>
    <row r="74" spans="1:7">
      <c r="A74" s="226" t="s">
        <v>659</v>
      </c>
      <c r="B74" s="226" t="s">
        <v>1235</v>
      </c>
      <c r="C74" s="226" t="s">
        <v>626</v>
      </c>
      <c r="D74" s="226" t="s">
        <v>8</v>
      </c>
      <c r="E74" s="226" t="s">
        <v>663</v>
      </c>
      <c r="F74" s="226">
        <v>0.32577173416706695</v>
      </c>
      <c r="G74" s="226">
        <v>0</v>
      </c>
    </row>
    <row r="75" spans="1:7">
      <c r="A75" s="226" t="s">
        <v>659</v>
      </c>
      <c r="B75" s="226" t="s">
        <v>1235</v>
      </c>
      <c r="C75" s="226" t="s">
        <v>626</v>
      </c>
      <c r="D75" s="226" t="s">
        <v>8</v>
      </c>
      <c r="E75" s="226" t="s">
        <v>664</v>
      </c>
      <c r="F75" s="226">
        <v>0.32577173416706695</v>
      </c>
      <c r="G75" s="226">
        <v>0</v>
      </c>
    </row>
    <row r="76" spans="1:7">
      <c r="A76" s="226" t="s">
        <v>659</v>
      </c>
      <c r="B76" s="226" t="s">
        <v>1235</v>
      </c>
      <c r="C76" s="226" t="s">
        <v>626</v>
      </c>
      <c r="D76" s="226" t="s">
        <v>8</v>
      </c>
      <c r="E76" s="226" t="s">
        <v>665</v>
      </c>
      <c r="F76" s="226">
        <v>0.32577173416706695</v>
      </c>
      <c r="G76" s="226">
        <v>0</v>
      </c>
    </row>
    <row r="77" spans="1:7">
      <c r="A77" s="226" t="s">
        <v>659</v>
      </c>
      <c r="B77" s="226" t="s">
        <v>1235</v>
      </c>
      <c r="C77" s="226" t="s">
        <v>626</v>
      </c>
      <c r="D77" s="226" t="s">
        <v>8</v>
      </c>
      <c r="E77" s="226" t="s">
        <v>666</v>
      </c>
      <c r="F77" s="226">
        <v>0.32577173416706695</v>
      </c>
      <c r="G77" s="226">
        <v>0</v>
      </c>
    </row>
    <row r="78" spans="1:7">
      <c r="A78" s="226" t="s">
        <v>659</v>
      </c>
      <c r="B78" s="226" t="s">
        <v>1235</v>
      </c>
      <c r="C78" s="226" t="s">
        <v>626</v>
      </c>
      <c r="D78" s="226" t="s">
        <v>8</v>
      </c>
      <c r="E78" s="226" t="s">
        <v>667</v>
      </c>
      <c r="F78" s="226">
        <v>0.32577173416706695</v>
      </c>
      <c r="G78" s="226">
        <v>0</v>
      </c>
    </row>
    <row r="79" spans="1:7">
      <c r="A79" s="226" t="s">
        <v>659</v>
      </c>
      <c r="B79" s="226" t="s">
        <v>1235</v>
      </c>
      <c r="C79" s="226" t="s">
        <v>625</v>
      </c>
      <c r="D79" s="226" t="s">
        <v>5</v>
      </c>
      <c r="E79" s="226" t="s">
        <v>618</v>
      </c>
      <c r="F79" s="226">
        <v>0</v>
      </c>
      <c r="G79" s="226">
        <v>0</v>
      </c>
    </row>
    <row r="80" spans="1:7">
      <c r="A80" s="226" t="s">
        <v>659</v>
      </c>
      <c r="B80" s="226" t="s">
        <v>1235</v>
      </c>
      <c r="C80" s="226" t="s">
        <v>625</v>
      </c>
      <c r="D80" s="226" t="s">
        <v>5</v>
      </c>
      <c r="E80" s="226" t="s">
        <v>619</v>
      </c>
      <c r="F80" s="226">
        <v>0</v>
      </c>
      <c r="G80" s="226">
        <v>0</v>
      </c>
    </row>
    <row r="81" spans="1:7">
      <c r="A81" s="226" t="s">
        <v>659</v>
      </c>
      <c r="B81" s="226" t="s">
        <v>1235</v>
      </c>
      <c r="C81" s="226" t="s">
        <v>625</v>
      </c>
      <c r="D81" s="226" t="s">
        <v>5</v>
      </c>
      <c r="E81" s="226" t="s">
        <v>620</v>
      </c>
      <c r="F81" s="226">
        <v>2.8049981134891225E-2</v>
      </c>
      <c r="G81" s="226">
        <v>0</v>
      </c>
    </row>
    <row r="82" spans="1:7">
      <c r="A82" s="226" t="s">
        <v>659</v>
      </c>
      <c r="B82" s="226" t="s">
        <v>1235</v>
      </c>
      <c r="C82" s="226" t="s">
        <v>625</v>
      </c>
      <c r="D82" s="226" t="s">
        <v>5</v>
      </c>
      <c r="E82" s="226" t="s">
        <v>660</v>
      </c>
      <c r="F82" s="226">
        <v>2.8049981134891225E-2</v>
      </c>
      <c r="G82" s="226">
        <v>0</v>
      </c>
    </row>
    <row r="83" spans="1:7">
      <c r="A83" s="226" t="s">
        <v>659</v>
      </c>
      <c r="B83" s="226" t="s">
        <v>1235</v>
      </c>
      <c r="C83" s="226" t="s">
        <v>625</v>
      </c>
      <c r="D83" s="226" t="s">
        <v>5</v>
      </c>
      <c r="E83" s="226" t="s">
        <v>661</v>
      </c>
      <c r="F83" s="226">
        <v>2.8049981134891225E-2</v>
      </c>
      <c r="G83" s="226">
        <v>0</v>
      </c>
    </row>
    <row r="84" spans="1:7">
      <c r="A84" s="226" t="s">
        <v>659</v>
      </c>
      <c r="B84" s="226" t="s">
        <v>1235</v>
      </c>
      <c r="C84" s="226" t="s">
        <v>625</v>
      </c>
      <c r="D84" s="226" t="s">
        <v>5</v>
      </c>
      <c r="E84" s="226" t="s">
        <v>662</v>
      </c>
      <c r="F84" s="226">
        <v>2.8049981134891225E-2</v>
      </c>
      <c r="G84" s="226">
        <v>0</v>
      </c>
    </row>
    <row r="85" spans="1:7">
      <c r="A85" s="226" t="s">
        <v>659</v>
      </c>
      <c r="B85" s="226" t="s">
        <v>1235</v>
      </c>
      <c r="C85" s="226" t="s">
        <v>625</v>
      </c>
      <c r="D85" s="226" t="s">
        <v>5</v>
      </c>
      <c r="E85" s="226" t="s">
        <v>663</v>
      </c>
      <c r="F85" s="226">
        <v>2.8049981134891225E-2</v>
      </c>
      <c r="G85" s="226">
        <v>0</v>
      </c>
    </row>
    <row r="86" spans="1:7">
      <c r="A86" s="226" t="s">
        <v>659</v>
      </c>
      <c r="B86" s="226" t="s">
        <v>1235</v>
      </c>
      <c r="C86" s="226" t="s">
        <v>625</v>
      </c>
      <c r="D86" s="226" t="s">
        <v>5</v>
      </c>
      <c r="E86" s="226" t="s">
        <v>664</v>
      </c>
      <c r="F86" s="226">
        <v>2.8049981134891225E-2</v>
      </c>
      <c r="G86" s="226">
        <v>0</v>
      </c>
    </row>
    <row r="87" spans="1:7">
      <c r="A87" s="226" t="s">
        <v>659</v>
      </c>
      <c r="B87" s="226" t="s">
        <v>1235</v>
      </c>
      <c r="C87" s="226" t="s">
        <v>625</v>
      </c>
      <c r="D87" s="226" t="s">
        <v>5</v>
      </c>
      <c r="E87" s="226" t="s">
        <v>665</v>
      </c>
      <c r="F87" s="226">
        <v>2.8049981134891225E-2</v>
      </c>
      <c r="G87" s="226">
        <v>0</v>
      </c>
    </row>
    <row r="88" spans="1:7">
      <c r="A88" s="226" t="s">
        <v>659</v>
      </c>
      <c r="B88" s="226" t="s">
        <v>1235</v>
      </c>
      <c r="C88" s="226" t="s">
        <v>625</v>
      </c>
      <c r="D88" s="226" t="s">
        <v>5</v>
      </c>
      <c r="E88" s="226" t="s">
        <v>666</v>
      </c>
      <c r="F88" s="226">
        <v>2.8049981134891225E-2</v>
      </c>
      <c r="G88" s="226">
        <v>0</v>
      </c>
    </row>
    <row r="89" spans="1:7">
      <c r="A89" s="226" t="s">
        <v>659</v>
      </c>
      <c r="B89" s="226" t="s">
        <v>1235</v>
      </c>
      <c r="C89" s="226" t="s">
        <v>625</v>
      </c>
      <c r="D89" s="226" t="s">
        <v>5</v>
      </c>
      <c r="E89" s="226" t="s">
        <v>667</v>
      </c>
      <c r="F89" s="226">
        <v>2.8049981134891225E-2</v>
      </c>
      <c r="G89" s="226">
        <v>0</v>
      </c>
    </row>
    <row r="90" spans="1:7">
      <c r="A90" s="226" t="s">
        <v>659</v>
      </c>
      <c r="B90" s="226" t="s">
        <v>1235</v>
      </c>
      <c r="C90" s="226" t="s">
        <v>625</v>
      </c>
      <c r="D90" s="226" t="s">
        <v>88</v>
      </c>
      <c r="E90" s="226" t="s">
        <v>618</v>
      </c>
      <c r="F90" s="226">
        <v>0</v>
      </c>
      <c r="G90" s="226">
        <v>0</v>
      </c>
    </row>
    <row r="91" spans="1:7">
      <c r="A91" s="226" t="s">
        <v>659</v>
      </c>
      <c r="B91" s="226" t="s">
        <v>1235</v>
      </c>
      <c r="C91" s="226" t="s">
        <v>625</v>
      </c>
      <c r="D91" s="226" t="s">
        <v>88</v>
      </c>
      <c r="E91" s="226" t="s">
        <v>619</v>
      </c>
      <c r="F91" s="226">
        <v>0</v>
      </c>
      <c r="G91" s="226">
        <v>0</v>
      </c>
    </row>
    <row r="92" spans="1:7">
      <c r="A92" s="226" t="s">
        <v>659</v>
      </c>
      <c r="B92" s="226" t="s">
        <v>1235</v>
      </c>
      <c r="C92" s="226" t="s">
        <v>625</v>
      </c>
      <c r="D92" s="226" t="s">
        <v>88</v>
      </c>
      <c r="E92" s="226" t="s">
        <v>620</v>
      </c>
      <c r="F92" s="226">
        <v>0</v>
      </c>
      <c r="G92" s="226">
        <v>0</v>
      </c>
    </row>
    <row r="93" spans="1:7">
      <c r="A93" s="226" t="s">
        <v>659</v>
      </c>
      <c r="B93" s="226" t="s">
        <v>1235</v>
      </c>
      <c r="C93" s="226" t="s">
        <v>625</v>
      </c>
      <c r="D93" s="226" t="s">
        <v>88</v>
      </c>
      <c r="E93" s="226" t="s">
        <v>660</v>
      </c>
      <c r="F93" s="226">
        <v>0</v>
      </c>
      <c r="G93" s="226">
        <v>0</v>
      </c>
    </row>
    <row r="94" spans="1:7">
      <c r="A94" s="226" t="s">
        <v>659</v>
      </c>
      <c r="B94" s="226" t="s">
        <v>1235</v>
      </c>
      <c r="C94" s="226" t="s">
        <v>625</v>
      </c>
      <c r="D94" s="226" t="s">
        <v>88</v>
      </c>
      <c r="E94" s="226" t="s">
        <v>661</v>
      </c>
      <c r="F94" s="226">
        <v>0</v>
      </c>
      <c r="G94" s="226">
        <v>0</v>
      </c>
    </row>
    <row r="95" spans="1:7">
      <c r="A95" s="226" t="s">
        <v>659</v>
      </c>
      <c r="B95" s="226" t="s">
        <v>1235</v>
      </c>
      <c r="C95" s="226" t="s">
        <v>625</v>
      </c>
      <c r="D95" s="226" t="s">
        <v>88</v>
      </c>
      <c r="E95" s="226" t="s">
        <v>662</v>
      </c>
      <c r="F95" s="226">
        <v>0</v>
      </c>
      <c r="G95" s="226">
        <v>0</v>
      </c>
    </row>
    <row r="96" spans="1:7">
      <c r="A96" s="226" t="s">
        <v>659</v>
      </c>
      <c r="B96" s="226" t="s">
        <v>1235</v>
      </c>
      <c r="C96" s="226" t="s">
        <v>625</v>
      </c>
      <c r="D96" s="226" t="s">
        <v>88</v>
      </c>
      <c r="E96" s="226" t="s">
        <v>663</v>
      </c>
      <c r="F96" s="226">
        <v>0</v>
      </c>
      <c r="G96" s="226">
        <v>0</v>
      </c>
    </row>
    <row r="97" spans="1:7">
      <c r="A97" s="226" t="s">
        <v>659</v>
      </c>
      <c r="B97" s="226" t="s">
        <v>1235</v>
      </c>
      <c r="C97" s="226" t="s">
        <v>625</v>
      </c>
      <c r="D97" s="226" t="s">
        <v>88</v>
      </c>
      <c r="E97" s="226" t="s">
        <v>664</v>
      </c>
      <c r="F97" s="226">
        <v>0</v>
      </c>
      <c r="G97" s="226">
        <v>0</v>
      </c>
    </row>
    <row r="98" spans="1:7">
      <c r="A98" s="226" t="s">
        <v>659</v>
      </c>
      <c r="B98" s="226" t="s">
        <v>1235</v>
      </c>
      <c r="C98" s="226" t="s">
        <v>625</v>
      </c>
      <c r="D98" s="226" t="s">
        <v>88</v>
      </c>
      <c r="E98" s="226" t="s">
        <v>665</v>
      </c>
      <c r="F98" s="226">
        <v>0</v>
      </c>
      <c r="G98" s="226">
        <v>0</v>
      </c>
    </row>
    <row r="99" spans="1:7">
      <c r="A99" s="226" t="s">
        <v>659</v>
      </c>
      <c r="B99" s="226" t="s">
        <v>1235</v>
      </c>
      <c r="C99" s="226" t="s">
        <v>625</v>
      </c>
      <c r="D99" s="226" t="s">
        <v>88</v>
      </c>
      <c r="E99" s="226" t="s">
        <v>666</v>
      </c>
      <c r="F99" s="226">
        <v>0</v>
      </c>
      <c r="G99" s="226">
        <v>0</v>
      </c>
    </row>
    <row r="100" spans="1:7">
      <c r="A100" s="226" t="s">
        <v>659</v>
      </c>
      <c r="B100" s="226" t="s">
        <v>1235</v>
      </c>
      <c r="C100" s="226" t="s">
        <v>625</v>
      </c>
      <c r="D100" s="226" t="s">
        <v>88</v>
      </c>
      <c r="E100" s="226" t="s">
        <v>667</v>
      </c>
      <c r="F100" s="226">
        <v>0</v>
      </c>
      <c r="G100" s="226">
        <v>0</v>
      </c>
    </row>
    <row r="101" spans="1:7">
      <c r="A101" s="226" t="s">
        <v>659</v>
      </c>
      <c r="B101" s="226" t="s">
        <v>1235</v>
      </c>
      <c r="C101" s="226" t="s">
        <v>625</v>
      </c>
      <c r="D101" s="226" t="s">
        <v>89</v>
      </c>
      <c r="E101" s="226" t="s">
        <v>618</v>
      </c>
      <c r="F101" s="226">
        <v>0</v>
      </c>
      <c r="G101" s="226">
        <v>0</v>
      </c>
    </row>
    <row r="102" spans="1:7">
      <c r="A102" s="226" t="s">
        <v>659</v>
      </c>
      <c r="B102" s="226" t="s">
        <v>1235</v>
      </c>
      <c r="C102" s="226" t="s">
        <v>625</v>
      </c>
      <c r="D102" s="226" t="s">
        <v>89</v>
      </c>
      <c r="E102" s="226" t="s">
        <v>619</v>
      </c>
      <c r="F102" s="226">
        <v>0</v>
      </c>
      <c r="G102" s="226">
        <v>0</v>
      </c>
    </row>
    <row r="103" spans="1:7">
      <c r="A103" s="226" t="s">
        <v>659</v>
      </c>
      <c r="B103" s="226" t="s">
        <v>1235</v>
      </c>
      <c r="C103" s="226" t="s">
        <v>625</v>
      </c>
      <c r="D103" s="226" t="s">
        <v>89</v>
      </c>
      <c r="E103" s="226" t="s">
        <v>620</v>
      </c>
      <c r="F103" s="226">
        <v>5.422789150554475E-3</v>
      </c>
      <c r="G103" s="226">
        <v>0</v>
      </c>
    </row>
    <row r="104" spans="1:7">
      <c r="A104" s="226" t="s">
        <v>659</v>
      </c>
      <c r="B104" s="226" t="s">
        <v>1235</v>
      </c>
      <c r="C104" s="226" t="s">
        <v>625</v>
      </c>
      <c r="D104" s="226" t="s">
        <v>89</v>
      </c>
      <c r="E104" s="226" t="s">
        <v>660</v>
      </c>
      <c r="F104" s="226">
        <v>5.422789150554475E-3</v>
      </c>
      <c r="G104" s="226">
        <v>0</v>
      </c>
    </row>
    <row r="105" spans="1:7">
      <c r="A105" s="226" t="s">
        <v>659</v>
      </c>
      <c r="B105" s="226" t="s">
        <v>1235</v>
      </c>
      <c r="C105" s="226" t="s">
        <v>625</v>
      </c>
      <c r="D105" s="226" t="s">
        <v>89</v>
      </c>
      <c r="E105" s="226" t="s">
        <v>661</v>
      </c>
      <c r="F105" s="226">
        <v>5.422789150554475E-3</v>
      </c>
      <c r="G105" s="226">
        <v>0</v>
      </c>
    </row>
    <row r="106" spans="1:7">
      <c r="A106" s="226" t="s">
        <v>659</v>
      </c>
      <c r="B106" s="226" t="s">
        <v>1235</v>
      </c>
      <c r="C106" s="226" t="s">
        <v>625</v>
      </c>
      <c r="D106" s="226" t="s">
        <v>89</v>
      </c>
      <c r="E106" s="226" t="s">
        <v>662</v>
      </c>
      <c r="F106" s="226">
        <v>5.422789150554475E-3</v>
      </c>
      <c r="G106" s="226">
        <v>0</v>
      </c>
    </row>
    <row r="107" spans="1:7">
      <c r="A107" s="226" t="s">
        <v>659</v>
      </c>
      <c r="B107" s="226" t="s">
        <v>1235</v>
      </c>
      <c r="C107" s="226" t="s">
        <v>625</v>
      </c>
      <c r="D107" s="226" t="s">
        <v>89</v>
      </c>
      <c r="E107" s="226" t="s">
        <v>663</v>
      </c>
      <c r="F107" s="226">
        <v>5.422789150554475E-3</v>
      </c>
      <c r="G107" s="226">
        <v>0</v>
      </c>
    </row>
    <row r="108" spans="1:7">
      <c r="A108" s="226" t="s">
        <v>659</v>
      </c>
      <c r="B108" s="226" t="s">
        <v>1235</v>
      </c>
      <c r="C108" s="226" t="s">
        <v>625</v>
      </c>
      <c r="D108" s="226" t="s">
        <v>89</v>
      </c>
      <c r="E108" s="226" t="s">
        <v>664</v>
      </c>
      <c r="F108" s="226">
        <v>5.422789150554475E-3</v>
      </c>
      <c r="G108" s="226">
        <v>0</v>
      </c>
    </row>
    <row r="109" spans="1:7">
      <c r="A109" s="226" t="s">
        <v>659</v>
      </c>
      <c r="B109" s="226" t="s">
        <v>1235</v>
      </c>
      <c r="C109" s="226" t="s">
        <v>625</v>
      </c>
      <c r="D109" s="226" t="s">
        <v>89</v>
      </c>
      <c r="E109" s="226" t="s">
        <v>665</v>
      </c>
      <c r="F109" s="226">
        <v>5.422789150554475E-3</v>
      </c>
      <c r="G109" s="226">
        <v>0</v>
      </c>
    </row>
    <row r="110" spans="1:7">
      <c r="A110" s="226" t="s">
        <v>659</v>
      </c>
      <c r="B110" s="226" t="s">
        <v>1235</v>
      </c>
      <c r="C110" s="226" t="s">
        <v>625</v>
      </c>
      <c r="D110" s="226" t="s">
        <v>89</v>
      </c>
      <c r="E110" s="226" t="s">
        <v>666</v>
      </c>
      <c r="F110" s="226">
        <v>5.422789150554475E-3</v>
      </c>
      <c r="G110" s="226">
        <v>0</v>
      </c>
    </row>
    <row r="111" spans="1:7">
      <c r="A111" s="226" t="s">
        <v>659</v>
      </c>
      <c r="B111" s="226" t="s">
        <v>1235</v>
      </c>
      <c r="C111" s="226" t="s">
        <v>625</v>
      </c>
      <c r="D111" s="226" t="s">
        <v>89</v>
      </c>
      <c r="E111" s="226" t="s">
        <v>667</v>
      </c>
      <c r="F111" s="226">
        <v>5.422789150554475E-3</v>
      </c>
      <c r="G111" s="226">
        <v>0</v>
      </c>
    </row>
    <row r="112" spans="1:7">
      <c r="A112" s="226" t="s">
        <v>659</v>
      </c>
      <c r="B112" s="226" t="s">
        <v>1235</v>
      </c>
      <c r="C112" s="226" t="s">
        <v>963</v>
      </c>
      <c r="D112" s="226" t="s">
        <v>20</v>
      </c>
      <c r="E112" s="226" t="s">
        <v>618</v>
      </c>
      <c r="F112" s="226">
        <v>0</v>
      </c>
      <c r="G112" s="226">
        <v>0</v>
      </c>
    </row>
    <row r="113" spans="1:7">
      <c r="A113" s="226" t="s">
        <v>659</v>
      </c>
      <c r="B113" s="226" t="s">
        <v>1235</v>
      </c>
      <c r="C113" s="226" t="s">
        <v>963</v>
      </c>
      <c r="D113" s="226" t="s">
        <v>20</v>
      </c>
      <c r="E113" s="226" t="s">
        <v>619</v>
      </c>
      <c r="F113" s="226">
        <v>0</v>
      </c>
      <c r="G113" s="226">
        <v>0</v>
      </c>
    </row>
    <row r="114" spans="1:7">
      <c r="A114" s="226" t="s">
        <v>659</v>
      </c>
      <c r="B114" s="226" t="s">
        <v>1235</v>
      </c>
      <c r="C114" s="226" t="s">
        <v>963</v>
      </c>
      <c r="D114" s="226" t="s">
        <v>20</v>
      </c>
      <c r="E114" s="226" t="s">
        <v>620</v>
      </c>
      <c r="F114" s="226">
        <v>3.1607113906088938E-3</v>
      </c>
      <c r="G114" s="226">
        <v>0</v>
      </c>
    </row>
    <row r="115" spans="1:7">
      <c r="A115" s="226" t="s">
        <v>659</v>
      </c>
      <c r="B115" s="226" t="s">
        <v>1235</v>
      </c>
      <c r="C115" s="226" t="s">
        <v>963</v>
      </c>
      <c r="D115" s="226" t="s">
        <v>20</v>
      </c>
      <c r="E115" s="226" t="s">
        <v>660</v>
      </c>
      <c r="F115" s="226">
        <v>3.1607113906088938E-3</v>
      </c>
      <c r="G115" s="226">
        <v>0</v>
      </c>
    </row>
    <row r="116" spans="1:7">
      <c r="A116" s="226" t="s">
        <v>659</v>
      </c>
      <c r="B116" s="226" t="s">
        <v>1235</v>
      </c>
      <c r="C116" s="226" t="s">
        <v>963</v>
      </c>
      <c r="D116" s="226" t="s">
        <v>20</v>
      </c>
      <c r="E116" s="226" t="s">
        <v>661</v>
      </c>
      <c r="F116" s="226">
        <v>3.1607113906088938E-3</v>
      </c>
      <c r="G116" s="226">
        <v>0</v>
      </c>
    </row>
    <row r="117" spans="1:7">
      <c r="A117" s="226" t="s">
        <v>659</v>
      </c>
      <c r="B117" s="226" t="s">
        <v>1235</v>
      </c>
      <c r="C117" s="226" t="s">
        <v>963</v>
      </c>
      <c r="D117" s="226" t="s">
        <v>20</v>
      </c>
      <c r="E117" s="226" t="s">
        <v>662</v>
      </c>
      <c r="F117" s="226">
        <v>3.1607113906088938E-3</v>
      </c>
      <c r="G117" s="226">
        <v>0</v>
      </c>
    </row>
    <row r="118" spans="1:7">
      <c r="A118" s="226" t="s">
        <v>659</v>
      </c>
      <c r="B118" s="226" t="s">
        <v>1235</v>
      </c>
      <c r="C118" s="226" t="s">
        <v>963</v>
      </c>
      <c r="D118" s="226" t="s">
        <v>20</v>
      </c>
      <c r="E118" s="226" t="s">
        <v>663</v>
      </c>
      <c r="F118" s="226">
        <v>3.1607113906088938E-3</v>
      </c>
      <c r="G118" s="226">
        <v>0</v>
      </c>
    </row>
    <row r="119" spans="1:7">
      <c r="A119" s="226" t="s">
        <v>659</v>
      </c>
      <c r="B119" s="226" t="s">
        <v>1235</v>
      </c>
      <c r="C119" s="226" t="s">
        <v>963</v>
      </c>
      <c r="D119" s="226" t="s">
        <v>20</v>
      </c>
      <c r="E119" s="226" t="s">
        <v>664</v>
      </c>
      <c r="F119" s="226">
        <v>3.1607113906088938E-3</v>
      </c>
      <c r="G119" s="226">
        <v>0</v>
      </c>
    </row>
    <row r="120" spans="1:7">
      <c r="A120" s="226" t="s">
        <v>659</v>
      </c>
      <c r="B120" s="226" t="s">
        <v>1235</v>
      </c>
      <c r="C120" s="226" t="s">
        <v>963</v>
      </c>
      <c r="D120" s="226" t="s">
        <v>20</v>
      </c>
      <c r="E120" s="226" t="s">
        <v>665</v>
      </c>
      <c r="F120" s="226">
        <v>3.1607113906088938E-3</v>
      </c>
      <c r="G120" s="226">
        <v>0</v>
      </c>
    </row>
    <row r="121" spans="1:7">
      <c r="A121" s="226" t="s">
        <v>659</v>
      </c>
      <c r="B121" s="226" t="s">
        <v>1235</v>
      </c>
      <c r="C121" s="226" t="s">
        <v>963</v>
      </c>
      <c r="D121" s="226" t="s">
        <v>20</v>
      </c>
      <c r="E121" s="226" t="s">
        <v>666</v>
      </c>
      <c r="F121" s="226">
        <v>3.1607113906088938E-3</v>
      </c>
      <c r="G121" s="226">
        <v>0</v>
      </c>
    </row>
    <row r="122" spans="1:7">
      <c r="A122" s="226" t="s">
        <v>659</v>
      </c>
      <c r="B122" s="226" t="s">
        <v>1235</v>
      </c>
      <c r="C122" s="226" t="s">
        <v>963</v>
      </c>
      <c r="D122" s="226" t="s">
        <v>20</v>
      </c>
      <c r="E122" s="226" t="s">
        <v>667</v>
      </c>
      <c r="F122" s="226">
        <v>3.1607113906088938E-3</v>
      </c>
      <c r="G122" s="226">
        <v>0</v>
      </c>
    </row>
    <row r="123" spans="1:7">
      <c r="A123" s="226" t="s">
        <v>659</v>
      </c>
      <c r="B123" s="226" t="s">
        <v>1235</v>
      </c>
      <c r="C123" s="226" t="s">
        <v>627</v>
      </c>
      <c r="D123" s="226" t="s">
        <v>11</v>
      </c>
      <c r="E123" s="226" t="s">
        <v>618</v>
      </c>
      <c r="F123" s="226">
        <v>0</v>
      </c>
      <c r="G123" s="226">
        <v>0</v>
      </c>
    </row>
    <row r="124" spans="1:7">
      <c r="A124" s="226" t="s">
        <v>659</v>
      </c>
      <c r="B124" s="226" t="s">
        <v>1235</v>
      </c>
      <c r="C124" s="226" t="s">
        <v>627</v>
      </c>
      <c r="D124" s="226" t="s">
        <v>11</v>
      </c>
      <c r="E124" s="226" t="s">
        <v>619</v>
      </c>
      <c r="F124" s="226">
        <v>0.37</v>
      </c>
      <c r="G124" s="226">
        <v>0.37</v>
      </c>
    </row>
    <row r="125" spans="1:7">
      <c r="A125" s="226" t="s">
        <v>659</v>
      </c>
      <c r="B125" s="226" t="s">
        <v>1235</v>
      </c>
      <c r="C125" s="226" t="s">
        <v>627</v>
      </c>
      <c r="D125" s="226" t="s">
        <v>11</v>
      </c>
      <c r="E125" s="226" t="s">
        <v>620</v>
      </c>
      <c r="F125" s="226">
        <v>1.5707496116663219E-2</v>
      </c>
      <c r="G125" s="226">
        <v>0</v>
      </c>
    </row>
    <row r="126" spans="1:7">
      <c r="A126" s="226" t="s">
        <v>659</v>
      </c>
      <c r="B126" s="226" t="s">
        <v>1235</v>
      </c>
      <c r="C126" s="226" t="s">
        <v>627</v>
      </c>
      <c r="D126" s="226" t="s">
        <v>11</v>
      </c>
      <c r="E126" s="226" t="s">
        <v>660</v>
      </c>
      <c r="F126" s="226">
        <v>1.5707496116663219E-2</v>
      </c>
      <c r="G126" s="226">
        <v>0</v>
      </c>
    </row>
    <row r="127" spans="1:7">
      <c r="A127" s="226" t="s">
        <v>659</v>
      </c>
      <c r="B127" s="226" t="s">
        <v>1235</v>
      </c>
      <c r="C127" s="226" t="s">
        <v>627</v>
      </c>
      <c r="D127" s="226" t="s">
        <v>11</v>
      </c>
      <c r="E127" s="226" t="s">
        <v>661</v>
      </c>
      <c r="F127" s="226">
        <v>1.5707496116663219E-2</v>
      </c>
      <c r="G127" s="226">
        <v>0</v>
      </c>
    </row>
    <row r="128" spans="1:7">
      <c r="A128" s="226" t="s">
        <v>659</v>
      </c>
      <c r="B128" s="226" t="s">
        <v>1235</v>
      </c>
      <c r="C128" s="226" t="s">
        <v>627</v>
      </c>
      <c r="D128" s="226" t="s">
        <v>11</v>
      </c>
      <c r="E128" s="226" t="s">
        <v>662</v>
      </c>
      <c r="F128" s="226">
        <v>1.5707496116663219E-2</v>
      </c>
      <c r="G128" s="226">
        <v>0</v>
      </c>
    </row>
    <row r="129" spans="1:7">
      <c r="A129" s="226" t="s">
        <v>659</v>
      </c>
      <c r="B129" s="226" t="s">
        <v>1235</v>
      </c>
      <c r="C129" s="226" t="s">
        <v>627</v>
      </c>
      <c r="D129" s="226" t="s">
        <v>11</v>
      </c>
      <c r="E129" s="226" t="s">
        <v>663</v>
      </c>
      <c r="F129" s="226">
        <v>1.5707496116663219E-2</v>
      </c>
      <c r="G129" s="226">
        <v>0</v>
      </c>
    </row>
    <row r="130" spans="1:7">
      <c r="A130" s="226" t="s">
        <v>659</v>
      </c>
      <c r="B130" s="226" t="s">
        <v>1235</v>
      </c>
      <c r="C130" s="226" t="s">
        <v>627</v>
      </c>
      <c r="D130" s="226" t="s">
        <v>11</v>
      </c>
      <c r="E130" s="226" t="s">
        <v>664</v>
      </c>
      <c r="F130" s="226">
        <v>1.5707496116663219E-2</v>
      </c>
      <c r="G130" s="226">
        <v>0</v>
      </c>
    </row>
    <row r="131" spans="1:7">
      <c r="A131" s="226" t="s">
        <v>659</v>
      </c>
      <c r="B131" s="226" t="s">
        <v>1235</v>
      </c>
      <c r="C131" s="226" t="s">
        <v>627</v>
      </c>
      <c r="D131" s="226" t="s">
        <v>11</v>
      </c>
      <c r="E131" s="226" t="s">
        <v>665</v>
      </c>
      <c r="F131" s="226">
        <v>1.5707496116663219E-2</v>
      </c>
      <c r="G131" s="226">
        <v>0</v>
      </c>
    </row>
    <row r="132" spans="1:7">
      <c r="A132" s="226" t="s">
        <v>659</v>
      </c>
      <c r="B132" s="226" t="s">
        <v>1235</v>
      </c>
      <c r="C132" s="226" t="s">
        <v>627</v>
      </c>
      <c r="D132" s="226" t="s">
        <v>11</v>
      </c>
      <c r="E132" s="226" t="s">
        <v>666</v>
      </c>
      <c r="F132" s="226">
        <v>1.5707496116663219E-2</v>
      </c>
      <c r="G132" s="226">
        <v>0</v>
      </c>
    </row>
    <row r="133" spans="1:7">
      <c r="A133" s="226" t="s">
        <v>659</v>
      </c>
      <c r="B133" s="226" t="s">
        <v>1235</v>
      </c>
      <c r="C133" s="226" t="s">
        <v>627</v>
      </c>
      <c r="D133" s="226" t="s">
        <v>11</v>
      </c>
      <c r="E133" s="226" t="s">
        <v>667</v>
      </c>
      <c r="F133" s="226">
        <v>1.5707496116663219E-2</v>
      </c>
      <c r="G133" s="226">
        <v>0</v>
      </c>
    </row>
    <row r="134" spans="1:7">
      <c r="A134" s="226" t="s">
        <v>659</v>
      </c>
      <c r="B134" s="226" t="s">
        <v>1235</v>
      </c>
      <c r="C134" s="226" t="s">
        <v>627</v>
      </c>
      <c r="D134" s="226" t="s">
        <v>12</v>
      </c>
      <c r="E134" s="226" t="s">
        <v>618</v>
      </c>
      <c r="F134" s="226">
        <v>0</v>
      </c>
      <c r="G134" s="226">
        <v>0</v>
      </c>
    </row>
    <row r="135" spans="1:7">
      <c r="A135" s="226" t="s">
        <v>659</v>
      </c>
      <c r="B135" s="226" t="s">
        <v>1235</v>
      </c>
      <c r="C135" s="226" t="s">
        <v>627</v>
      </c>
      <c r="D135" s="226" t="s">
        <v>12</v>
      </c>
      <c r="E135" s="226" t="s">
        <v>619</v>
      </c>
      <c r="F135" s="226">
        <v>0</v>
      </c>
      <c r="G135" s="226">
        <v>0</v>
      </c>
    </row>
    <row r="136" spans="1:7">
      <c r="A136" s="226" t="s">
        <v>659</v>
      </c>
      <c r="B136" s="226" t="s">
        <v>1235</v>
      </c>
      <c r="C136" s="226" t="s">
        <v>627</v>
      </c>
      <c r="D136" s="226" t="s">
        <v>12</v>
      </c>
      <c r="E136" s="226" t="s">
        <v>620</v>
      </c>
      <c r="F136" s="226">
        <v>2.2591649474875689E-2</v>
      </c>
      <c r="G136" s="226">
        <v>0</v>
      </c>
    </row>
    <row r="137" spans="1:7">
      <c r="A137" s="226" t="s">
        <v>659</v>
      </c>
      <c r="B137" s="226" t="s">
        <v>1235</v>
      </c>
      <c r="C137" s="226" t="s">
        <v>627</v>
      </c>
      <c r="D137" s="226" t="s">
        <v>12</v>
      </c>
      <c r="E137" s="226" t="s">
        <v>660</v>
      </c>
      <c r="F137" s="226">
        <v>2.2591649474875689E-2</v>
      </c>
      <c r="G137" s="226">
        <v>0</v>
      </c>
    </row>
    <row r="138" spans="1:7">
      <c r="A138" s="226" t="s">
        <v>659</v>
      </c>
      <c r="B138" s="226" t="s">
        <v>1235</v>
      </c>
      <c r="C138" s="226" t="s">
        <v>627</v>
      </c>
      <c r="D138" s="226" t="s">
        <v>12</v>
      </c>
      <c r="E138" s="226" t="s">
        <v>661</v>
      </c>
      <c r="F138" s="226">
        <v>2.2591649474875689E-2</v>
      </c>
      <c r="G138" s="226">
        <v>0</v>
      </c>
    </row>
    <row r="139" spans="1:7">
      <c r="A139" s="226" t="s">
        <v>659</v>
      </c>
      <c r="B139" s="226" t="s">
        <v>1235</v>
      </c>
      <c r="C139" s="226" t="s">
        <v>627</v>
      </c>
      <c r="D139" s="226" t="s">
        <v>12</v>
      </c>
      <c r="E139" s="226" t="s">
        <v>662</v>
      </c>
      <c r="F139" s="226">
        <v>2.2591649474875689E-2</v>
      </c>
      <c r="G139" s="226">
        <v>0</v>
      </c>
    </row>
    <row r="140" spans="1:7">
      <c r="A140" s="226" t="s">
        <v>659</v>
      </c>
      <c r="B140" s="226" t="s">
        <v>1235</v>
      </c>
      <c r="C140" s="226" t="s">
        <v>627</v>
      </c>
      <c r="D140" s="226" t="s">
        <v>12</v>
      </c>
      <c r="E140" s="226" t="s">
        <v>663</v>
      </c>
      <c r="F140" s="226">
        <v>2.2591649474875689E-2</v>
      </c>
      <c r="G140" s="226">
        <v>0</v>
      </c>
    </row>
    <row r="141" spans="1:7">
      <c r="A141" s="226" t="s">
        <v>659</v>
      </c>
      <c r="B141" s="226" t="s">
        <v>1235</v>
      </c>
      <c r="C141" s="226" t="s">
        <v>627</v>
      </c>
      <c r="D141" s="226" t="s">
        <v>12</v>
      </c>
      <c r="E141" s="226" t="s">
        <v>664</v>
      </c>
      <c r="F141" s="226">
        <v>2.2591649474875689E-2</v>
      </c>
      <c r="G141" s="226">
        <v>0</v>
      </c>
    </row>
    <row r="142" spans="1:7">
      <c r="A142" s="226" t="s">
        <v>659</v>
      </c>
      <c r="B142" s="226" t="s">
        <v>1235</v>
      </c>
      <c r="C142" s="226" t="s">
        <v>627</v>
      </c>
      <c r="D142" s="226" t="s">
        <v>12</v>
      </c>
      <c r="E142" s="226" t="s">
        <v>665</v>
      </c>
      <c r="F142" s="226">
        <v>2.2591649474875689E-2</v>
      </c>
      <c r="G142" s="226">
        <v>0</v>
      </c>
    </row>
    <row r="143" spans="1:7">
      <c r="A143" s="226" t="s">
        <v>659</v>
      </c>
      <c r="B143" s="226" t="s">
        <v>1235</v>
      </c>
      <c r="C143" s="226" t="s">
        <v>627</v>
      </c>
      <c r="D143" s="226" t="s">
        <v>12</v>
      </c>
      <c r="E143" s="226" t="s">
        <v>666</v>
      </c>
      <c r="F143" s="226">
        <v>2.2591649474875689E-2</v>
      </c>
      <c r="G143" s="226">
        <v>0</v>
      </c>
    </row>
    <row r="144" spans="1:7">
      <c r="A144" s="226" t="s">
        <v>659</v>
      </c>
      <c r="B144" s="226" t="s">
        <v>1235</v>
      </c>
      <c r="C144" s="226" t="s">
        <v>627</v>
      </c>
      <c r="D144" s="226" t="s">
        <v>12</v>
      </c>
      <c r="E144" s="226" t="s">
        <v>667</v>
      </c>
      <c r="F144" s="226">
        <v>2.2591649474875689E-2</v>
      </c>
      <c r="G144" s="226">
        <v>0</v>
      </c>
    </row>
    <row r="145" spans="1:7">
      <c r="A145" s="226" t="s">
        <v>659</v>
      </c>
      <c r="B145" s="226" t="s">
        <v>1235</v>
      </c>
      <c r="C145" s="226" t="s">
        <v>626</v>
      </c>
      <c r="D145" s="226" t="s">
        <v>9</v>
      </c>
      <c r="E145" s="226" t="s">
        <v>618</v>
      </c>
      <c r="F145" s="226">
        <v>0</v>
      </c>
      <c r="G145" s="226">
        <v>0</v>
      </c>
    </row>
    <row r="146" spans="1:7">
      <c r="A146" s="226" t="s">
        <v>659</v>
      </c>
      <c r="B146" s="226" t="s">
        <v>1235</v>
      </c>
      <c r="C146" s="226" t="s">
        <v>626</v>
      </c>
      <c r="D146" s="226" t="s">
        <v>9</v>
      </c>
      <c r="E146" s="226" t="s">
        <v>619</v>
      </c>
      <c r="F146" s="226">
        <v>0</v>
      </c>
      <c r="G146" s="226">
        <v>0</v>
      </c>
    </row>
    <row r="147" spans="1:7">
      <c r="A147" s="226" t="s">
        <v>659</v>
      </c>
      <c r="B147" s="226" t="s">
        <v>1235</v>
      </c>
      <c r="C147" s="226" t="s">
        <v>626</v>
      </c>
      <c r="D147" s="226" t="s">
        <v>9</v>
      </c>
      <c r="E147" s="226" t="s">
        <v>620</v>
      </c>
      <c r="F147" s="226">
        <v>5.092959620734464E-3</v>
      </c>
      <c r="G147" s="226">
        <v>0</v>
      </c>
    </row>
    <row r="148" spans="1:7">
      <c r="A148" s="226" t="s">
        <v>659</v>
      </c>
      <c r="B148" s="226" t="s">
        <v>1235</v>
      </c>
      <c r="C148" s="226" t="s">
        <v>626</v>
      </c>
      <c r="D148" s="226" t="s">
        <v>9</v>
      </c>
      <c r="E148" s="226" t="s">
        <v>660</v>
      </c>
      <c r="F148" s="226">
        <v>5.092959620734464E-3</v>
      </c>
      <c r="G148" s="226">
        <v>0</v>
      </c>
    </row>
    <row r="149" spans="1:7">
      <c r="A149" s="226" t="s">
        <v>659</v>
      </c>
      <c r="B149" s="226" t="s">
        <v>1235</v>
      </c>
      <c r="C149" s="226" t="s">
        <v>626</v>
      </c>
      <c r="D149" s="226" t="s">
        <v>9</v>
      </c>
      <c r="E149" s="226" t="s">
        <v>661</v>
      </c>
      <c r="F149" s="226">
        <v>5.092959620734464E-3</v>
      </c>
      <c r="G149" s="226">
        <v>0</v>
      </c>
    </row>
    <row r="150" spans="1:7">
      <c r="A150" s="226" t="s">
        <v>659</v>
      </c>
      <c r="B150" s="226" t="s">
        <v>1235</v>
      </c>
      <c r="C150" s="226" t="s">
        <v>626</v>
      </c>
      <c r="D150" s="226" t="s">
        <v>9</v>
      </c>
      <c r="E150" s="226" t="s">
        <v>662</v>
      </c>
      <c r="F150" s="226">
        <v>5.092959620734464E-3</v>
      </c>
      <c r="G150" s="226">
        <v>0</v>
      </c>
    </row>
    <row r="151" spans="1:7">
      <c r="A151" s="226" t="s">
        <v>659</v>
      </c>
      <c r="B151" s="226" t="s">
        <v>1235</v>
      </c>
      <c r="C151" s="226" t="s">
        <v>626</v>
      </c>
      <c r="D151" s="226" t="s">
        <v>9</v>
      </c>
      <c r="E151" s="226" t="s">
        <v>663</v>
      </c>
      <c r="F151" s="226">
        <v>5.092959620734464E-3</v>
      </c>
      <c r="G151" s="226">
        <v>0</v>
      </c>
    </row>
    <row r="152" spans="1:7">
      <c r="A152" s="226" t="s">
        <v>659</v>
      </c>
      <c r="B152" s="226" t="s">
        <v>1235</v>
      </c>
      <c r="C152" s="226" t="s">
        <v>626</v>
      </c>
      <c r="D152" s="226" t="s">
        <v>9</v>
      </c>
      <c r="E152" s="226" t="s">
        <v>664</v>
      </c>
      <c r="F152" s="226">
        <v>5.092959620734464E-3</v>
      </c>
      <c r="G152" s="226">
        <v>0</v>
      </c>
    </row>
    <row r="153" spans="1:7">
      <c r="A153" s="226" t="s">
        <v>659</v>
      </c>
      <c r="B153" s="226" t="s">
        <v>1235</v>
      </c>
      <c r="C153" s="226" t="s">
        <v>626</v>
      </c>
      <c r="D153" s="226" t="s">
        <v>9</v>
      </c>
      <c r="E153" s="226" t="s">
        <v>665</v>
      </c>
      <c r="F153" s="226">
        <v>5.092959620734464E-3</v>
      </c>
      <c r="G153" s="226">
        <v>0</v>
      </c>
    </row>
    <row r="154" spans="1:7">
      <c r="A154" s="226" t="s">
        <v>659</v>
      </c>
      <c r="B154" s="226" t="s">
        <v>1235</v>
      </c>
      <c r="C154" s="226" t="s">
        <v>626</v>
      </c>
      <c r="D154" s="226" t="s">
        <v>9</v>
      </c>
      <c r="E154" s="226" t="s">
        <v>666</v>
      </c>
      <c r="F154" s="226">
        <v>5.092959620734464E-3</v>
      </c>
      <c r="G154" s="226">
        <v>0</v>
      </c>
    </row>
    <row r="155" spans="1:7">
      <c r="A155" s="226" t="s">
        <v>659</v>
      </c>
      <c r="B155" s="226" t="s">
        <v>1235</v>
      </c>
      <c r="C155" s="226" t="s">
        <v>626</v>
      </c>
      <c r="D155" s="226" t="s">
        <v>9</v>
      </c>
      <c r="E155" s="226" t="s">
        <v>667</v>
      </c>
      <c r="F155" s="226">
        <v>5.092959620734464E-3</v>
      </c>
      <c r="G155" s="226">
        <v>0</v>
      </c>
    </row>
    <row r="156" spans="1:7">
      <c r="A156" s="226" t="s">
        <v>659</v>
      </c>
      <c r="B156" s="226" t="s">
        <v>1235</v>
      </c>
      <c r="C156" s="226" t="s">
        <v>626</v>
      </c>
      <c r="D156" s="226" t="s">
        <v>10</v>
      </c>
      <c r="E156" s="226" t="s">
        <v>618</v>
      </c>
      <c r="F156" s="226">
        <v>0</v>
      </c>
      <c r="G156" s="226">
        <v>0</v>
      </c>
    </row>
    <row r="157" spans="1:7">
      <c r="A157" s="226" t="s">
        <v>659</v>
      </c>
      <c r="B157" s="226" t="s">
        <v>1235</v>
      </c>
      <c r="C157" s="226" t="s">
        <v>626</v>
      </c>
      <c r="D157" s="226" t="s">
        <v>10</v>
      </c>
      <c r="E157" s="226" t="s">
        <v>619</v>
      </c>
      <c r="F157" s="226">
        <v>0</v>
      </c>
      <c r="G157" s="226">
        <v>0</v>
      </c>
    </row>
    <row r="158" spans="1:7">
      <c r="A158" s="226" t="s">
        <v>659</v>
      </c>
      <c r="B158" s="226" t="s">
        <v>1235</v>
      </c>
      <c r="C158" s="226" t="s">
        <v>626</v>
      </c>
      <c r="D158" s="226" t="s">
        <v>10</v>
      </c>
      <c r="E158" s="226" t="s">
        <v>620</v>
      </c>
      <c r="F158" s="226">
        <v>0.12118217051381018</v>
      </c>
      <c r="G158" s="226">
        <v>0</v>
      </c>
    </row>
    <row r="159" spans="1:7">
      <c r="A159" s="226" t="s">
        <v>659</v>
      </c>
      <c r="B159" s="226" t="s">
        <v>1235</v>
      </c>
      <c r="C159" s="226" t="s">
        <v>626</v>
      </c>
      <c r="D159" s="226" t="s">
        <v>10</v>
      </c>
      <c r="E159" s="226" t="s">
        <v>660</v>
      </c>
      <c r="F159" s="226">
        <v>0.12118217051381018</v>
      </c>
      <c r="G159" s="226">
        <v>0</v>
      </c>
    </row>
    <row r="160" spans="1:7">
      <c r="A160" s="226" t="s">
        <v>659</v>
      </c>
      <c r="B160" s="226" t="s">
        <v>1235</v>
      </c>
      <c r="C160" s="226" t="s">
        <v>626</v>
      </c>
      <c r="D160" s="226" t="s">
        <v>10</v>
      </c>
      <c r="E160" s="226" t="s">
        <v>661</v>
      </c>
      <c r="F160" s="226">
        <v>0.12118217051381018</v>
      </c>
      <c r="G160" s="226">
        <v>0</v>
      </c>
    </row>
    <row r="161" spans="1:7">
      <c r="A161" s="226" t="s">
        <v>659</v>
      </c>
      <c r="B161" s="226" t="s">
        <v>1235</v>
      </c>
      <c r="C161" s="226" t="s">
        <v>626</v>
      </c>
      <c r="D161" s="226" t="s">
        <v>10</v>
      </c>
      <c r="E161" s="226" t="s">
        <v>662</v>
      </c>
      <c r="F161" s="226">
        <v>0.12118217051381018</v>
      </c>
      <c r="G161" s="226">
        <v>0</v>
      </c>
    </row>
    <row r="162" spans="1:7">
      <c r="A162" s="226" t="s">
        <v>659</v>
      </c>
      <c r="B162" s="226" t="s">
        <v>1235</v>
      </c>
      <c r="C162" s="226" t="s">
        <v>626</v>
      </c>
      <c r="D162" s="226" t="s">
        <v>10</v>
      </c>
      <c r="E162" s="226" t="s">
        <v>663</v>
      </c>
      <c r="F162" s="226">
        <v>0.12118217051381018</v>
      </c>
      <c r="G162" s="226">
        <v>0</v>
      </c>
    </row>
    <row r="163" spans="1:7">
      <c r="A163" s="226" t="s">
        <v>659</v>
      </c>
      <c r="B163" s="226" t="s">
        <v>1235</v>
      </c>
      <c r="C163" s="226" t="s">
        <v>626</v>
      </c>
      <c r="D163" s="226" t="s">
        <v>10</v>
      </c>
      <c r="E163" s="226" t="s">
        <v>664</v>
      </c>
      <c r="F163" s="226">
        <v>0.12118217051381018</v>
      </c>
      <c r="G163" s="226">
        <v>0</v>
      </c>
    </row>
    <row r="164" spans="1:7">
      <c r="A164" s="226" t="s">
        <v>659</v>
      </c>
      <c r="B164" s="226" t="s">
        <v>1235</v>
      </c>
      <c r="C164" s="226" t="s">
        <v>626</v>
      </c>
      <c r="D164" s="226" t="s">
        <v>10</v>
      </c>
      <c r="E164" s="226" t="s">
        <v>665</v>
      </c>
      <c r="F164" s="226">
        <v>0.12118217051381018</v>
      </c>
      <c r="G164" s="226">
        <v>0</v>
      </c>
    </row>
    <row r="165" spans="1:7">
      <c r="A165" s="226" t="s">
        <v>659</v>
      </c>
      <c r="B165" s="226" t="s">
        <v>1235</v>
      </c>
      <c r="C165" s="226" t="s">
        <v>626</v>
      </c>
      <c r="D165" s="226" t="s">
        <v>10</v>
      </c>
      <c r="E165" s="226" t="s">
        <v>666</v>
      </c>
      <c r="F165" s="226">
        <v>0.12118217051381018</v>
      </c>
      <c r="G165" s="226">
        <v>0</v>
      </c>
    </row>
    <row r="166" spans="1:7">
      <c r="A166" s="226" t="s">
        <v>659</v>
      </c>
      <c r="B166" s="226" t="s">
        <v>1235</v>
      </c>
      <c r="C166" s="226" t="s">
        <v>626</v>
      </c>
      <c r="D166" s="226" t="s">
        <v>10</v>
      </c>
      <c r="E166" s="226" t="s">
        <v>667</v>
      </c>
      <c r="F166" s="226">
        <v>0.12118217051381018</v>
      </c>
      <c r="G166" s="226">
        <v>0</v>
      </c>
    </row>
    <row r="167" spans="1:7">
      <c r="A167" s="226" t="s">
        <v>659</v>
      </c>
      <c r="B167" s="226" t="s">
        <v>1235</v>
      </c>
      <c r="C167" s="226" t="s">
        <v>963</v>
      </c>
      <c r="D167" s="226" t="s">
        <v>16</v>
      </c>
      <c r="E167" s="226" t="s">
        <v>618</v>
      </c>
      <c r="F167" s="226">
        <v>0</v>
      </c>
      <c r="G167" s="226">
        <v>0</v>
      </c>
    </row>
    <row r="168" spans="1:7">
      <c r="A168" s="226" t="s">
        <v>659</v>
      </c>
      <c r="B168" s="226" t="s">
        <v>1235</v>
      </c>
      <c r="C168" s="226" t="s">
        <v>963</v>
      </c>
      <c r="D168" s="226" t="s">
        <v>16</v>
      </c>
      <c r="E168" s="226" t="s">
        <v>619</v>
      </c>
      <c r="F168" s="226">
        <v>0</v>
      </c>
      <c r="G168" s="226">
        <v>0</v>
      </c>
    </row>
    <row r="169" spans="1:7">
      <c r="A169" s="226" t="s">
        <v>659</v>
      </c>
      <c r="B169" s="226" t="s">
        <v>1235</v>
      </c>
      <c r="C169" s="226" t="s">
        <v>963</v>
      </c>
      <c r="D169" s="226" t="s">
        <v>16</v>
      </c>
      <c r="E169" s="226" t="s">
        <v>620</v>
      </c>
      <c r="F169" s="226">
        <v>1.155828773232468E-2</v>
      </c>
      <c r="G169" s="226">
        <v>0</v>
      </c>
    </row>
    <row r="170" spans="1:7">
      <c r="A170" s="226" t="s">
        <v>659</v>
      </c>
      <c r="B170" s="226" t="s">
        <v>1235</v>
      </c>
      <c r="C170" s="226" t="s">
        <v>963</v>
      </c>
      <c r="D170" s="226" t="s">
        <v>16</v>
      </c>
      <c r="E170" s="226" t="s">
        <v>660</v>
      </c>
      <c r="F170" s="226">
        <v>1.155828773232468E-2</v>
      </c>
      <c r="G170" s="226">
        <v>0</v>
      </c>
    </row>
    <row r="171" spans="1:7">
      <c r="A171" s="226" t="s">
        <v>659</v>
      </c>
      <c r="B171" s="226" t="s">
        <v>1235</v>
      </c>
      <c r="C171" s="226" t="s">
        <v>963</v>
      </c>
      <c r="D171" s="226" t="s">
        <v>16</v>
      </c>
      <c r="E171" s="226" t="s">
        <v>661</v>
      </c>
      <c r="F171" s="226">
        <v>1.155828773232468E-2</v>
      </c>
      <c r="G171" s="226">
        <v>0</v>
      </c>
    </row>
    <row r="172" spans="1:7">
      <c r="A172" s="226" t="s">
        <v>659</v>
      </c>
      <c r="B172" s="226" t="s">
        <v>1235</v>
      </c>
      <c r="C172" s="226" t="s">
        <v>963</v>
      </c>
      <c r="D172" s="226" t="s">
        <v>16</v>
      </c>
      <c r="E172" s="226" t="s">
        <v>662</v>
      </c>
      <c r="F172" s="226">
        <v>1.155828773232468E-2</v>
      </c>
      <c r="G172" s="226">
        <v>0</v>
      </c>
    </row>
    <row r="173" spans="1:7">
      <c r="A173" s="226" t="s">
        <v>659</v>
      </c>
      <c r="B173" s="226" t="s">
        <v>1235</v>
      </c>
      <c r="C173" s="226" t="s">
        <v>963</v>
      </c>
      <c r="D173" s="226" t="s">
        <v>16</v>
      </c>
      <c r="E173" s="226" t="s">
        <v>663</v>
      </c>
      <c r="F173" s="226">
        <v>1.155828773232468E-2</v>
      </c>
      <c r="G173" s="226">
        <v>0</v>
      </c>
    </row>
    <row r="174" spans="1:7">
      <c r="A174" s="226" t="s">
        <v>659</v>
      </c>
      <c r="B174" s="226" t="s">
        <v>1235</v>
      </c>
      <c r="C174" s="226" t="s">
        <v>963</v>
      </c>
      <c r="D174" s="226" t="s">
        <v>16</v>
      </c>
      <c r="E174" s="226" t="s">
        <v>664</v>
      </c>
      <c r="F174" s="226">
        <v>1.155828773232468E-2</v>
      </c>
      <c r="G174" s="226">
        <v>0</v>
      </c>
    </row>
    <row r="175" spans="1:7">
      <c r="A175" s="226" t="s">
        <v>659</v>
      </c>
      <c r="B175" s="226" t="s">
        <v>1235</v>
      </c>
      <c r="C175" s="226" t="s">
        <v>963</v>
      </c>
      <c r="D175" s="226" t="s">
        <v>16</v>
      </c>
      <c r="E175" s="226" t="s">
        <v>665</v>
      </c>
      <c r="F175" s="226">
        <v>1.155828773232468E-2</v>
      </c>
      <c r="G175" s="226">
        <v>0</v>
      </c>
    </row>
    <row r="176" spans="1:7">
      <c r="A176" s="226" t="s">
        <v>659</v>
      </c>
      <c r="B176" s="226" t="s">
        <v>1235</v>
      </c>
      <c r="C176" s="226" t="s">
        <v>963</v>
      </c>
      <c r="D176" s="226" t="s">
        <v>16</v>
      </c>
      <c r="E176" s="226" t="s">
        <v>666</v>
      </c>
      <c r="F176" s="226">
        <v>1.155828773232468E-2</v>
      </c>
      <c r="G176" s="226">
        <v>0</v>
      </c>
    </row>
    <row r="177" spans="1:7">
      <c r="A177" s="226" t="s">
        <v>659</v>
      </c>
      <c r="B177" s="226" t="s">
        <v>1235</v>
      </c>
      <c r="C177" s="226" t="s">
        <v>963</v>
      </c>
      <c r="D177" s="226" t="s">
        <v>16</v>
      </c>
      <c r="E177" s="226" t="s">
        <v>667</v>
      </c>
      <c r="F177" s="226">
        <v>1.155828773232468E-2</v>
      </c>
      <c r="G177" s="226">
        <v>0</v>
      </c>
    </row>
    <row r="178" spans="1:7">
      <c r="A178" s="226" t="s">
        <v>659</v>
      </c>
      <c r="B178" s="226" t="s">
        <v>1235</v>
      </c>
      <c r="C178" s="226" t="s">
        <v>625</v>
      </c>
      <c r="D178" s="226" t="s">
        <v>1</v>
      </c>
      <c r="E178" s="226" t="s">
        <v>618</v>
      </c>
      <c r="F178" s="226">
        <v>0</v>
      </c>
      <c r="G178" s="226">
        <v>0</v>
      </c>
    </row>
    <row r="179" spans="1:7">
      <c r="A179" s="226" t="s">
        <v>659</v>
      </c>
      <c r="B179" s="226" t="s">
        <v>1235</v>
      </c>
      <c r="C179" s="226" t="s">
        <v>625</v>
      </c>
      <c r="D179" s="226" t="s">
        <v>1</v>
      </c>
      <c r="E179" s="226" t="s">
        <v>619</v>
      </c>
      <c r="F179" s="226">
        <v>0</v>
      </c>
      <c r="G179" s="226">
        <v>0</v>
      </c>
    </row>
    <row r="180" spans="1:7">
      <c r="A180" s="226" t="s">
        <v>659</v>
      </c>
      <c r="B180" s="226" t="s">
        <v>1235</v>
      </c>
      <c r="C180" s="226" t="s">
        <v>625</v>
      </c>
      <c r="D180" s="226" t="s">
        <v>1</v>
      </c>
      <c r="E180" s="226" t="s">
        <v>620</v>
      </c>
      <c r="F180" s="226">
        <v>2.3315514358058275E-3</v>
      </c>
      <c r="G180" s="226">
        <v>0</v>
      </c>
    </row>
    <row r="181" spans="1:7">
      <c r="A181" s="226" t="s">
        <v>659</v>
      </c>
      <c r="B181" s="226" t="s">
        <v>1235</v>
      </c>
      <c r="C181" s="226" t="s">
        <v>625</v>
      </c>
      <c r="D181" s="226" t="s">
        <v>1</v>
      </c>
      <c r="E181" s="226" t="s">
        <v>660</v>
      </c>
      <c r="F181" s="226">
        <v>2.3315514358058275E-3</v>
      </c>
      <c r="G181" s="226">
        <v>0</v>
      </c>
    </row>
    <row r="182" spans="1:7">
      <c r="A182" s="226" t="s">
        <v>659</v>
      </c>
      <c r="B182" s="226" t="s">
        <v>1235</v>
      </c>
      <c r="C182" s="226" t="s">
        <v>625</v>
      </c>
      <c r="D182" s="226" t="s">
        <v>1</v>
      </c>
      <c r="E182" s="226" t="s">
        <v>661</v>
      </c>
      <c r="F182" s="226">
        <v>2.3315514358058275E-3</v>
      </c>
      <c r="G182" s="226">
        <v>0</v>
      </c>
    </row>
    <row r="183" spans="1:7">
      <c r="A183" s="226" t="s">
        <v>659</v>
      </c>
      <c r="B183" s="226" t="s">
        <v>1235</v>
      </c>
      <c r="C183" s="226" t="s">
        <v>625</v>
      </c>
      <c r="D183" s="226" t="s">
        <v>1</v>
      </c>
      <c r="E183" s="226" t="s">
        <v>662</v>
      </c>
      <c r="F183" s="226">
        <v>2.3315514358058275E-3</v>
      </c>
      <c r="G183" s="226">
        <v>0</v>
      </c>
    </row>
    <row r="184" spans="1:7">
      <c r="A184" s="226" t="s">
        <v>659</v>
      </c>
      <c r="B184" s="226" t="s">
        <v>1235</v>
      </c>
      <c r="C184" s="226" t="s">
        <v>625</v>
      </c>
      <c r="D184" s="226" t="s">
        <v>1</v>
      </c>
      <c r="E184" s="226" t="s">
        <v>663</v>
      </c>
      <c r="F184" s="226">
        <v>2.3315514358058275E-3</v>
      </c>
      <c r="G184" s="226">
        <v>0</v>
      </c>
    </row>
    <row r="185" spans="1:7">
      <c r="A185" s="226" t="s">
        <v>659</v>
      </c>
      <c r="B185" s="226" t="s">
        <v>1235</v>
      </c>
      <c r="C185" s="226" t="s">
        <v>625</v>
      </c>
      <c r="D185" s="226" t="s">
        <v>1</v>
      </c>
      <c r="E185" s="226" t="s">
        <v>664</v>
      </c>
      <c r="F185" s="226">
        <v>2.3315514358058275E-3</v>
      </c>
      <c r="G185" s="226">
        <v>0</v>
      </c>
    </row>
    <row r="186" spans="1:7">
      <c r="A186" s="226" t="s">
        <v>659</v>
      </c>
      <c r="B186" s="226" t="s">
        <v>1235</v>
      </c>
      <c r="C186" s="226" t="s">
        <v>625</v>
      </c>
      <c r="D186" s="226" t="s">
        <v>1</v>
      </c>
      <c r="E186" s="226" t="s">
        <v>665</v>
      </c>
      <c r="F186" s="226">
        <v>2.3315514358058275E-3</v>
      </c>
      <c r="G186" s="226">
        <v>0</v>
      </c>
    </row>
    <row r="187" spans="1:7">
      <c r="A187" s="226" t="s">
        <v>659</v>
      </c>
      <c r="B187" s="226" t="s">
        <v>1235</v>
      </c>
      <c r="C187" s="226" t="s">
        <v>625</v>
      </c>
      <c r="D187" s="226" t="s">
        <v>1</v>
      </c>
      <c r="E187" s="226" t="s">
        <v>666</v>
      </c>
      <c r="F187" s="226">
        <v>2.3315514358058275E-3</v>
      </c>
      <c r="G187" s="226">
        <v>0</v>
      </c>
    </row>
    <row r="188" spans="1:7">
      <c r="A188" s="226" t="s">
        <v>659</v>
      </c>
      <c r="B188" s="226" t="s">
        <v>1235</v>
      </c>
      <c r="C188" s="226" t="s">
        <v>625</v>
      </c>
      <c r="D188" s="226" t="s">
        <v>1</v>
      </c>
      <c r="E188" s="226" t="s">
        <v>667</v>
      </c>
      <c r="F188" s="226">
        <v>2.3315514358058275E-3</v>
      </c>
      <c r="G188" s="226">
        <v>0</v>
      </c>
    </row>
    <row r="189" spans="1:7">
      <c r="A189" s="226" t="s">
        <v>659</v>
      </c>
      <c r="B189" s="226" t="s">
        <v>1235</v>
      </c>
      <c r="C189" s="226" t="s">
        <v>625</v>
      </c>
      <c r="D189" s="226" t="s">
        <v>6</v>
      </c>
      <c r="E189" s="226" t="s">
        <v>618</v>
      </c>
      <c r="F189" s="226">
        <v>0</v>
      </c>
      <c r="G189" s="226">
        <v>0</v>
      </c>
    </row>
    <row r="190" spans="1:7">
      <c r="A190" s="226" t="s">
        <v>659</v>
      </c>
      <c r="B190" s="226" t="s">
        <v>1235</v>
      </c>
      <c r="C190" s="226" t="s">
        <v>625</v>
      </c>
      <c r="D190" s="226" t="s">
        <v>6</v>
      </c>
      <c r="E190" s="226" t="s">
        <v>619</v>
      </c>
      <c r="F190" s="226">
        <v>0</v>
      </c>
      <c r="G190" s="226">
        <v>0</v>
      </c>
    </row>
    <row r="191" spans="1:7">
      <c r="A191" s="226" t="s">
        <v>659</v>
      </c>
      <c r="B191" s="226" t="s">
        <v>1235</v>
      </c>
      <c r="C191" s="226" t="s">
        <v>625</v>
      </c>
      <c r="D191" s="226" t="s">
        <v>6</v>
      </c>
      <c r="E191" s="226" t="s">
        <v>620</v>
      </c>
      <c r="F191" s="226">
        <v>3.4843093610107533E-2</v>
      </c>
      <c r="G191" s="226">
        <v>0</v>
      </c>
    </row>
    <row r="192" spans="1:7">
      <c r="A192" s="226" t="s">
        <v>659</v>
      </c>
      <c r="B192" s="226" t="s">
        <v>1235</v>
      </c>
      <c r="C192" s="226" t="s">
        <v>625</v>
      </c>
      <c r="D192" s="226" t="s">
        <v>6</v>
      </c>
      <c r="E192" s="226" t="s">
        <v>660</v>
      </c>
      <c r="F192" s="226">
        <v>3.4843093610107533E-2</v>
      </c>
      <c r="G192" s="226">
        <v>0</v>
      </c>
    </row>
    <row r="193" spans="1:7">
      <c r="A193" s="226" t="s">
        <v>659</v>
      </c>
      <c r="B193" s="226" t="s">
        <v>1235</v>
      </c>
      <c r="C193" s="226" t="s">
        <v>625</v>
      </c>
      <c r="D193" s="226" t="s">
        <v>6</v>
      </c>
      <c r="E193" s="226" t="s">
        <v>661</v>
      </c>
      <c r="F193" s="226">
        <v>3.4843093610107533E-2</v>
      </c>
      <c r="G193" s="226">
        <v>0</v>
      </c>
    </row>
    <row r="194" spans="1:7">
      <c r="A194" s="226" t="s">
        <v>659</v>
      </c>
      <c r="B194" s="226" t="s">
        <v>1235</v>
      </c>
      <c r="C194" s="226" t="s">
        <v>625</v>
      </c>
      <c r="D194" s="226" t="s">
        <v>6</v>
      </c>
      <c r="E194" s="226" t="s">
        <v>662</v>
      </c>
      <c r="F194" s="226">
        <v>3.4843093610107533E-2</v>
      </c>
      <c r="G194" s="226">
        <v>0</v>
      </c>
    </row>
    <row r="195" spans="1:7">
      <c r="A195" s="226" t="s">
        <v>659</v>
      </c>
      <c r="B195" s="226" t="s">
        <v>1235</v>
      </c>
      <c r="C195" s="226" t="s">
        <v>625</v>
      </c>
      <c r="D195" s="226" t="s">
        <v>6</v>
      </c>
      <c r="E195" s="226" t="s">
        <v>663</v>
      </c>
      <c r="F195" s="226">
        <v>3.4843093610107533E-2</v>
      </c>
      <c r="G195" s="226">
        <v>0</v>
      </c>
    </row>
    <row r="196" spans="1:7">
      <c r="A196" s="226" t="s">
        <v>659</v>
      </c>
      <c r="B196" s="226" t="s">
        <v>1235</v>
      </c>
      <c r="C196" s="226" t="s">
        <v>625</v>
      </c>
      <c r="D196" s="226" t="s">
        <v>6</v>
      </c>
      <c r="E196" s="226" t="s">
        <v>664</v>
      </c>
      <c r="F196" s="226">
        <v>3.4843093610107533E-2</v>
      </c>
      <c r="G196" s="226">
        <v>0</v>
      </c>
    </row>
    <row r="197" spans="1:7">
      <c r="A197" s="226" t="s">
        <v>659</v>
      </c>
      <c r="B197" s="226" t="s">
        <v>1235</v>
      </c>
      <c r="C197" s="226" t="s">
        <v>625</v>
      </c>
      <c r="D197" s="226" t="s">
        <v>6</v>
      </c>
      <c r="E197" s="226" t="s">
        <v>665</v>
      </c>
      <c r="F197" s="226">
        <v>3.4843093610107533E-2</v>
      </c>
      <c r="G197" s="226">
        <v>0</v>
      </c>
    </row>
    <row r="198" spans="1:7">
      <c r="A198" s="226" t="s">
        <v>659</v>
      </c>
      <c r="B198" s="226" t="s">
        <v>1235</v>
      </c>
      <c r="C198" s="226" t="s">
        <v>625</v>
      </c>
      <c r="D198" s="226" t="s">
        <v>6</v>
      </c>
      <c r="E198" s="226" t="s">
        <v>666</v>
      </c>
      <c r="F198" s="226">
        <v>3.4843093610107533E-2</v>
      </c>
      <c r="G198" s="226">
        <v>0</v>
      </c>
    </row>
    <row r="199" spans="1:7">
      <c r="A199" s="226" t="s">
        <v>659</v>
      </c>
      <c r="B199" s="226" t="s">
        <v>1235</v>
      </c>
      <c r="C199" s="226" t="s">
        <v>625</v>
      </c>
      <c r="D199" s="226" t="s">
        <v>6</v>
      </c>
      <c r="E199" s="226" t="s">
        <v>667</v>
      </c>
      <c r="F199" s="226">
        <v>3.4843093610107533E-2</v>
      </c>
      <c r="G199" s="226">
        <v>0</v>
      </c>
    </row>
    <row r="200" spans="1:7">
      <c r="A200" s="226" t="s">
        <v>659</v>
      </c>
      <c r="B200" s="226" t="s">
        <v>1235</v>
      </c>
      <c r="C200" s="226" t="s">
        <v>627</v>
      </c>
      <c r="D200" s="226" t="s">
        <v>13</v>
      </c>
      <c r="E200" s="226" t="s">
        <v>618</v>
      </c>
      <c r="F200" s="226">
        <v>0</v>
      </c>
      <c r="G200" s="226">
        <v>0</v>
      </c>
    </row>
    <row r="201" spans="1:7">
      <c r="A201" s="226" t="s">
        <v>659</v>
      </c>
      <c r="B201" s="226" t="s">
        <v>1235</v>
      </c>
      <c r="C201" s="226" t="s">
        <v>627</v>
      </c>
      <c r="D201" s="226" t="s">
        <v>13</v>
      </c>
      <c r="E201" s="226" t="s">
        <v>619</v>
      </c>
      <c r="F201" s="226">
        <v>0</v>
      </c>
      <c r="G201" s="226">
        <v>0</v>
      </c>
    </row>
    <row r="202" spans="1:7">
      <c r="A202" s="226" t="s">
        <v>659</v>
      </c>
      <c r="B202" s="226" t="s">
        <v>1235</v>
      </c>
      <c r="C202" s="226" t="s">
        <v>627</v>
      </c>
      <c r="D202" s="226" t="s">
        <v>13</v>
      </c>
      <c r="E202" s="226" t="s">
        <v>620</v>
      </c>
      <c r="F202" s="226">
        <v>4.1047632044605945E-2</v>
      </c>
      <c r="G202" s="226">
        <v>0</v>
      </c>
    </row>
    <row r="203" spans="1:7">
      <c r="A203" s="226" t="s">
        <v>659</v>
      </c>
      <c r="B203" s="226" t="s">
        <v>1235</v>
      </c>
      <c r="C203" s="226" t="s">
        <v>627</v>
      </c>
      <c r="D203" s="226" t="s">
        <v>13</v>
      </c>
      <c r="E203" s="226" t="s">
        <v>660</v>
      </c>
      <c r="F203" s="226">
        <v>4.1047632044605945E-2</v>
      </c>
      <c r="G203" s="226">
        <v>0</v>
      </c>
    </row>
    <row r="204" spans="1:7">
      <c r="A204" s="226" t="s">
        <v>659</v>
      </c>
      <c r="B204" s="226" t="s">
        <v>1235</v>
      </c>
      <c r="C204" s="226" t="s">
        <v>627</v>
      </c>
      <c r="D204" s="226" t="s">
        <v>13</v>
      </c>
      <c r="E204" s="226" t="s">
        <v>661</v>
      </c>
      <c r="F204" s="226">
        <v>4.1047632044605945E-2</v>
      </c>
      <c r="G204" s="226">
        <v>0</v>
      </c>
    </row>
    <row r="205" spans="1:7">
      <c r="A205" s="226" t="s">
        <v>659</v>
      </c>
      <c r="B205" s="226" t="s">
        <v>1235</v>
      </c>
      <c r="C205" s="226" t="s">
        <v>627</v>
      </c>
      <c r="D205" s="226" t="s">
        <v>13</v>
      </c>
      <c r="E205" s="226" t="s">
        <v>662</v>
      </c>
      <c r="F205" s="226">
        <v>4.1047632044605945E-2</v>
      </c>
      <c r="G205" s="226">
        <v>0</v>
      </c>
    </row>
    <row r="206" spans="1:7">
      <c r="A206" s="226" t="s">
        <v>659</v>
      </c>
      <c r="B206" s="226" t="s">
        <v>1235</v>
      </c>
      <c r="C206" s="226" t="s">
        <v>627</v>
      </c>
      <c r="D206" s="226" t="s">
        <v>13</v>
      </c>
      <c r="E206" s="226" t="s">
        <v>663</v>
      </c>
      <c r="F206" s="226">
        <v>4.1047632044605945E-2</v>
      </c>
      <c r="G206" s="226">
        <v>0</v>
      </c>
    </row>
    <row r="207" spans="1:7">
      <c r="A207" s="226" t="s">
        <v>659</v>
      </c>
      <c r="B207" s="226" t="s">
        <v>1235</v>
      </c>
      <c r="C207" s="226" t="s">
        <v>627</v>
      </c>
      <c r="D207" s="226" t="s">
        <v>13</v>
      </c>
      <c r="E207" s="226" t="s">
        <v>664</v>
      </c>
      <c r="F207" s="226">
        <v>4.1047632044605945E-2</v>
      </c>
      <c r="G207" s="226">
        <v>0</v>
      </c>
    </row>
    <row r="208" spans="1:7">
      <c r="A208" s="226" t="s">
        <v>659</v>
      </c>
      <c r="B208" s="226" t="s">
        <v>1235</v>
      </c>
      <c r="C208" s="226" t="s">
        <v>627</v>
      </c>
      <c r="D208" s="226" t="s">
        <v>13</v>
      </c>
      <c r="E208" s="226" t="s">
        <v>665</v>
      </c>
      <c r="F208" s="226">
        <v>4.1047632044605945E-2</v>
      </c>
      <c r="G208" s="226">
        <v>0</v>
      </c>
    </row>
    <row r="209" spans="1:7">
      <c r="A209" s="226" t="s">
        <v>659</v>
      </c>
      <c r="B209" s="226" t="s">
        <v>1235</v>
      </c>
      <c r="C209" s="226" t="s">
        <v>627</v>
      </c>
      <c r="D209" s="226" t="s">
        <v>13</v>
      </c>
      <c r="E209" s="226" t="s">
        <v>666</v>
      </c>
      <c r="F209" s="226">
        <v>4.1047632044605945E-2</v>
      </c>
      <c r="G209" s="226">
        <v>0</v>
      </c>
    </row>
    <row r="210" spans="1:7">
      <c r="A210" s="226" t="s">
        <v>659</v>
      </c>
      <c r="B210" s="226" t="s">
        <v>1235</v>
      </c>
      <c r="C210" s="226" t="s">
        <v>627</v>
      </c>
      <c r="D210" s="226" t="s">
        <v>13</v>
      </c>
      <c r="E210" s="226" t="s">
        <v>667</v>
      </c>
      <c r="F210" s="226">
        <v>4.1047632044605945E-2</v>
      </c>
      <c r="G210" s="226">
        <v>0</v>
      </c>
    </row>
    <row r="211" spans="1:7">
      <c r="A211" s="226" t="s">
        <v>659</v>
      </c>
      <c r="B211" s="226" t="s">
        <v>1235</v>
      </c>
      <c r="C211" s="226" t="s">
        <v>627</v>
      </c>
      <c r="D211" s="226" t="s">
        <v>15</v>
      </c>
      <c r="E211" s="226" t="s">
        <v>618</v>
      </c>
      <c r="F211" s="226">
        <v>0</v>
      </c>
      <c r="G211" s="226">
        <v>0</v>
      </c>
    </row>
    <row r="212" spans="1:7">
      <c r="A212" s="226" t="s">
        <v>659</v>
      </c>
      <c r="B212" s="226" t="s">
        <v>1235</v>
      </c>
      <c r="C212" s="226" t="s">
        <v>627</v>
      </c>
      <c r="D212" s="226" t="s">
        <v>15</v>
      </c>
      <c r="E212" s="226" t="s">
        <v>619</v>
      </c>
      <c r="F212" s="226">
        <v>0</v>
      </c>
      <c r="G212" s="226">
        <v>0</v>
      </c>
    </row>
    <row r="213" spans="1:7">
      <c r="A213" s="226" t="s">
        <v>659</v>
      </c>
      <c r="B213" s="226" t="s">
        <v>1235</v>
      </c>
      <c r="C213" s="226" t="s">
        <v>627</v>
      </c>
      <c r="D213" s="226" t="s">
        <v>15</v>
      </c>
      <c r="E213" s="226" t="s">
        <v>620</v>
      </c>
      <c r="F213" s="226">
        <v>3.0987366574596998E-5</v>
      </c>
      <c r="G213" s="226">
        <v>0</v>
      </c>
    </row>
    <row r="214" spans="1:7">
      <c r="A214" s="226" t="s">
        <v>659</v>
      </c>
      <c r="B214" s="226" t="s">
        <v>1235</v>
      </c>
      <c r="C214" s="226" t="s">
        <v>627</v>
      </c>
      <c r="D214" s="226" t="s">
        <v>15</v>
      </c>
      <c r="E214" s="226" t="s">
        <v>660</v>
      </c>
      <c r="F214" s="226">
        <v>3.0987366574596998E-5</v>
      </c>
      <c r="G214" s="226">
        <v>0</v>
      </c>
    </row>
    <row r="215" spans="1:7">
      <c r="A215" s="226" t="s">
        <v>659</v>
      </c>
      <c r="B215" s="226" t="s">
        <v>1235</v>
      </c>
      <c r="C215" s="226" t="s">
        <v>627</v>
      </c>
      <c r="D215" s="226" t="s">
        <v>15</v>
      </c>
      <c r="E215" s="226" t="s">
        <v>661</v>
      </c>
      <c r="F215" s="226">
        <v>3.0987366574596998E-5</v>
      </c>
      <c r="G215" s="226">
        <v>0</v>
      </c>
    </row>
    <row r="216" spans="1:7">
      <c r="A216" s="226" t="s">
        <v>659</v>
      </c>
      <c r="B216" s="226" t="s">
        <v>1235</v>
      </c>
      <c r="C216" s="226" t="s">
        <v>627</v>
      </c>
      <c r="D216" s="226" t="s">
        <v>15</v>
      </c>
      <c r="E216" s="226" t="s">
        <v>662</v>
      </c>
      <c r="F216" s="226">
        <v>3.0987366574596998E-5</v>
      </c>
      <c r="G216" s="226">
        <v>0</v>
      </c>
    </row>
    <row r="217" spans="1:7">
      <c r="A217" s="226" t="s">
        <v>659</v>
      </c>
      <c r="B217" s="226" t="s">
        <v>1235</v>
      </c>
      <c r="C217" s="226" t="s">
        <v>627</v>
      </c>
      <c r="D217" s="226" t="s">
        <v>15</v>
      </c>
      <c r="E217" s="226" t="s">
        <v>663</v>
      </c>
      <c r="F217" s="226">
        <v>3.0987366574596998E-5</v>
      </c>
      <c r="G217" s="226">
        <v>0</v>
      </c>
    </row>
    <row r="218" spans="1:7">
      <c r="A218" s="226" t="s">
        <v>659</v>
      </c>
      <c r="B218" s="226" t="s">
        <v>1235</v>
      </c>
      <c r="C218" s="226" t="s">
        <v>627</v>
      </c>
      <c r="D218" s="226" t="s">
        <v>15</v>
      </c>
      <c r="E218" s="226" t="s">
        <v>664</v>
      </c>
      <c r="F218" s="226">
        <v>3.0987366574596998E-5</v>
      </c>
      <c r="G218" s="226">
        <v>0</v>
      </c>
    </row>
    <row r="219" spans="1:7">
      <c r="A219" s="226" t="s">
        <v>659</v>
      </c>
      <c r="B219" s="226" t="s">
        <v>1235</v>
      </c>
      <c r="C219" s="226" t="s">
        <v>627</v>
      </c>
      <c r="D219" s="226" t="s">
        <v>15</v>
      </c>
      <c r="E219" s="226" t="s">
        <v>665</v>
      </c>
      <c r="F219" s="226">
        <v>3.0987366574596998E-5</v>
      </c>
      <c r="G219" s="226">
        <v>0</v>
      </c>
    </row>
    <row r="220" spans="1:7">
      <c r="A220" s="226" t="s">
        <v>659</v>
      </c>
      <c r="B220" s="226" t="s">
        <v>1235</v>
      </c>
      <c r="C220" s="226" t="s">
        <v>627</v>
      </c>
      <c r="D220" s="226" t="s">
        <v>15</v>
      </c>
      <c r="E220" s="226" t="s">
        <v>666</v>
      </c>
      <c r="F220" s="226">
        <v>3.0987366574596998E-5</v>
      </c>
      <c r="G220" s="226">
        <v>0</v>
      </c>
    </row>
    <row r="221" spans="1:7">
      <c r="A221" s="226" t="s">
        <v>659</v>
      </c>
      <c r="B221" s="226" t="s">
        <v>1235</v>
      </c>
      <c r="C221" s="226" t="s">
        <v>627</v>
      </c>
      <c r="D221" s="226" t="s">
        <v>15</v>
      </c>
      <c r="E221" s="226" t="s">
        <v>667</v>
      </c>
      <c r="F221" s="226">
        <v>3.0987366574596998E-5</v>
      </c>
      <c r="G221" s="226">
        <v>0</v>
      </c>
    </row>
    <row r="222" spans="1:7">
      <c r="A222" s="226" t="s">
        <v>659</v>
      </c>
      <c r="B222" s="226" t="s">
        <v>1235</v>
      </c>
      <c r="C222" s="226" t="s">
        <v>625</v>
      </c>
      <c r="D222" s="226" t="s">
        <v>0</v>
      </c>
      <c r="E222" s="226" t="s">
        <v>618</v>
      </c>
      <c r="F222" s="226">
        <v>0</v>
      </c>
      <c r="G222" s="226">
        <v>0</v>
      </c>
    </row>
    <row r="223" spans="1:7">
      <c r="A223" s="226" t="s">
        <v>659</v>
      </c>
      <c r="B223" s="226" t="s">
        <v>1235</v>
      </c>
      <c r="C223" s="226" t="s">
        <v>625</v>
      </c>
      <c r="D223" s="226" t="s">
        <v>0</v>
      </c>
      <c r="E223" s="226" t="s">
        <v>619</v>
      </c>
      <c r="F223" s="226">
        <v>0</v>
      </c>
      <c r="G223" s="226">
        <v>0</v>
      </c>
    </row>
    <row r="224" spans="1:7">
      <c r="A224" s="226" t="s">
        <v>659</v>
      </c>
      <c r="B224" s="226" t="s">
        <v>1235</v>
      </c>
      <c r="C224" s="226" t="s">
        <v>625</v>
      </c>
      <c r="D224" s="226" t="s">
        <v>0</v>
      </c>
      <c r="E224" s="226" t="s">
        <v>620</v>
      </c>
      <c r="F224" s="226">
        <v>5.61139375721076E-2</v>
      </c>
      <c r="G224" s="226">
        <v>0</v>
      </c>
    </row>
    <row r="225" spans="1:7">
      <c r="A225" s="226" t="s">
        <v>659</v>
      </c>
      <c r="B225" s="226" t="s">
        <v>1235</v>
      </c>
      <c r="C225" s="226" t="s">
        <v>625</v>
      </c>
      <c r="D225" s="226" t="s">
        <v>0</v>
      </c>
      <c r="E225" s="226" t="s">
        <v>660</v>
      </c>
      <c r="F225" s="226">
        <v>5.61139375721076E-2</v>
      </c>
      <c r="G225" s="226">
        <v>0</v>
      </c>
    </row>
    <row r="226" spans="1:7">
      <c r="A226" s="226" t="s">
        <v>659</v>
      </c>
      <c r="B226" s="226" t="s">
        <v>1235</v>
      </c>
      <c r="C226" s="226" t="s">
        <v>625</v>
      </c>
      <c r="D226" s="226" t="s">
        <v>0</v>
      </c>
      <c r="E226" s="226" t="s">
        <v>661</v>
      </c>
      <c r="F226" s="226">
        <v>5.61139375721076E-2</v>
      </c>
      <c r="G226" s="226">
        <v>0</v>
      </c>
    </row>
    <row r="227" spans="1:7">
      <c r="A227" s="226" t="s">
        <v>659</v>
      </c>
      <c r="B227" s="226" t="s">
        <v>1235</v>
      </c>
      <c r="C227" s="226" t="s">
        <v>625</v>
      </c>
      <c r="D227" s="226" t="s">
        <v>0</v>
      </c>
      <c r="E227" s="226" t="s">
        <v>662</v>
      </c>
      <c r="F227" s="226">
        <v>5.61139375721076E-2</v>
      </c>
      <c r="G227" s="226">
        <v>0</v>
      </c>
    </row>
    <row r="228" spans="1:7">
      <c r="A228" s="226" t="s">
        <v>659</v>
      </c>
      <c r="B228" s="226" t="s">
        <v>1235</v>
      </c>
      <c r="C228" s="226" t="s">
        <v>625</v>
      </c>
      <c r="D228" s="226" t="s">
        <v>0</v>
      </c>
      <c r="E228" s="226" t="s">
        <v>663</v>
      </c>
      <c r="F228" s="226">
        <v>5.61139375721076E-2</v>
      </c>
      <c r="G228" s="226">
        <v>0</v>
      </c>
    </row>
    <row r="229" spans="1:7">
      <c r="A229" s="226" t="s">
        <v>659</v>
      </c>
      <c r="B229" s="226" t="s">
        <v>1235</v>
      </c>
      <c r="C229" s="226" t="s">
        <v>625</v>
      </c>
      <c r="D229" s="226" t="s">
        <v>0</v>
      </c>
      <c r="E229" s="226" t="s">
        <v>664</v>
      </c>
      <c r="F229" s="226">
        <v>5.61139375721076E-2</v>
      </c>
      <c r="G229" s="226">
        <v>0</v>
      </c>
    </row>
    <row r="230" spans="1:7">
      <c r="A230" s="226" t="s">
        <v>659</v>
      </c>
      <c r="B230" s="226" t="s">
        <v>1235</v>
      </c>
      <c r="C230" s="226" t="s">
        <v>625</v>
      </c>
      <c r="D230" s="226" t="s">
        <v>0</v>
      </c>
      <c r="E230" s="226" t="s">
        <v>665</v>
      </c>
      <c r="F230" s="226">
        <v>5.61139375721076E-2</v>
      </c>
      <c r="G230" s="226">
        <v>0</v>
      </c>
    </row>
    <row r="231" spans="1:7">
      <c r="A231" s="226" t="s">
        <v>659</v>
      </c>
      <c r="B231" s="226" t="s">
        <v>1235</v>
      </c>
      <c r="C231" s="226" t="s">
        <v>625</v>
      </c>
      <c r="D231" s="226" t="s">
        <v>0</v>
      </c>
      <c r="E231" s="226" t="s">
        <v>666</v>
      </c>
      <c r="F231" s="226">
        <v>5.61139375721076E-2</v>
      </c>
      <c r="G231" s="226">
        <v>0</v>
      </c>
    </row>
    <row r="232" spans="1:7">
      <c r="A232" s="226" t="s">
        <v>659</v>
      </c>
      <c r="B232" s="226" t="s">
        <v>1235</v>
      </c>
      <c r="C232" s="226" t="s">
        <v>625</v>
      </c>
      <c r="D232" s="226" t="s">
        <v>0</v>
      </c>
      <c r="E232" s="226" t="s">
        <v>667</v>
      </c>
      <c r="F232" s="226">
        <v>5.61139375721076E-2</v>
      </c>
      <c r="G232" s="226">
        <v>0</v>
      </c>
    </row>
    <row r="233" spans="1:7">
      <c r="A233" s="226" t="s">
        <v>659</v>
      </c>
      <c r="B233" s="226" t="s">
        <v>1235</v>
      </c>
      <c r="C233" s="226" t="s">
        <v>625</v>
      </c>
      <c r="D233" s="226" t="s">
        <v>4</v>
      </c>
      <c r="E233" s="226" t="s">
        <v>618</v>
      </c>
      <c r="F233" s="226">
        <v>0</v>
      </c>
      <c r="G233" s="226">
        <v>0</v>
      </c>
    </row>
    <row r="234" spans="1:7">
      <c r="A234" s="226" t="s">
        <v>659</v>
      </c>
      <c r="B234" s="226" t="s">
        <v>1235</v>
      </c>
      <c r="C234" s="226" t="s">
        <v>625</v>
      </c>
      <c r="D234" s="226" t="s">
        <v>4</v>
      </c>
      <c r="E234" s="226" t="s">
        <v>619</v>
      </c>
      <c r="F234" s="226">
        <v>0</v>
      </c>
      <c r="G234" s="226">
        <v>0</v>
      </c>
    </row>
    <row r="235" spans="1:7">
      <c r="A235" s="226" t="s">
        <v>659</v>
      </c>
      <c r="B235" s="226" t="s">
        <v>1235</v>
      </c>
      <c r="C235" s="226" t="s">
        <v>625</v>
      </c>
      <c r="D235" s="226" t="s">
        <v>4</v>
      </c>
      <c r="E235" s="226" t="s">
        <v>620</v>
      </c>
      <c r="F235" s="226">
        <v>1.4250780013991413E-2</v>
      </c>
      <c r="G235" s="226">
        <v>0</v>
      </c>
    </row>
    <row r="236" spans="1:7">
      <c r="A236" s="226" t="s">
        <v>659</v>
      </c>
      <c r="B236" s="226" t="s">
        <v>1235</v>
      </c>
      <c r="C236" s="226" t="s">
        <v>625</v>
      </c>
      <c r="D236" s="226" t="s">
        <v>4</v>
      </c>
      <c r="E236" s="226" t="s">
        <v>660</v>
      </c>
      <c r="F236" s="226">
        <v>1.4250780013991413E-2</v>
      </c>
      <c r="G236" s="226">
        <v>0</v>
      </c>
    </row>
    <row r="237" spans="1:7">
      <c r="A237" s="226" t="s">
        <v>659</v>
      </c>
      <c r="B237" s="226" t="s">
        <v>1235</v>
      </c>
      <c r="C237" s="226" t="s">
        <v>625</v>
      </c>
      <c r="D237" s="226" t="s">
        <v>4</v>
      </c>
      <c r="E237" s="226" t="s">
        <v>661</v>
      </c>
      <c r="F237" s="226">
        <v>1.4250780013991413E-2</v>
      </c>
      <c r="G237" s="226">
        <v>0</v>
      </c>
    </row>
    <row r="238" spans="1:7">
      <c r="A238" s="226" t="s">
        <v>659</v>
      </c>
      <c r="B238" s="226" t="s">
        <v>1235</v>
      </c>
      <c r="C238" s="226" t="s">
        <v>625</v>
      </c>
      <c r="D238" s="226" t="s">
        <v>4</v>
      </c>
      <c r="E238" s="226" t="s">
        <v>662</v>
      </c>
      <c r="F238" s="226">
        <v>1.4250780013991413E-2</v>
      </c>
      <c r="G238" s="226">
        <v>0</v>
      </c>
    </row>
    <row r="239" spans="1:7">
      <c r="A239" s="226" t="s">
        <v>659</v>
      </c>
      <c r="B239" s="226" t="s">
        <v>1235</v>
      </c>
      <c r="C239" s="226" t="s">
        <v>625</v>
      </c>
      <c r="D239" s="226" t="s">
        <v>4</v>
      </c>
      <c r="E239" s="226" t="s">
        <v>663</v>
      </c>
      <c r="F239" s="226">
        <v>1.4250780013991413E-2</v>
      </c>
      <c r="G239" s="226">
        <v>0</v>
      </c>
    </row>
    <row r="240" spans="1:7">
      <c r="A240" s="226" t="s">
        <v>659</v>
      </c>
      <c r="B240" s="226" t="s">
        <v>1235</v>
      </c>
      <c r="C240" s="226" t="s">
        <v>625</v>
      </c>
      <c r="D240" s="226" t="s">
        <v>4</v>
      </c>
      <c r="E240" s="226" t="s">
        <v>664</v>
      </c>
      <c r="F240" s="226">
        <v>1.4250780013991413E-2</v>
      </c>
      <c r="G240" s="226">
        <v>0</v>
      </c>
    </row>
    <row r="241" spans="1:7">
      <c r="A241" s="226" t="s">
        <v>659</v>
      </c>
      <c r="B241" s="226" t="s">
        <v>1235</v>
      </c>
      <c r="C241" s="226" t="s">
        <v>625</v>
      </c>
      <c r="D241" s="226" t="s">
        <v>4</v>
      </c>
      <c r="E241" s="226" t="s">
        <v>665</v>
      </c>
      <c r="F241" s="226">
        <v>1.4250780013991413E-2</v>
      </c>
      <c r="G241" s="226">
        <v>0</v>
      </c>
    </row>
    <row r="242" spans="1:7">
      <c r="A242" s="226" t="s">
        <v>659</v>
      </c>
      <c r="B242" s="226" t="s">
        <v>1235</v>
      </c>
      <c r="C242" s="226" t="s">
        <v>625</v>
      </c>
      <c r="D242" s="226" t="s">
        <v>4</v>
      </c>
      <c r="E242" s="226" t="s">
        <v>666</v>
      </c>
      <c r="F242" s="226">
        <v>1.4250780013991413E-2</v>
      </c>
      <c r="G242" s="226">
        <v>0</v>
      </c>
    </row>
    <row r="243" spans="1:7">
      <c r="A243" s="226" t="s">
        <v>659</v>
      </c>
      <c r="B243" s="226" t="s">
        <v>1235</v>
      </c>
      <c r="C243" s="226" t="s">
        <v>625</v>
      </c>
      <c r="D243" s="226" t="s">
        <v>4</v>
      </c>
      <c r="E243" s="226" t="s">
        <v>667</v>
      </c>
      <c r="F243" s="226">
        <v>1.4250780013991413E-2</v>
      </c>
      <c r="G243" s="226">
        <v>0</v>
      </c>
    </row>
    <row r="244" spans="1:7">
      <c r="A244" s="226" t="s">
        <v>659</v>
      </c>
      <c r="B244" s="226" t="s">
        <v>1235</v>
      </c>
      <c r="C244" s="226" t="s">
        <v>963</v>
      </c>
      <c r="D244" s="226" t="s">
        <v>17</v>
      </c>
      <c r="E244" s="226" t="s">
        <v>618</v>
      </c>
      <c r="F244" s="226">
        <v>0</v>
      </c>
      <c r="G244" s="226">
        <v>0</v>
      </c>
    </row>
    <row r="245" spans="1:7">
      <c r="A245" s="226" t="s">
        <v>659</v>
      </c>
      <c r="B245" s="226" t="s">
        <v>1235</v>
      </c>
      <c r="C245" s="226" t="s">
        <v>963</v>
      </c>
      <c r="D245" s="226" t="s">
        <v>17</v>
      </c>
      <c r="E245" s="226" t="s">
        <v>619</v>
      </c>
      <c r="F245" s="226">
        <v>0</v>
      </c>
      <c r="G245" s="226">
        <v>0</v>
      </c>
    </row>
    <row r="246" spans="1:7">
      <c r="A246" s="226" t="s">
        <v>659</v>
      </c>
      <c r="B246" s="226" t="s">
        <v>1235</v>
      </c>
      <c r="C246" s="226" t="s">
        <v>963</v>
      </c>
      <c r="D246" s="226" t="s">
        <v>17</v>
      </c>
      <c r="E246" s="226" t="s">
        <v>620</v>
      </c>
      <c r="F246" s="226">
        <v>9.6627285442234326E-3</v>
      </c>
      <c r="G246" s="226">
        <v>0</v>
      </c>
    </row>
    <row r="247" spans="1:7">
      <c r="A247" s="226" t="s">
        <v>659</v>
      </c>
      <c r="B247" s="226" t="s">
        <v>1235</v>
      </c>
      <c r="C247" s="226" t="s">
        <v>963</v>
      </c>
      <c r="D247" s="226" t="s">
        <v>17</v>
      </c>
      <c r="E247" s="226" t="s">
        <v>660</v>
      </c>
      <c r="F247" s="226">
        <v>9.6627285442234326E-3</v>
      </c>
      <c r="G247" s="226">
        <v>0</v>
      </c>
    </row>
    <row r="248" spans="1:7">
      <c r="A248" s="226" t="s">
        <v>659</v>
      </c>
      <c r="B248" s="226" t="s">
        <v>1235</v>
      </c>
      <c r="C248" s="226" t="s">
        <v>963</v>
      </c>
      <c r="D248" s="226" t="s">
        <v>17</v>
      </c>
      <c r="E248" s="226" t="s">
        <v>661</v>
      </c>
      <c r="F248" s="226">
        <v>9.6627285442234326E-3</v>
      </c>
      <c r="G248" s="226">
        <v>0</v>
      </c>
    </row>
    <row r="249" spans="1:7">
      <c r="A249" s="226" t="s">
        <v>659</v>
      </c>
      <c r="B249" s="226" t="s">
        <v>1235</v>
      </c>
      <c r="C249" s="226" t="s">
        <v>963</v>
      </c>
      <c r="D249" s="226" t="s">
        <v>17</v>
      </c>
      <c r="E249" s="226" t="s">
        <v>662</v>
      </c>
      <c r="F249" s="226">
        <v>9.6627285442234326E-3</v>
      </c>
      <c r="G249" s="226">
        <v>0</v>
      </c>
    </row>
    <row r="250" spans="1:7">
      <c r="A250" s="226" t="s">
        <v>659</v>
      </c>
      <c r="B250" s="226" t="s">
        <v>1235</v>
      </c>
      <c r="C250" s="226" t="s">
        <v>963</v>
      </c>
      <c r="D250" s="226" t="s">
        <v>17</v>
      </c>
      <c r="E250" s="226" t="s">
        <v>663</v>
      </c>
      <c r="F250" s="226">
        <v>9.6627285442234326E-3</v>
      </c>
      <c r="G250" s="226">
        <v>0</v>
      </c>
    </row>
    <row r="251" spans="1:7">
      <c r="A251" s="226" t="s">
        <v>659</v>
      </c>
      <c r="B251" s="226" t="s">
        <v>1235</v>
      </c>
      <c r="C251" s="226" t="s">
        <v>963</v>
      </c>
      <c r="D251" s="226" t="s">
        <v>17</v>
      </c>
      <c r="E251" s="226" t="s">
        <v>664</v>
      </c>
      <c r="F251" s="226">
        <v>9.6627285442234326E-3</v>
      </c>
      <c r="G251" s="226">
        <v>0</v>
      </c>
    </row>
    <row r="252" spans="1:7">
      <c r="A252" s="226" t="s">
        <v>659</v>
      </c>
      <c r="B252" s="226" t="s">
        <v>1235</v>
      </c>
      <c r="C252" s="226" t="s">
        <v>963</v>
      </c>
      <c r="D252" s="226" t="s">
        <v>17</v>
      </c>
      <c r="E252" s="226" t="s">
        <v>665</v>
      </c>
      <c r="F252" s="226">
        <v>9.6627285442234326E-3</v>
      </c>
      <c r="G252" s="226">
        <v>0</v>
      </c>
    </row>
    <row r="253" spans="1:7">
      <c r="A253" s="226" t="s">
        <v>659</v>
      </c>
      <c r="B253" s="226" t="s">
        <v>1235</v>
      </c>
      <c r="C253" s="226" t="s">
        <v>963</v>
      </c>
      <c r="D253" s="226" t="s">
        <v>17</v>
      </c>
      <c r="E253" s="226" t="s">
        <v>666</v>
      </c>
      <c r="F253" s="226">
        <v>9.6627285442234326E-3</v>
      </c>
      <c r="G253" s="226">
        <v>0</v>
      </c>
    </row>
    <row r="254" spans="1:7">
      <c r="A254" s="226" t="s">
        <v>659</v>
      </c>
      <c r="B254" s="226" t="s">
        <v>1235</v>
      </c>
      <c r="C254" s="226" t="s">
        <v>963</v>
      </c>
      <c r="D254" s="226" t="s">
        <v>17</v>
      </c>
      <c r="E254" s="226" t="s">
        <v>667</v>
      </c>
      <c r="F254" s="226">
        <v>9.6627285442234326E-3</v>
      </c>
      <c r="G254" s="226">
        <v>0</v>
      </c>
    </row>
    <row r="255" spans="1:7">
      <c r="A255" s="226" t="s">
        <v>659</v>
      </c>
      <c r="B255" s="226" t="s">
        <v>1235</v>
      </c>
      <c r="C255" s="226" t="s">
        <v>626</v>
      </c>
      <c r="D255" s="226" t="s">
        <v>92</v>
      </c>
      <c r="E255" s="226" t="s">
        <v>618</v>
      </c>
      <c r="F255" s="226">
        <v>0</v>
      </c>
      <c r="G255" s="226">
        <v>0</v>
      </c>
    </row>
    <row r="256" spans="1:7">
      <c r="A256" s="226" t="s">
        <v>659</v>
      </c>
      <c r="B256" s="226" t="s">
        <v>1235</v>
      </c>
      <c r="C256" s="226" t="s">
        <v>626</v>
      </c>
      <c r="D256" s="226" t="s">
        <v>92</v>
      </c>
      <c r="E256" s="226" t="s">
        <v>619</v>
      </c>
      <c r="F256" s="226">
        <v>0</v>
      </c>
      <c r="G256" s="226">
        <v>0</v>
      </c>
    </row>
    <row r="257" spans="1:7">
      <c r="A257" s="226" t="s">
        <v>659</v>
      </c>
      <c r="B257" s="226" t="s">
        <v>1235</v>
      </c>
      <c r="C257" s="226" t="s">
        <v>626</v>
      </c>
      <c r="D257" s="226" t="s">
        <v>92</v>
      </c>
      <c r="E257" s="226" t="s">
        <v>620</v>
      </c>
      <c r="F257" s="226">
        <v>2.1195358737024351E-3</v>
      </c>
      <c r="G257" s="226">
        <v>0</v>
      </c>
    </row>
    <row r="258" spans="1:7">
      <c r="A258" s="226" t="s">
        <v>659</v>
      </c>
      <c r="B258" s="226" t="s">
        <v>1235</v>
      </c>
      <c r="C258" s="226" t="s">
        <v>626</v>
      </c>
      <c r="D258" s="226" t="s">
        <v>92</v>
      </c>
      <c r="E258" s="226" t="s">
        <v>660</v>
      </c>
      <c r="F258" s="226">
        <v>2.1195358737024351E-3</v>
      </c>
      <c r="G258" s="226">
        <v>0</v>
      </c>
    </row>
    <row r="259" spans="1:7">
      <c r="A259" s="226" t="s">
        <v>659</v>
      </c>
      <c r="B259" s="226" t="s">
        <v>1235</v>
      </c>
      <c r="C259" s="226" t="s">
        <v>626</v>
      </c>
      <c r="D259" s="226" t="s">
        <v>92</v>
      </c>
      <c r="E259" s="226" t="s">
        <v>661</v>
      </c>
      <c r="F259" s="226">
        <v>2.1195358737024351E-3</v>
      </c>
      <c r="G259" s="226">
        <v>0</v>
      </c>
    </row>
    <row r="260" spans="1:7">
      <c r="A260" s="226" t="s">
        <v>659</v>
      </c>
      <c r="B260" s="226" t="s">
        <v>1235</v>
      </c>
      <c r="C260" s="226" t="s">
        <v>626</v>
      </c>
      <c r="D260" s="226" t="s">
        <v>92</v>
      </c>
      <c r="E260" s="226" t="s">
        <v>662</v>
      </c>
      <c r="F260" s="226">
        <v>2.1195358737024351E-3</v>
      </c>
      <c r="G260" s="226">
        <v>0</v>
      </c>
    </row>
    <row r="261" spans="1:7">
      <c r="A261" s="226" t="s">
        <v>659</v>
      </c>
      <c r="B261" s="226" t="s">
        <v>1235</v>
      </c>
      <c r="C261" s="226" t="s">
        <v>626</v>
      </c>
      <c r="D261" s="226" t="s">
        <v>92</v>
      </c>
      <c r="E261" s="226" t="s">
        <v>663</v>
      </c>
      <c r="F261" s="226">
        <v>2.1195358737024351E-3</v>
      </c>
      <c r="G261" s="226">
        <v>0</v>
      </c>
    </row>
    <row r="262" spans="1:7">
      <c r="A262" s="226" t="s">
        <v>659</v>
      </c>
      <c r="B262" s="226" t="s">
        <v>1235</v>
      </c>
      <c r="C262" s="226" t="s">
        <v>626</v>
      </c>
      <c r="D262" s="226" t="s">
        <v>92</v>
      </c>
      <c r="E262" s="226" t="s">
        <v>664</v>
      </c>
      <c r="F262" s="226">
        <v>2.1195358737024351E-3</v>
      </c>
      <c r="G262" s="226">
        <v>0</v>
      </c>
    </row>
    <row r="263" spans="1:7">
      <c r="A263" s="226" t="s">
        <v>659</v>
      </c>
      <c r="B263" s="226" t="s">
        <v>1235</v>
      </c>
      <c r="C263" s="226" t="s">
        <v>626</v>
      </c>
      <c r="D263" s="226" t="s">
        <v>92</v>
      </c>
      <c r="E263" s="226" t="s">
        <v>665</v>
      </c>
      <c r="F263" s="226">
        <v>2.1195358737024351E-3</v>
      </c>
      <c r="G263" s="226">
        <v>0</v>
      </c>
    </row>
    <row r="264" spans="1:7">
      <c r="A264" s="226" t="s">
        <v>659</v>
      </c>
      <c r="B264" s="226" t="s">
        <v>1235</v>
      </c>
      <c r="C264" s="226" t="s">
        <v>626</v>
      </c>
      <c r="D264" s="226" t="s">
        <v>92</v>
      </c>
      <c r="E264" s="226" t="s">
        <v>666</v>
      </c>
      <c r="F264" s="226">
        <v>2.1195358737024351E-3</v>
      </c>
      <c r="G264" s="226">
        <v>0</v>
      </c>
    </row>
    <row r="265" spans="1:7">
      <c r="A265" s="226" t="s">
        <v>659</v>
      </c>
      <c r="B265" s="226" t="s">
        <v>1235</v>
      </c>
      <c r="C265" s="226" t="s">
        <v>626</v>
      </c>
      <c r="D265" s="226" t="s">
        <v>92</v>
      </c>
      <c r="E265" s="226" t="s">
        <v>667</v>
      </c>
      <c r="F265" s="226">
        <v>2.1195358737024351E-3</v>
      </c>
      <c r="G265" s="226">
        <v>0</v>
      </c>
    </row>
    <row r="266" spans="1:7">
      <c r="A266" s="226" t="s">
        <v>659</v>
      </c>
      <c r="B266" s="226" t="s">
        <v>1235</v>
      </c>
      <c r="C266" s="226" t="s">
        <v>625</v>
      </c>
      <c r="D266" s="226" t="s">
        <v>93</v>
      </c>
      <c r="E266" s="226" t="s">
        <v>618</v>
      </c>
      <c r="F266" s="226">
        <v>0</v>
      </c>
      <c r="G266" s="226">
        <v>0</v>
      </c>
    </row>
    <row r="267" spans="1:7">
      <c r="A267" s="226" t="s">
        <v>659</v>
      </c>
      <c r="B267" s="226" t="s">
        <v>1235</v>
      </c>
      <c r="C267" s="226" t="s">
        <v>625</v>
      </c>
      <c r="D267" s="226" t="s">
        <v>93</v>
      </c>
      <c r="E267" s="226" t="s">
        <v>619</v>
      </c>
      <c r="F267" s="226">
        <v>0</v>
      </c>
      <c r="G267" s="226">
        <v>0</v>
      </c>
    </row>
    <row r="268" spans="1:7">
      <c r="A268" s="226" t="s">
        <v>659</v>
      </c>
      <c r="B268" s="226" t="s">
        <v>1235</v>
      </c>
      <c r="C268" s="226" t="s">
        <v>625</v>
      </c>
      <c r="D268" s="226" t="s">
        <v>93</v>
      </c>
      <c r="E268" s="226" t="s">
        <v>620</v>
      </c>
      <c r="F268" s="226">
        <v>6.8432500343340016E-2</v>
      </c>
      <c r="G268" s="226">
        <v>0</v>
      </c>
    </row>
    <row r="269" spans="1:7">
      <c r="A269" s="226" t="s">
        <v>659</v>
      </c>
      <c r="B269" s="226" t="s">
        <v>1235</v>
      </c>
      <c r="C269" s="226" t="s">
        <v>625</v>
      </c>
      <c r="D269" s="226" t="s">
        <v>93</v>
      </c>
      <c r="E269" s="226" t="s">
        <v>660</v>
      </c>
      <c r="F269" s="226">
        <v>6.8432500343340016E-2</v>
      </c>
      <c r="G269" s="226">
        <v>0</v>
      </c>
    </row>
    <row r="270" spans="1:7">
      <c r="A270" s="226" t="s">
        <v>659</v>
      </c>
      <c r="B270" s="226" t="s">
        <v>1235</v>
      </c>
      <c r="C270" s="226" t="s">
        <v>625</v>
      </c>
      <c r="D270" s="226" t="s">
        <v>93</v>
      </c>
      <c r="E270" s="226" t="s">
        <v>661</v>
      </c>
      <c r="F270" s="226">
        <v>6.8432500343340016E-2</v>
      </c>
      <c r="G270" s="226">
        <v>0</v>
      </c>
    </row>
    <row r="271" spans="1:7">
      <c r="A271" s="226" t="s">
        <v>659</v>
      </c>
      <c r="B271" s="226" t="s">
        <v>1235</v>
      </c>
      <c r="C271" s="226" t="s">
        <v>625</v>
      </c>
      <c r="D271" s="226" t="s">
        <v>93</v>
      </c>
      <c r="E271" s="226" t="s">
        <v>662</v>
      </c>
      <c r="F271" s="226">
        <v>6.8432500343340016E-2</v>
      </c>
      <c r="G271" s="226">
        <v>0</v>
      </c>
    </row>
    <row r="272" spans="1:7">
      <c r="A272" s="226" t="s">
        <v>659</v>
      </c>
      <c r="B272" s="226" t="s">
        <v>1235</v>
      </c>
      <c r="C272" s="226" t="s">
        <v>625</v>
      </c>
      <c r="D272" s="226" t="s">
        <v>93</v>
      </c>
      <c r="E272" s="226" t="s">
        <v>663</v>
      </c>
      <c r="F272" s="226">
        <v>6.8432500343340016E-2</v>
      </c>
      <c r="G272" s="226">
        <v>0</v>
      </c>
    </row>
    <row r="273" spans="1:7">
      <c r="A273" s="226" t="s">
        <v>659</v>
      </c>
      <c r="B273" s="226" t="s">
        <v>1235</v>
      </c>
      <c r="C273" s="226" t="s">
        <v>625</v>
      </c>
      <c r="D273" s="226" t="s">
        <v>93</v>
      </c>
      <c r="E273" s="226" t="s">
        <v>664</v>
      </c>
      <c r="F273" s="226">
        <v>6.8432500343340016E-2</v>
      </c>
      <c r="G273" s="226">
        <v>0</v>
      </c>
    </row>
    <row r="274" spans="1:7">
      <c r="A274" s="226" t="s">
        <v>659</v>
      </c>
      <c r="B274" s="226" t="s">
        <v>1235</v>
      </c>
      <c r="C274" s="226" t="s">
        <v>625</v>
      </c>
      <c r="D274" s="226" t="s">
        <v>93</v>
      </c>
      <c r="E274" s="226" t="s">
        <v>665</v>
      </c>
      <c r="F274" s="226">
        <v>6.8432500343340016E-2</v>
      </c>
      <c r="G274" s="226">
        <v>0</v>
      </c>
    </row>
    <row r="275" spans="1:7">
      <c r="A275" s="226" t="s">
        <v>659</v>
      </c>
      <c r="B275" s="226" t="s">
        <v>1235</v>
      </c>
      <c r="C275" s="226" t="s">
        <v>625</v>
      </c>
      <c r="D275" s="226" t="s">
        <v>93</v>
      </c>
      <c r="E275" s="226" t="s">
        <v>666</v>
      </c>
      <c r="F275" s="226">
        <v>6.8432500343340016E-2</v>
      </c>
      <c r="G275" s="226">
        <v>0</v>
      </c>
    </row>
    <row r="276" spans="1:7">
      <c r="A276" s="226" t="s">
        <v>659</v>
      </c>
      <c r="B276" s="226" t="s">
        <v>1235</v>
      </c>
      <c r="C276" s="226" t="s">
        <v>625</v>
      </c>
      <c r="D276" s="226" t="s">
        <v>93</v>
      </c>
      <c r="E276" s="226" t="s">
        <v>667</v>
      </c>
      <c r="F276" s="226">
        <v>6.8432500343340016E-2</v>
      </c>
      <c r="G276" s="226">
        <v>0</v>
      </c>
    </row>
    <row r="277" spans="1:7">
      <c r="A277" s="226" t="s">
        <v>1243</v>
      </c>
      <c r="B277" s="226" t="s">
        <v>1235</v>
      </c>
      <c r="C277" s="226" t="s">
        <v>627</v>
      </c>
      <c r="D277" s="226" t="s">
        <v>14</v>
      </c>
      <c r="E277" s="226" t="s">
        <v>618</v>
      </c>
      <c r="F277" s="226">
        <v>0</v>
      </c>
      <c r="G277" s="226">
        <v>0</v>
      </c>
    </row>
    <row r="278" spans="1:7">
      <c r="A278" s="226" t="s">
        <v>1243</v>
      </c>
      <c r="B278" s="226" t="s">
        <v>1235</v>
      </c>
      <c r="C278" s="226" t="s">
        <v>627</v>
      </c>
      <c r="D278" s="226" t="s">
        <v>14</v>
      </c>
      <c r="E278" s="226" t="s">
        <v>619</v>
      </c>
      <c r="F278" s="226">
        <v>0</v>
      </c>
      <c r="G278" s="226">
        <v>0</v>
      </c>
    </row>
    <row r="279" spans="1:7">
      <c r="A279" s="226" t="s">
        <v>1243</v>
      </c>
      <c r="B279" s="226" t="s">
        <v>1235</v>
      </c>
      <c r="C279" s="226" t="s">
        <v>627</v>
      </c>
      <c r="D279" s="226" t="s">
        <v>14</v>
      </c>
      <c r="E279" s="226" t="s">
        <v>620</v>
      </c>
      <c r="F279" s="226">
        <v>0.47391204595451247</v>
      </c>
      <c r="G279" s="226">
        <v>0</v>
      </c>
    </row>
    <row r="280" spans="1:7">
      <c r="A280" s="226" t="s">
        <v>1243</v>
      </c>
      <c r="B280" s="226" t="s">
        <v>1235</v>
      </c>
      <c r="C280" s="226" t="s">
        <v>627</v>
      </c>
      <c r="D280" s="226" t="s">
        <v>14</v>
      </c>
      <c r="E280" s="226" t="s">
        <v>660</v>
      </c>
      <c r="F280" s="226">
        <v>0.47391204595451247</v>
      </c>
      <c r="G280" s="226">
        <v>0</v>
      </c>
    </row>
    <row r="281" spans="1:7">
      <c r="A281" s="226" t="s">
        <v>1243</v>
      </c>
      <c r="B281" s="226" t="s">
        <v>1235</v>
      </c>
      <c r="C281" s="226" t="s">
        <v>627</v>
      </c>
      <c r="D281" s="226" t="s">
        <v>14</v>
      </c>
      <c r="E281" s="226" t="s">
        <v>661</v>
      </c>
      <c r="F281" s="226">
        <v>0.47391204595451247</v>
      </c>
      <c r="G281" s="226">
        <v>0</v>
      </c>
    </row>
    <row r="282" spans="1:7">
      <c r="A282" s="226" t="s">
        <v>1243</v>
      </c>
      <c r="B282" s="226" t="s">
        <v>1235</v>
      </c>
      <c r="C282" s="226" t="s">
        <v>627</v>
      </c>
      <c r="D282" s="226" t="s">
        <v>14</v>
      </c>
      <c r="E282" s="226" t="s">
        <v>662</v>
      </c>
      <c r="F282" s="226">
        <v>0.47391204595451247</v>
      </c>
      <c r="G282" s="226">
        <v>0</v>
      </c>
    </row>
    <row r="283" spans="1:7">
      <c r="A283" s="226" t="s">
        <v>1243</v>
      </c>
      <c r="B283" s="226" t="s">
        <v>1235</v>
      </c>
      <c r="C283" s="226" t="s">
        <v>627</v>
      </c>
      <c r="D283" s="226" t="s">
        <v>14</v>
      </c>
      <c r="E283" s="226" t="s">
        <v>663</v>
      </c>
      <c r="F283" s="226">
        <v>0.47391204595451247</v>
      </c>
      <c r="G283" s="226">
        <v>0</v>
      </c>
    </row>
    <row r="284" spans="1:7">
      <c r="A284" s="226" t="s">
        <v>1243</v>
      </c>
      <c r="B284" s="226" t="s">
        <v>1235</v>
      </c>
      <c r="C284" s="226" t="s">
        <v>627</v>
      </c>
      <c r="D284" s="226" t="s">
        <v>14</v>
      </c>
      <c r="E284" s="226" t="s">
        <v>664</v>
      </c>
      <c r="F284" s="226">
        <v>0.47391204595451247</v>
      </c>
      <c r="G284" s="226">
        <v>0</v>
      </c>
    </row>
    <row r="285" spans="1:7">
      <c r="A285" s="226" t="s">
        <v>1243</v>
      </c>
      <c r="B285" s="226" t="s">
        <v>1235</v>
      </c>
      <c r="C285" s="226" t="s">
        <v>627</v>
      </c>
      <c r="D285" s="226" t="s">
        <v>14</v>
      </c>
      <c r="E285" s="226" t="s">
        <v>665</v>
      </c>
      <c r="F285" s="226">
        <v>0.47391204595451247</v>
      </c>
      <c r="G285" s="226">
        <v>0</v>
      </c>
    </row>
    <row r="286" spans="1:7">
      <c r="A286" s="226" t="s">
        <v>1243</v>
      </c>
      <c r="B286" s="226" t="s">
        <v>1235</v>
      </c>
      <c r="C286" s="226" t="s">
        <v>627</v>
      </c>
      <c r="D286" s="226" t="s">
        <v>14</v>
      </c>
      <c r="E286" s="226" t="s">
        <v>666</v>
      </c>
      <c r="F286" s="226">
        <v>0.47391204595451247</v>
      </c>
      <c r="G286" s="226">
        <v>0</v>
      </c>
    </row>
    <row r="287" spans="1:7">
      <c r="A287" s="226" t="s">
        <v>1243</v>
      </c>
      <c r="B287" s="226" t="s">
        <v>1235</v>
      </c>
      <c r="C287" s="226" t="s">
        <v>627</v>
      </c>
      <c r="D287" s="226" t="s">
        <v>14</v>
      </c>
      <c r="E287" s="226" t="s">
        <v>667</v>
      </c>
      <c r="F287" s="226">
        <v>0.47391204595451247</v>
      </c>
      <c r="G287" s="226">
        <v>0</v>
      </c>
    </row>
    <row r="288" spans="1:7">
      <c r="A288" s="226" t="s">
        <v>1243</v>
      </c>
      <c r="B288" s="226" t="s">
        <v>1235</v>
      </c>
      <c r="C288" s="226" t="s">
        <v>630</v>
      </c>
      <c r="D288" s="226" t="s">
        <v>29</v>
      </c>
      <c r="E288" s="226" t="s">
        <v>618</v>
      </c>
      <c r="F288" s="226">
        <v>0</v>
      </c>
      <c r="G288" s="226">
        <v>0</v>
      </c>
    </row>
    <row r="289" spans="1:7">
      <c r="A289" s="226" t="s">
        <v>1243</v>
      </c>
      <c r="B289" s="226" t="s">
        <v>1235</v>
      </c>
      <c r="C289" s="226" t="s">
        <v>630</v>
      </c>
      <c r="D289" s="226" t="s">
        <v>29</v>
      </c>
      <c r="E289" s="226" t="s">
        <v>619</v>
      </c>
      <c r="F289" s="226">
        <v>0</v>
      </c>
      <c r="G289" s="226">
        <v>0</v>
      </c>
    </row>
    <row r="290" spans="1:7">
      <c r="A290" s="226" t="s">
        <v>1243</v>
      </c>
      <c r="B290" s="226" t="s">
        <v>1235</v>
      </c>
      <c r="C290" s="226" t="s">
        <v>630</v>
      </c>
      <c r="D290" s="226" t="s">
        <v>29</v>
      </c>
      <c r="E290" s="226" t="s">
        <v>620</v>
      </c>
      <c r="F290" s="226">
        <v>9.4162612279624053E-2</v>
      </c>
      <c r="G290" s="226">
        <v>0</v>
      </c>
    </row>
    <row r="291" spans="1:7">
      <c r="A291" s="226" t="s">
        <v>1243</v>
      </c>
      <c r="B291" s="226" t="s">
        <v>1235</v>
      </c>
      <c r="C291" s="226" t="s">
        <v>630</v>
      </c>
      <c r="D291" s="226" t="s">
        <v>29</v>
      </c>
      <c r="E291" s="226" t="s">
        <v>660</v>
      </c>
      <c r="F291" s="226">
        <v>9.4162612279624053E-2</v>
      </c>
      <c r="G291" s="226">
        <v>0</v>
      </c>
    </row>
    <row r="292" spans="1:7">
      <c r="A292" s="226" t="s">
        <v>1243</v>
      </c>
      <c r="B292" s="226" t="s">
        <v>1235</v>
      </c>
      <c r="C292" s="226" t="s">
        <v>630</v>
      </c>
      <c r="D292" s="226" t="s">
        <v>90</v>
      </c>
      <c r="E292" s="226" t="s">
        <v>618</v>
      </c>
      <c r="F292" s="226">
        <v>0</v>
      </c>
      <c r="G292" s="226">
        <v>0</v>
      </c>
    </row>
    <row r="293" spans="1:7">
      <c r="A293" s="226" t="s">
        <v>1243</v>
      </c>
      <c r="B293" s="226" t="s">
        <v>1235</v>
      </c>
      <c r="C293" s="226" t="s">
        <v>630</v>
      </c>
      <c r="D293" s="226" t="s">
        <v>90</v>
      </c>
      <c r="E293" s="226" t="s">
        <v>619</v>
      </c>
      <c r="F293" s="226">
        <v>0</v>
      </c>
      <c r="G293" s="226">
        <v>0</v>
      </c>
    </row>
    <row r="294" spans="1:7">
      <c r="A294" s="226" t="s">
        <v>1243</v>
      </c>
      <c r="B294" s="226" t="s">
        <v>1235</v>
      </c>
      <c r="C294" s="226" t="s">
        <v>630</v>
      </c>
      <c r="D294" s="226" t="s">
        <v>90</v>
      </c>
      <c r="E294" s="226" t="s">
        <v>620</v>
      </c>
      <c r="F294" s="226">
        <v>0.10524239309730378</v>
      </c>
      <c r="G294" s="226">
        <v>0</v>
      </c>
    </row>
    <row r="295" spans="1:7">
      <c r="A295" s="226" t="s">
        <v>1243</v>
      </c>
      <c r="B295" s="226" t="s">
        <v>1235</v>
      </c>
      <c r="C295" s="226" t="s">
        <v>630</v>
      </c>
      <c r="D295" s="226" t="s">
        <v>90</v>
      </c>
      <c r="E295" s="226" t="s">
        <v>660</v>
      </c>
      <c r="F295" s="226">
        <v>0.10524239309730378</v>
      </c>
      <c r="G295" s="226">
        <v>0</v>
      </c>
    </row>
    <row r="296" spans="1:7">
      <c r="A296" s="226" t="s">
        <v>1243</v>
      </c>
      <c r="B296" s="226" t="s">
        <v>1235</v>
      </c>
      <c r="C296" s="226" t="s">
        <v>630</v>
      </c>
      <c r="D296" s="226" t="s">
        <v>90</v>
      </c>
      <c r="E296" s="226" t="s">
        <v>661</v>
      </c>
      <c r="F296" s="226">
        <v>0.10524239309730378</v>
      </c>
      <c r="G296" s="226">
        <v>0</v>
      </c>
    </row>
    <row r="297" spans="1:7">
      <c r="A297" s="226" t="s">
        <v>1243</v>
      </c>
      <c r="B297" s="226" t="s">
        <v>1235</v>
      </c>
      <c r="C297" s="226" t="s">
        <v>630</v>
      </c>
      <c r="D297" s="226" t="s">
        <v>90</v>
      </c>
      <c r="E297" s="226" t="s">
        <v>662</v>
      </c>
      <c r="F297" s="226">
        <v>0.10524239309730378</v>
      </c>
      <c r="G297" s="226">
        <v>0</v>
      </c>
    </row>
    <row r="298" spans="1:7">
      <c r="A298" s="226" t="s">
        <v>1243</v>
      </c>
      <c r="B298" s="226" t="s">
        <v>1235</v>
      </c>
      <c r="C298" s="226" t="s">
        <v>630</v>
      </c>
      <c r="D298" s="226" t="s">
        <v>90</v>
      </c>
      <c r="E298" s="226" t="s">
        <v>663</v>
      </c>
      <c r="F298" s="226">
        <v>0.10524239309730378</v>
      </c>
      <c r="G298" s="226">
        <v>0</v>
      </c>
    </row>
    <row r="299" spans="1:7">
      <c r="A299" s="226" t="s">
        <v>1243</v>
      </c>
      <c r="B299" s="226" t="s">
        <v>1235</v>
      </c>
      <c r="C299" s="226" t="s">
        <v>630</v>
      </c>
      <c r="D299" s="226" t="s">
        <v>90</v>
      </c>
      <c r="E299" s="226" t="s">
        <v>664</v>
      </c>
      <c r="F299" s="226">
        <v>0.10524239309730378</v>
      </c>
      <c r="G299" s="226">
        <v>0</v>
      </c>
    </row>
    <row r="300" spans="1:7">
      <c r="A300" s="226" t="s">
        <v>1243</v>
      </c>
      <c r="B300" s="226" t="s">
        <v>1235</v>
      </c>
      <c r="C300" s="226" t="s">
        <v>630</v>
      </c>
      <c r="D300" s="226" t="s">
        <v>90</v>
      </c>
      <c r="E300" s="226" t="s">
        <v>665</v>
      </c>
      <c r="F300" s="226">
        <v>0.10524239309730378</v>
      </c>
      <c r="G300" s="226">
        <v>0</v>
      </c>
    </row>
    <row r="301" spans="1:7">
      <c r="A301" s="226" t="s">
        <v>1243</v>
      </c>
      <c r="B301" s="226" t="s">
        <v>1235</v>
      </c>
      <c r="C301" s="226" t="s">
        <v>630</v>
      </c>
      <c r="D301" s="226" t="s">
        <v>90</v>
      </c>
      <c r="E301" s="226" t="s">
        <v>666</v>
      </c>
      <c r="F301" s="226">
        <v>0.10524239309730378</v>
      </c>
      <c r="G301" s="226">
        <v>0</v>
      </c>
    </row>
    <row r="302" spans="1:7">
      <c r="A302" s="226" t="s">
        <v>1243</v>
      </c>
      <c r="B302" s="226" t="s">
        <v>1235</v>
      </c>
      <c r="C302" s="226" t="s">
        <v>630</v>
      </c>
      <c r="D302" s="226" t="s">
        <v>90</v>
      </c>
      <c r="E302" s="226" t="s">
        <v>667</v>
      </c>
      <c r="F302" s="226">
        <v>0.10524239309730378</v>
      </c>
      <c r="G302" s="226">
        <v>0</v>
      </c>
    </row>
    <row r="303" spans="1:7">
      <c r="A303" s="226" t="s">
        <v>1243</v>
      </c>
      <c r="B303" s="226" t="s">
        <v>1235</v>
      </c>
      <c r="C303" s="226" t="s">
        <v>630</v>
      </c>
      <c r="D303" s="226" t="s">
        <v>29</v>
      </c>
      <c r="E303" s="226" t="s">
        <v>661</v>
      </c>
      <c r="F303" s="226">
        <v>9.4162612279624053E-2</v>
      </c>
      <c r="G303" s="226">
        <v>0</v>
      </c>
    </row>
    <row r="304" spans="1:7">
      <c r="A304" s="226" t="s">
        <v>1243</v>
      </c>
      <c r="B304" s="226" t="s">
        <v>1235</v>
      </c>
      <c r="C304" s="226" t="s">
        <v>630</v>
      </c>
      <c r="D304" s="226" t="s">
        <v>29</v>
      </c>
      <c r="E304" s="226" t="s">
        <v>662</v>
      </c>
      <c r="F304" s="226">
        <v>9.4162612279624053E-2</v>
      </c>
      <c r="G304" s="226">
        <v>0</v>
      </c>
    </row>
    <row r="305" spans="1:7">
      <c r="A305" s="226" t="s">
        <v>1243</v>
      </c>
      <c r="B305" s="226" t="s">
        <v>1235</v>
      </c>
      <c r="C305" s="226" t="s">
        <v>630</v>
      </c>
      <c r="D305" s="226" t="s">
        <v>29</v>
      </c>
      <c r="E305" s="226" t="s">
        <v>663</v>
      </c>
      <c r="F305" s="226">
        <v>9.4162612279624053E-2</v>
      </c>
      <c r="G305" s="226">
        <v>0</v>
      </c>
    </row>
    <row r="306" spans="1:7">
      <c r="A306" s="226" t="s">
        <v>1243</v>
      </c>
      <c r="B306" s="226" t="s">
        <v>1235</v>
      </c>
      <c r="C306" s="226" t="s">
        <v>630</v>
      </c>
      <c r="D306" s="226" t="s">
        <v>29</v>
      </c>
      <c r="E306" s="226" t="s">
        <v>664</v>
      </c>
      <c r="F306" s="226">
        <v>9.4162612279624053E-2</v>
      </c>
      <c r="G306" s="226">
        <v>0</v>
      </c>
    </row>
    <row r="307" spans="1:7">
      <c r="A307" s="226" t="s">
        <v>1243</v>
      </c>
      <c r="B307" s="226" t="s">
        <v>1235</v>
      </c>
      <c r="C307" s="226" t="s">
        <v>630</v>
      </c>
      <c r="D307" s="226" t="s">
        <v>29</v>
      </c>
      <c r="E307" s="226" t="s">
        <v>665</v>
      </c>
      <c r="F307" s="226">
        <v>9.4162612279624053E-2</v>
      </c>
      <c r="G307" s="226">
        <v>0</v>
      </c>
    </row>
    <row r="308" spans="1:7">
      <c r="A308" s="226" t="s">
        <v>1243</v>
      </c>
      <c r="B308" s="226" t="s">
        <v>1235</v>
      </c>
      <c r="C308" s="226" t="s">
        <v>630</v>
      </c>
      <c r="D308" s="226" t="s">
        <v>29</v>
      </c>
      <c r="E308" s="226" t="s">
        <v>666</v>
      </c>
      <c r="F308" s="226">
        <v>9.4162612279624053E-2</v>
      </c>
      <c r="G308" s="226">
        <v>0</v>
      </c>
    </row>
    <row r="309" spans="1:7">
      <c r="A309" s="226" t="s">
        <v>1243</v>
      </c>
      <c r="B309" s="226" t="s">
        <v>1235</v>
      </c>
      <c r="C309" s="226" t="s">
        <v>630</v>
      </c>
      <c r="D309" s="226" t="s">
        <v>29</v>
      </c>
      <c r="E309" s="226" t="s">
        <v>667</v>
      </c>
      <c r="F309" s="226">
        <v>9.4162612279624053E-2</v>
      </c>
      <c r="G309" s="226">
        <v>0</v>
      </c>
    </row>
    <row r="310" spans="1:7">
      <c r="A310" s="226" t="s">
        <v>1243</v>
      </c>
      <c r="B310" s="226" t="s">
        <v>1235</v>
      </c>
      <c r="C310" s="226" t="s">
        <v>963</v>
      </c>
      <c r="D310" s="226" t="s">
        <v>19</v>
      </c>
      <c r="E310" s="226" t="s">
        <v>618</v>
      </c>
      <c r="F310" s="226">
        <v>0</v>
      </c>
      <c r="G310" s="226">
        <v>0</v>
      </c>
    </row>
    <row r="311" spans="1:7">
      <c r="A311" s="226" t="s">
        <v>1243</v>
      </c>
      <c r="B311" s="226" t="s">
        <v>1235</v>
      </c>
      <c r="C311" s="226" t="s">
        <v>963</v>
      </c>
      <c r="D311" s="226" t="s">
        <v>19</v>
      </c>
      <c r="E311" s="226" t="s">
        <v>619</v>
      </c>
      <c r="F311" s="226">
        <v>0</v>
      </c>
      <c r="G311" s="226">
        <v>0</v>
      </c>
    </row>
    <row r="312" spans="1:7">
      <c r="A312" s="226" t="s">
        <v>1243</v>
      </c>
      <c r="B312" s="226" t="s">
        <v>1235</v>
      </c>
      <c r="C312" s="226" t="s">
        <v>963</v>
      </c>
      <c r="D312" s="226" t="s">
        <v>19</v>
      </c>
      <c r="E312" s="226" t="s">
        <v>620</v>
      </c>
      <c r="F312" s="226">
        <v>3.8620174709251731E-3</v>
      </c>
      <c r="G312" s="226">
        <v>0</v>
      </c>
    </row>
    <row r="313" spans="1:7">
      <c r="A313" s="226" t="s">
        <v>1243</v>
      </c>
      <c r="B313" s="226" t="s">
        <v>1235</v>
      </c>
      <c r="C313" s="226" t="s">
        <v>963</v>
      </c>
      <c r="D313" s="226" t="s">
        <v>19</v>
      </c>
      <c r="E313" s="226" t="s">
        <v>660</v>
      </c>
      <c r="F313" s="226">
        <v>3.8620174709251731E-3</v>
      </c>
      <c r="G313" s="226">
        <v>0</v>
      </c>
    </row>
    <row r="314" spans="1:7">
      <c r="A314" s="226" t="s">
        <v>1243</v>
      </c>
      <c r="B314" s="226" t="s">
        <v>1235</v>
      </c>
      <c r="C314" s="226" t="s">
        <v>963</v>
      </c>
      <c r="D314" s="226" t="s">
        <v>19</v>
      </c>
      <c r="E314" s="226" t="s">
        <v>661</v>
      </c>
      <c r="F314" s="226">
        <v>3.8620174709251731E-3</v>
      </c>
      <c r="G314" s="226">
        <v>0</v>
      </c>
    </row>
    <row r="315" spans="1:7">
      <c r="A315" s="226" t="s">
        <v>1243</v>
      </c>
      <c r="B315" s="226" t="s">
        <v>1235</v>
      </c>
      <c r="C315" s="226" t="s">
        <v>963</v>
      </c>
      <c r="D315" s="226" t="s">
        <v>19</v>
      </c>
      <c r="E315" s="226" t="s">
        <v>662</v>
      </c>
      <c r="F315" s="226">
        <v>3.8620174709251731E-3</v>
      </c>
      <c r="G315" s="226">
        <v>0</v>
      </c>
    </row>
    <row r="316" spans="1:7">
      <c r="A316" s="226" t="s">
        <v>1243</v>
      </c>
      <c r="B316" s="226" t="s">
        <v>1235</v>
      </c>
      <c r="C316" s="226" t="s">
        <v>963</v>
      </c>
      <c r="D316" s="226" t="s">
        <v>19</v>
      </c>
      <c r="E316" s="226" t="s">
        <v>663</v>
      </c>
      <c r="F316" s="226">
        <v>3.8620174709251731E-3</v>
      </c>
      <c r="G316" s="226">
        <v>0</v>
      </c>
    </row>
    <row r="317" spans="1:7">
      <c r="A317" s="226" t="s">
        <v>1243</v>
      </c>
      <c r="B317" s="226" t="s">
        <v>1235</v>
      </c>
      <c r="C317" s="226" t="s">
        <v>963</v>
      </c>
      <c r="D317" s="226" t="s">
        <v>19</v>
      </c>
      <c r="E317" s="226" t="s">
        <v>664</v>
      </c>
      <c r="F317" s="226">
        <v>3.8620174709251731E-3</v>
      </c>
      <c r="G317" s="226">
        <v>0</v>
      </c>
    </row>
    <row r="318" spans="1:7">
      <c r="A318" s="226" t="s">
        <v>1243</v>
      </c>
      <c r="B318" s="226" t="s">
        <v>1235</v>
      </c>
      <c r="C318" s="226" t="s">
        <v>963</v>
      </c>
      <c r="D318" s="226" t="s">
        <v>19</v>
      </c>
      <c r="E318" s="226" t="s">
        <v>665</v>
      </c>
      <c r="F318" s="226">
        <v>3.8620174709251731E-3</v>
      </c>
      <c r="G318" s="226">
        <v>0</v>
      </c>
    </row>
    <row r="319" spans="1:7">
      <c r="A319" s="226" t="s">
        <v>1243</v>
      </c>
      <c r="B319" s="226" t="s">
        <v>1235</v>
      </c>
      <c r="C319" s="226" t="s">
        <v>963</v>
      </c>
      <c r="D319" s="226" t="s">
        <v>19</v>
      </c>
      <c r="E319" s="226" t="s">
        <v>666</v>
      </c>
      <c r="F319" s="226">
        <v>3.8620174709251731E-3</v>
      </c>
      <c r="G319" s="226">
        <v>0</v>
      </c>
    </row>
    <row r="320" spans="1:7">
      <c r="A320" s="226" t="s">
        <v>1243</v>
      </c>
      <c r="B320" s="226" t="s">
        <v>1235</v>
      </c>
      <c r="C320" s="226" t="s">
        <v>963</v>
      </c>
      <c r="D320" s="226" t="s">
        <v>19</v>
      </c>
      <c r="E320" s="226" t="s">
        <v>667</v>
      </c>
      <c r="F320" s="226">
        <v>3.8620174709251731E-3</v>
      </c>
      <c r="G320" s="226">
        <v>0</v>
      </c>
    </row>
    <row r="321" spans="1:7">
      <c r="A321" s="226" t="s">
        <v>1243</v>
      </c>
      <c r="B321" s="226" t="s">
        <v>1235</v>
      </c>
      <c r="C321" s="226" t="s">
        <v>626</v>
      </c>
      <c r="D321" s="226" t="s">
        <v>18</v>
      </c>
      <c r="E321" s="226" t="s">
        <v>618</v>
      </c>
      <c r="F321" s="226">
        <v>0</v>
      </c>
      <c r="G321" s="226">
        <v>0</v>
      </c>
    </row>
    <row r="322" spans="1:7">
      <c r="A322" s="226" t="s">
        <v>1243</v>
      </c>
      <c r="B322" s="226" t="s">
        <v>1235</v>
      </c>
      <c r="C322" s="226" t="s">
        <v>626</v>
      </c>
      <c r="D322" s="226" t="s">
        <v>18</v>
      </c>
      <c r="E322" s="226" t="s">
        <v>619</v>
      </c>
      <c r="F322" s="226">
        <v>0</v>
      </c>
      <c r="G322" s="226">
        <v>0</v>
      </c>
    </row>
    <row r="323" spans="1:7">
      <c r="A323" s="226" t="s">
        <v>1243</v>
      </c>
      <c r="B323" s="226" t="s">
        <v>1235</v>
      </c>
      <c r="C323" s="226" t="s">
        <v>626</v>
      </c>
      <c r="D323" s="226" t="s">
        <v>18</v>
      </c>
      <c r="E323" s="226" t="s">
        <v>620</v>
      </c>
      <c r="F323" s="226">
        <v>8.5034291859346096E-3</v>
      </c>
      <c r="G323" s="226">
        <v>0</v>
      </c>
    </row>
    <row r="324" spans="1:7">
      <c r="A324" s="226" t="s">
        <v>1243</v>
      </c>
      <c r="B324" s="226" t="s">
        <v>1235</v>
      </c>
      <c r="C324" s="226" t="s">
        <v>626</v>
      </c>
      <c r="D324" s="226" t="s">
        <v>18</v>
      </c>
      <c r="E324" s="226" t="s">
        <v>660</v>
      </c>
      <c r="F324" s="226">
        <v>8.5034291859346096E-3</v>
      </c>
      <c r="G324" s="226">
        <v>0</v>
      </c>
    </row>
    <row r="325" spans="1:7">
      <c r="A325" s="226" t="s">
        <v>1243</v>
      </c>
      <c r="B325" s="226" t="s">
        <v>1235</v>
      </c>
      <c r="C325" s="226" t="s">
        <v>626</v>
      </c>
      <c r="D325" s="226" t="s">
        <v>18</v>
      </c>
      <c r="E325" s="226" t="s">
        <v>661</v>
      </c>
      <c r="F325" s="226">
        <v>8.5034291859346096E-3</v>
      </c>
      <c r="G325" s="226">
        <v>0</v>
      </c>
    </row>
    <row r="326" spans="1:7">
      <c r="A326" s="226" t="s">
        <v>1243</v>
      </c>
      <c r="B326" s="226" t="s">
        <v>1235</v>
      </c>
      <c r="C326" s="226" t="s">
        <v>626</v>
      </c>
      <c r="D326" s="226" t="s">
        <v>18</v>
      </c>
      <c r="E326" s="226" t="s">
        <v>662</v>
      </c>
      <c r="F326" s="226">
        <v>8.5034291859346096E-3</v>
      </c>
      <c r="G326" s="226">
        <v>0</v>
      </c>
    </row>
    <row r="327" spans="1:7">
      <c r="A327" s="226" t="s">
        <v>1243</v>
      </c>
      <c r="B327" s="226" t="s">
        <v>1235</v>
      </c>
      <c r="C327" s="226" t="s">
        <v>626</v>
      </c>
      <c r="D327" s="226" t="s">
        <v>18</v>
      </c>
      <c r="E327" s="226" t="s">
        <v>663</v>
      </c>
      <c r="F327" s="226">
        <v>8.5034291859346096E-3</v>
      </c>
      <c r="G327" s="226">
        <v>0</v>
      </c>
    </row>
    <row r="328" spans="1:7">
      <c r="A328" s="226" t="s">
        <v>1243</v>
      </c>
      <c r="B328" s="226" t="s">
        <v>1235</v>
      </c>
      <c r="C328" s="226" t="s">
        <v>626</v>
      </c>
      <c r="D328" s="226" t="s">
        <v>18</v>
      </c>
      <c r="E328" s="226" t="s">
        <v>664</v>
      </c>
      <c r="F328" s="226">
        <v>8.5034291859346096E-3</v>
      </c>
      <c r="G328" s="226">
        <v>0</v>
      </c>
    </row>
    <row r="329" spans="1:7">
      <c r="A329" s="226" t="s">
        <v>1243</v>
      </c>
      <c r="B329" s="226" t="s">
        <v>1235</v>
      </c>
      <c r="C329" s="226" t="s">
        <v>626</v>
      </c>
      <c r="D329" s="226" t="s">
        <v>18</v>
      </c>
      <c r="E329" s="226" t="s">
        <v>665</v>
      </c>
      <c r="F329" s="226">
        <v>8.5034291859346096E-3</v>
      </c>
      <c r="G329" s="226">
        <v>0</v>
      </c>
    </row>
    <row r="330" spans="1:7">
      <c r="A330" s="226" t="s">
        <v>1243</v>
      </c>
      <c r="B330" s="226" t="s">
        <v>1235</v>
      </c>
      <c r="C330" s="226" t="s">
        <v>626</v>
      </c>
      <c r="D330" s="226" t="s">
        <v>18</v>
      </c>
      <c r="E330" s="226" t="s">
        <v>666</v>
      </c>
      <c r="F330" s="226">
        <v>8.5034291859346096E-3</v>
      </c>
      <c r="G330" s="226">
        <v>0</v>
      </c>
    </row>
    <row r="331" spans="1:7">
      <c r="A331" s="226" t="s">
        <v>1243</v>
      </c>
      <c r="B331" s="226" t="s">
        <v>1235</v>
      </c>
      <c r="C331" s="226" t="s">
        <v>626</v>
      </c>
      <c r="D331" s="226" t="s">
        <v>18</v>
      </c>
      <c r="E331" s="226" t="s">
        <v>667</v>
      </c>
      <c r="F331" s="226">
        <v>8.5034291859346096E-3</v>
      </c>
      <c r="G331" s="226">
        <v>0</v>
      </c>
    </row>
    <row r="332" spans="1:7">
      <c r="A332" s="226" t="s">
        <v>1243</v>
      </c>
      <c r="B332" s="226" t="s">
        <v>1235</v>
      </c>
      <c r="C332" s="226" t="s">
        <v>626</v>
      </c>
      <c r="D332" s="226" t="s">
        <v>91</v>
      </c>
      <c r="E332" s="226" t="s">
        <v>618</v>
      </c>
      <c r="F332" s="226">
        <v>0</v>
      </c>
      <c r="G332" s="226">
        <v>0</v>
      </c>
    </row>
    <row r="333" spans="1:7">
      <c r="A333" s="226" t="s">
        <v>1243</v>
      </c>
      <c r="B333" s="226" t="s">
        <v>1235</v>
      </c>
      <c r="C333" s="226" t="s">
        <v>626</v>
      </c>
      <c r="D333" s="226" t="s">
        <v>91</v>
      </c>
      <c r="E333" s="226" t="s">
        <v>619</v>
      </c>
      <c r="F333" s="226">
        <v>0</v>
      </c>
      <c r="G333" s="226">
        <v>0</v>
      </c>
    </row>
    <row r="334" spans="1:7">
      <c r="A334" s="226" t="s">
        <v>1243</v>
      </c>
      <c r="B334" s="226" t="s">
        <v>1235</v>
      </c>
      <c r="C334" s="226" t="s">
        <v>626</v>
      </c>
      <c r="D334" s="226" t="s">
        <v>91</v>
      </c>
      <c r="E334" s="226" t="s">
        <v>620</v>
      </c>
      <c r="F334" s="226">
        <v>1.2205923693733758E-2</v>
      </c>
      <c r="G334" s="226">
        <v>0</v>
      </c>
    </row>
    <row r="335" spans="1:7">
      <c r="A335" s="226" t="s">
        <v>1243</v>
      </c>
      <c r="B335" s="226" t="s">
        <v>1235</v>
      </c>
      <c r="C335" s="226" t="s">
        <v>626</v>
      </c>
      <c r="D335" s="226" t="s">
        <v>91</v>
      </c>
      <c r="E335" s="226" t="s">
        <v>660</v>
      </c>
      <c r="F335" s="226">
        <v>1.2205923693733758E-2</v>
      </c>
      <c r="G335" s="226">
        <v>0</v>
      </c>
    </row>
    <row r="336" spans="1:7">
      <c r="A336" s="226" t="s">
        <v>1243</v>
      </c>
      <c r="B336" s="226" t="s">
        <v>1235</v>
      </c>
      <c r="C336" s="226" t="s">
        <v>626</v>
      </c>
      <c r="D336" s="226" t="s">
        <v>91</v>
      </c>
      <c r="E336" s="226" t="s">
        <v>661</v>
      </c>
      <c r="F336" s="226">
        <v>1.2205923693733758E-2</v>
      </c>
      <c r="G336" s="226">
        <v>0</v>
      </c>
    </row>
    <row r="337" spans="1:7">
      <c r="A337" s="226" t="s">
        <v>1243</v>
      </c>
      <c r="B337" s="226" t="s">
        <v>1235</v>
      </c>
      <c r="C337" s="226" t="s">
        <v>626</v>
      </c>
      <c r="D337" s="226" t="s">
        <v>91</v>
      </c>
      <c r="E337" s="226" t="s">
        <v>662</v>
      </c>
      <c r="F337" s="226">
        <v>1.2205923693733758E-2</v>
      </c>
      <c r="G337" s="226">
        <v>0</v>
      </c>
    </row>
    <row r="338" spans="1:7">
      <c r="A338" s="226" t="s">
        <v>1243</v>
      </c>
      <c r="B338" s="226" t="s">
        <v>1235</v>
      </c>
      <c r="C338" s="226" t="s">
        <v>626</v>
      </c>
      <c r="D338" s="226" t="s">
        <v>91</v>
      </c>
      <c r="E338" s="226" t="s">
        <v>663</v>
      </c>
      <c r="F338" s="226">
        <v>1.2205923693733758E-2</v>
      </c>
      <c r="G338" s="226">
        <v>0</v>
      </c>
    </row>
    <row r="339" spans="1:7">
      <c r="A339" s="226" t="s">
        <v>1243</v>
      </c>
      <c r="B339" s="226" t="s">
        <v>1235</v>
      </c>
      <c r="C339" s="226" t="s">
        <v>626</v>
      </c>
      <c r="D339" s="226" t="s">
        <v>91</v>
      </c>
      <c r="E339" s="226" t="s">
        <v>664</v>
      </c>
      <c r="F339" s="226">
        <v>1.2205923693733758E-2</v>
      </c>
      <c r="G339" s="226">
        <v>0</v>
      </c>
    </row>
    <row r="340" spans="1:7">
      <c r="A340" s="226" t="s">
        <v>1243</v>
      </c>
      <c r="B340" s="226" t="s">
        <v>1235</v>
      </c>
      <c r="C340" s="226" t="s">
        <v>626</v>
      </c>
      <c r="D340" s="226" t="s">
        <v>91</v>
      </c>
      <c r="E340" s="226" t="s">
        <v>665</v>
      </c>
      <c r="F340" s="226">
        <v>1.2205923693733758E-2</v>
      </c>
      <c r="G340" s="226">
        <v>0</v>
      </c>
    </row>
    <row r="341" spans="1:7">
      <c r="A341" s="226" t="s">
        <v>1243</v>
      </c>
      <c r="B341" s="226" t="s">
        <v>1235</v>
      </c>
      <c r="C341" s="226" t="s">
        <v>626</v>
      </c>
      <c r="D341" s="226" t="s">
        <v>91</v>
      </c>
      <c r="E341" s="226" t="s">
        <v>666</v>
      </c>
      <c r="F341" s="226">
        <v>1.2205923693733758E-2</v>
      </c>
      <c r="G341" s="226">
        <v>0</v>
      </c>
    </row>
    <row r="342" spans="1:7">
      <c r="A342" s="226" t="s">
        <v>1243</v>
      </c>
      <c r="B342" s="226" t="s">
        <v>1235</v>
      </c>
      <c r="C342" s="226" t="s">
        <v>626</v>
      </c>
      <c r="D342" s="226" t="s">
        <v>91</v>
      </c>
      <c r="E342" s="226" t="s">
        <v>667</v>
      </c>
      <c r="F342" s="226">
        <v>1.2205923693733758E-2</v>
      </c>
      <c r="G342" s="226">
        <v>0</v>
      </c>
    </row>
    <row r="343" spans="1:7">
      <c r="A343" s="226" t="s">
        <v>1243</v>
      </c>
      <c r="B343" s="226" t="s">
        <v>1235</v>
      </c>
      <c r="C343" s="226" t="s">
        <v>626</v>
      </c>
      <c r="D343" s="226" t="s">
        <v>8</v>
      </c>
      <c r="E343" s="226" t="s">
        <v>618</v>
      </c>
      <c r="F343" s="226">
        <v>0</v>
      </c>
      <c r="G343" s="226">
        <v>0</v>
      </c>
    </row>
    <row r="344" spans="1:7">
      <c r="A344" s="226" t="s">
        <v>1243</v>
      </c>
      <c r="B344" s="226" t="s">
        <v>1235</v>
      </c>
      <c r="C344" s="226" t="s">
        <v>626</v>
      </c>
      <c r="D344" s="226" t="s">
        <v>8</v>
      </c>
      <c r="E344" s="226" t="s">
        <v>619</v>
      </c>
      <c r="F344" s="226">
        <v>0</v>
      </c>
      <c r="G344" s="226">
        <v>0</v>
      </c>
    </row>
    <row r="345" spans="1:7">
      <c r="A345" s="226" t="s">
        <v>1243</v>
      </c>
      <c r="B345" s="226" t="s">
        <v>1235</v>
      </c>
      <c r="C345" s="226" t="s">
        <v>626</v>
      </c>
      <c r="D345" s="226" t="s">
        <v>8</v>
      </c>
      <c r="E345" s="226" t="s">
        <v>620</v>
      </c>
      <c r="F345" s="226">
        <v>0.97731520250120085</v>
      </c>
      <c r="G345" s="226">
        <v>0</v>
      </c>
    </row>
    <row r="346" spans="1:7">
      <c r="A346" s="226" t="s">
        <v>1243</v>
      </c>
      <c r="B346" s="226" t="s">
        <v>1235</v>
      </c>
      <c r="C346" s="226" t="s">
        <v>626</v>
      </c>
      <c r="D346" s="226" t="s">
        <v>8</v>
      </c>
      <c r="E346" s="226" t="s">
        <v>660</v>
      </c>
      <c r="F346" s="226">
        <v>0.97731520250120085</v>
      </c>
      <c r="G346" s="226">
        <v>0</v>
      </c>
    </row>
    <row r="347" spans="1:7">
      <c r="A347" s="226" t="s">
        <v>1243</v>
      </c>
      <c r="B347" s="226" t="s">
        <v>1235</v>
      </c>
      <c r="C347" s="226" t="s">
        <v>626</v>
      </c>
      <c r="D347" s="226" t="s">
        <v>8</v>
      </c>
      <c r="E347" s="226" t="s">
        <v>661</v>
      </c>
      <c r="F347" s="226">
        <v>0.97731520250120085</v>
      </c>
      <c r="G347" s="226">
        <v>0</v>
      </c>
    </row>
    <row r="348" spans="1:7">
      <c r="A348" s="226" t="s">
        <v>1243</v>
      </c>
      <c r="B348" s="226" t="s">
        <v>1235</v>
      </c>
      <c r="C348" s="226" t="s">
        <v>626</v>
      </c>
      <c r="D348" s="226" t="s">
        <v>8</v>
      </c>
      <c r="E348" s="226" t="s">
        <v>662</v>
      </c>
      <c r="F348" s="226">
        <v>0.97731520250120085</v>
      </c>
      <c r="G348" s="226">
        <v>0</v>
      </c>
    </row>
    <row r="349" spans="1:7">
      <c r="A349" s="226" t="s">
        <v>1243</v>
      </c>
      <c r="B349" s="226" t="s">
        <v>1235</v>
      </c>
      <c r="C349" s="226" t="s">
        <v>626</v>
      </c>
      <c r="D349" s="226" t="s">
        <v>8</v>
      </c>
      <c r="E349" s="226" t="s">
        <v>663</v>
      </c>
      <c r="F349" s="226">
        <v>0.97731520250120085</v>
      </c>
      <c r="G349" s="226">
        <v>0</v>
      </c>
    </row>
    <row r="350" spans="1:7">
      <c r="A350" s="226" t="s">
        <v>1243</v>
      </c>
      <c r="B350" s="226" t="s">
        <v>1235</v>
      </c>
      <c r="C350" s="226" t="s">
        <v>626</v>
      </c>
      <c r="D350" s="226" t="s">
        <v>8</v>
      </c>
      <c r="E350" s="226" t="s">
        <v>664</v>
      </c>
      <c r="F350" s="226">
        <v>0.97731520250120085</v>
      </c>
      <c r="G350" s="226">
        <v>0</v>
      </c>
    </row>
    <row r="351" spans="1:7">
      <c r="A351" s="226" t="s">
        <v>1243</v>
      </c>
      <c r="B351" s="226" t="s">
        <v>1235</v>
      </c>
      <c r="C351" s="226" t="s">
        <v>626</v>
      </c>
      <c r="D351" s="226" t="s">
        <v>8</v>
      </c>
      <c r="E351" s="226" t="s">
        <v>665</v>
      </c>
      <c r="F351" s="226">
        <v>0.97731520250120085</v>
      </c>
      <c r="G351" s="226">
        <v>0</v>
      </c>
    </row>
    <row r="352" spans="1:7">
      <c r="A352" s="226" t="s">
        <v>1243</v>
      </c>
      <c r="B352" s="226" t="s">
        <v>1235</v>
      </c>
      <c r="C352" s="226" t="s">
        <v>626</v>
      </c>
      <c r="D352" s="226" t="s">
        <v>8</v>
      </c>
      <c r="E352" s="226" t="s">
        <v>666</v>
      </c>
      <c r="F352" s="226">
        <v>0.97731520250120085</v>
      </c>
      <c r="G352" s="226">
        <v>0</v>
      </c>
    </row>
    <row r="353" spans="1:7">
      <c r="A353" s="226" t="s">
        <v>1243</v>
      </c>
      <c r="B353" s="226" t="s">
        <v>1235</v>
      </c>
      <c r="C353" s="226" t="s">
        <v>626</v>
      </c>
      <c r="D353" s="226" t="s">
        <v>8</v>
      </c>
      <c r="E353" s="226" t="s">
        <v>667</v>
      </c>
      <c r="F353" s="226">
        <v>0.97731520250120085</v>
      </c>
      <c r="G353" s="226">
        <v>0</v>
      </c>
    </row>
    <row r="354" spans="1:7">
      <c r="A354" s="226" t="s">
        <v>1243</v>
      </c>
      <c r="B354" s="226" t="s">
        <v>1235</v>
      </c>
      <c r="C354" s="226" t="s">
        <v>625</v>
      </c>
      <c r="D354" s="226" t="s">
        <v>5</v>
      </c>
      <c r="E354" s="226" t="s">
        <v>618</v>
      </c>
      <c r="F354" s="226">
        <v>0</v>
      </c>
      <c r="G354" s="226">
        <v>0</v>
      </c>
    </row>
    <row r="355" spans="1:7">
      <c r="A355" s="226" t="s">
        <v>1243</v>
      </c>
      <c r="B355" s="226" t="s">
        <v>1235</v>
      </c>
      <c r="C355" s="226" t="s">
        <v>625</v>
      </c>
      <c r="D355" s="226" t="s">
        <v>5</v>
      </c>
      <c r="E355" s="226" t="s">
        <v>619</v>
      </c>
      <c r="F355" s="226">
        <v>0</v>
      </c>
      <c r="G355" s="226">
        <v>0</v>
      </c>
    </row>
    <row r="356" spans="1:7">
      <c r="A356" s="226" t="s">
        <v>1243</v>
      </c>
      <c r="B356" s="226" t="s">
        <v>1235</v>
      </c>
      <c r="C356" s="226" t="s">
        <v>625</v>
      </c>
      <c r="D356" s="226" t="s">
        <v>5</v>
      </c>
      <c r="E356" s="226" t="s">
        <v>620</v>
      </c>
      <c r="F356" s="226">
        <v>8.4149943404673674E-2</v>
      </c>
      <c r="G356" s="226">
        <v>0</v>
      </c>
    </row>
    <row r="357" spans="1:7">
      <c r="A357" s="226" t="s">
        <v>1243</v>
      </c>
      <c r="B357" s="226" t="s">
        <v>1235</v>
      </c>
      <c r="C357" s="226" t="s">
        <v>625</v>
      </c>
      <c r="D357" s="226" t="s">
        <v>5</v>
      </c>
      <c r="E357" s="226" t="s">
        <v>660</v>
      </c>
      <c r="F357" s="226">
        <v>8.4149943404673674E-2</v>
      </c>
      <c r="G357" s="226">
        <v>0</v>
      </c>
    </row>
    <row r="358" spans="1:7">
      <c r="A358" s="226" t="s">
        <v>1243</v>
      </c>
      <c r="B358" s="226" t="s">
        <v>1235</v>
      </c>
      <c r="C358" s="226" t="s">
        <v>625</v>
      </c>
      <c r="D358" s="226" t="s">
        <v>5</v>
      </c>
      <c r="E358" s="226" t="s">
        <v>661</v>
      </c>
      <c r="F358" s="226">
        <v>8.4149943404673674E-2</v>
      </c>
      <c r="G358" s="226">
        <v>0</v>
      </c>
    </row>
    <row r="359" spans="1:7">
      <c r="A359" s="226" t="s">
        <v>1243</v>
      </c>
      <c r="B359" s="226" t="s">
        <v>1235</v>
      </c>
      <c r="C359" s="226" t="s">
        <v>625</v>
      </c>
      <c r="D359" s="226" t="s">
        <v>5</v>
      </c>
      <c r="E359" s="226" t="s">
        <v>662</v>
      </c>
      <c r="F359" s="226">
        <v>8.4149943404673674E-2</v>
      </c>
      <c r="G359" s="226">
        <v>0</v>
      </c>
    </row>
    <row r="360" spans="1:7">
      <c r="A360" s="226" t="s">
        <v>1243</v>
      </c>
      <c r="B360" s="226" t="s">
        <v>1235</v>
      </c>
      <c r="C360" s="226" t="s">
        <v>625</v>
      </c>
      <c r="D360" s="226" t="s">
        <v>5</v>
      </c>
      <c r="E360" s="226" t="s">
        <v>663</v>
      </c>
      <c r="F360" s="226">
        <v>8.4149943404673674E-2</v>
      </c>
      <c r="G360" s="226">
        <v>0</v>
      </c>
    </row>
    <row r="361" spans="1:7">
      <c r="A361" s="226" t="s">
        <v>1243</v>
      </c>
      <c r="B361" s="226" t="s">
        <v>1235</v>
      </c>
      <c r="C361" s="226" t="s">
        <v>625</v>
      </c>
      <c r="D361" s="226" t="s">
        <v>5</v>
      </c>
      <c r="E361" s="226" t="s">
        <v>664</v>
      </c>
      <c r="F361" s="226">
        <v>8.4149943404673674E-2</v>
      </c>
      <c r="G361" s="226">
        <v>0</v>
      </c>
    </row>
    <row r="362" spans="1:7">
      <c r="A362" s="226" t="s">
        <v>1243</v>
      </c>
      <c r="B362" s="226" t="s">
        <v>1235</v>
      </c>
      <c r="C362" s="226" t="s">
        <v>625</v>
      </c>
      <c r="D362" s="226" t="s">
        <v>5</v>
      </c>
      <c r="E362" s="226" t="s">
        <v>665</v>
      </c>
      <c r="F362" s="226">
        <v>8.4149943404673674E-2</v>
      </c>
      <c r="G362" s="226">
        <v>0</v>
      </c>
    </row>
    <row r="363" spans="1:7">
      <c r="A363" s="226" t="s">
        <v>1243</v>
      </c>
      <c r="B363" s="226" t="s">
        <v>1235</v>
      </c>
      <c r="C363" s="226" t="s">
        <v>625</v>
      </c>
      <c r="D363" s="226" t="s">
        <v>5</v>
      </c>
      <c r="E363" s="226" t="s">
        <v>666</v>
      </c>
      <c r="F363" s="226">
        <v>8.4149943404673674E-2</v>
      </c>
      <c r="G363" s="226">
        <v>0</v>
      </c>
    </row>
    <row r="364" spans="1:7">
      <c r="A364" s="226" t="s">
        <v>1243</v>
      </c>
      <c r="B364" s="226" t="s">
        <v>1235</v>
      </c>
      <c r="C364" s="226" t="s">
        <v>625</v>
      </c>
      <c r="D364" s="226" t="s">
        <v>5</v>
      </c>
      <c r="E364" s="226" t="s">
        <v>667</v>
      </c>
      <c r="F364" s="226">
        <v>8.4149943404673674E-2</v>
      </c>
      <c r="G364" s="226">
        <v>0</v>
      </c>
    </row>
    <row r="365" spans="1:7">
      <c r="A365" s="226" t="s">
        <v>1243</v>
      </c>
      <c r="B365" s="226" t="s">
        <v>1235</v>
      </c>
      <c r="C365" s="226" t="s">
        <v>625</v>
      </c>
      <c r="D365" s="226" t="s">
        <v>88</v>
      </c>
      <c r="E365" s="226" t="s">
        <v>618</v>
      </c>
      <c r="F365" s="226">
        <v>0</v>
      </c>
      <c r="G365" s="226">
        <v>0</v>
      </c>
    </row>
    <row r="366" spans="1:7">
      <c r="A366" s="226" t="s">
        <v>1243</v>
      </c>
      <c r="B366" s="226" t="s">
        <v>1235</v>
      </c>
      <c r="C366" s="226" t="s">
        <v>625</v>
      </c>
      <c r="D366" s="226" t="s">
        <v>88</v>
      </c>
      <c r="E366" s="226" t="s">
        <v>619</v>
      </c>
      <c r="F366" s="226">
        <v>0</v>
      </c>
      <c r="G366" s="226">
        <v>0</v>
      </c>
    </row>
    <row r="367" spans="1:7">
      <c r="A367" s="226" t="s">
        <v>1243</v>
      </c>
      <c r="B367" s="226" t="s">
        <v>1235</v>
      </c>
      <c r="C367" s="226" t="s">
        <v>625</v>
      </c>
      <c r="D367" s="226" t="s">
        <v>88</v>
      </c>
      <c r="E367" s="226" t="s">
        <v>620</v>
      </c>
      <c r="F367" s="226">
        <v>0</v>
      </c>
      <c r="G367" s="226">
        <v>0</v>
      </c>
    </row>
    <row r="368" spans="1:7">
      <c r="A368" s="226" t="s">
        <v>1243</v>
      </c>
      <c r="B368" s="226" t="s">
        <v>1235</v>
      </c>
      <c r="C368" s="226" t="s">
        <v>625</v>
      </c>
      <c r="D368" s="226" t="s">
        <v>88</v>
      </c>
      <c r="E368" s="226" t="s">
        <v>660</v>
      </c>
      <c r="F368" s="226">
        <v>0</v>
      </c>
      <c r="G368" s="226">
        <v>0</v>
      </c>
    </row>
    <row r="369" spans="1:7">
      <c r="A369" s="226" t="s">
        <v>1243</v>
      </c>
      <c r="B369" s="226" t="s">
        <v>1235</v>
      </c>
      <c r="C369" s="226" t="s">
        <v>625</v>
      </c>
      <c r="D369" s="226" t="s">
        <v>88</v>
      </c>
      <c r="E369" s="226" t="s">
        <v>661</v>
      </c>
      <c r="F369" s="226">
        <v>0</v>
      </c>
      <c r="G369" s="226">
        <v>0</v>
      </c>
    </row>
    <row r="370" spans="1:7">
      <c r="A370" s="226" t="s">
        <v>1243</v>
      </c>
      <c r="B370" s="226" t="s">
        <v>1235</v>
      </c>
      <c r="C370" s="226" t="s">
        <v>625</v>
      </c>
      <c r="D370" s="226" t="s">
        <v>88</v>
      </c>
      <c r="E370" s="226" t="s">
        <v>662</v>
      </c>
      <c r="F370" s="226">
        <v>0</v>
      </c>
      <c r="G370" s="226">
        <v>0</v>
      </c>
    </row>
    <row r="371" spans="1:7">
      <c r="A371" s="226" t="s">
        <v>1243</v>
      </c>
      <c r="B371" s="226" t="s">
        <v>1235</v>
      </c>
      <c r="C371" s="226" t="s">
        <v>625</v>
      </c>
      <c r="D371" s="226" t="s">
        <v>88</v>
      </c>
      <c r="E371" s="226" t="s">
        <v>663</v>
      </c>
      <c r="F371" s="226">
        <v>0</v>
      </c>
      <c r="G371" s="226">
        <v>0</v>
      </c>
    </row>
    <row r="372" spans="1:7">
      <c r="A372" s="226" t="s">
        <v>1243</v>
      </c>
      <c r="B372" s="226" t="s">
        <v>1235</v>
      </c>
      <c r="C372" s="226" t="s">
        <v>625</v>
      </c>
      <c r="D372" s="226" t="s">
        <v>88</v>
      </c>
      <c r="E372" s="226" t="s">
        <v>664</v>
      </c>
      <c r="F372" s="226">
        <v>0</v>
      </c>
      <c r="G372" s="226">
        <v>0</v>
      </c>
    </row>
    <row r="373" spans="1:7">
      <c r="A373" s="226" t="s">
        <v>1243</v>
      </c>
      <c r="B373" s="226" t="s">
        <v>1235</v>
      </c>
      <c r="C373" s="226" t="s">
        <v>625</v>
      </c>
      <c r="D373" s="226" t="s">
        <v>88</v>
      </c>
      <c r="E373" s="226" t="s">
        <v>665</v>
      </c>
      <c r="F373" s="226">
        <v>0</v>
      </c>
      <c r="G373" s="226">
        <v>0</v>
      </c>
    </row>
    <row r="374" spans="1:7">
      <c r="A374" s="226" t="s">
        <v>1243</v>
      </c>
      <c r="B374" s="226" t="s">
        <v>1235</v>
      </c>
      <c r="C374" s="226" t="s">
        <v>625</v>
      </c>
      <c r="D374" s="226" t="s">
        <v>88</v>
      </c>
      <c r="E374" s="226" t="s">
        <v>666</v>
      </c>
      <c r="F374" s="226">
        <v>0</v>
      </c>
      <c r="G374" s="226">
        <v>0</v>
      </c>
    </row>
    <row r="375" spans="1:7">
      <c r="A375" s="226" t="s">
        <v>1243</v>
      </c>
      <c r="B375" s="226" t="s">
        <v>1235</v>
      </c>
      <c r="C375" s="226" t="s">
        <v>625</v>
      </c>
      <c r="D375" s="226" t="s">
        <v>88</v>
      </c>
      <c r="E375" s="226" t="s">
        <v>667</v>
      </c>
      <c r="F375" s="226">
        <v>0</v>
      </c>
      <c r="G375" s="226">
        <v>0</v>
      </c>
    </row>
    <row r="376" spans="1:7">
      <c r="A376" s="226" t="s">
        <v>1243</v>
      </c>
      <c r="B376" s="226" t="s">
        <v>1235</v>
      </c>
      <c r="C376" s="226" t="s">
        <v>625</v>
      </c>
      <c r="D376" s="226" t="s">
        <v>89</v>
      </c>
      <c r="E376" s="226" t="s">
        <v>618</v>
      </c>
      <c r="F376" s="226">
        <v>0</v>
      </c>
      <c r="G376" s="226">
        <v>0</v>
      </c>
    </row>
    <row r="377" spans="1:7">
      <c r="A377" s="226" t="s">
        <v>1243</v>
      </c>
      <c r="B377" s="226" t="s">
        <v>1235</v>
      </c>
      <c r="C377" s="226" t="s">
        <v>625</v>
      </c>
      <c r="D377" s="226" t="s">
        <v>89</v>
      </c>
      <c r="E377" s="226" t="s">
        <v>619</v>
      </c>
      <c r="F377" s="226">
        <v>0</v>
      </c>
      <c r="G377" s="226">
        <v>0</v>
      </c>
    </row>
    <row r="378" spans="1:7">
      <c r="A378" s="226" t="s">
        <v>1243</v>
      </c>
      <c r="B378" s="226" t="s">
        <v>1235</v>
      </c>
      <c r="C378" s="226" t="s">
        <v>625</v>
      </c>
      <c r="D378" s="226" t="s">
        <v>89</v>
      </c>
      <c r="E378" s="226" t="s">
        <v>620</v>
      </c>
      <c r="F378" s="226">
        <v>1.6268367451663428E-2</v>
      </c>
      <c r="G378" s="226">
        <v>0</v>
      </c>
    </row>
    <row r="379" spans="1:7">
      <c r="A379" s="226" t="s">
        <v>1243</v>
      </c>
      <c r="B379" s="226" t="s">
        <v>1235</v>
      </c>
      <c r="C379" s="226" t="s">
        <v>625</v>
      </c>
      <c r="D379" s="226" t="s">
        <v>89</v>
      </c>
      <c r="E379" s="226" t="s">
        <v>660</v>
      </c>
      <c r="F379" s="226">
        <v>1.6268367451663428E-2</v>
      </c>
      <c r="G379" s="226">
        <v>0</v>
      </c>
    </row>
    <row r="380" spans="1:7">
      <c r="A380" s="226" t="s">
        <v>1243</v>
      </c>
      <c r="B380" s="226" t="s">
        <v>1235</v>
      </c>
      <c r="C380" s="226" t="s">
        <v>625</v>
      </c>
      <c r="D380" s="226" t="s">
        <v>89</v>
      </c>
      <c r="E380" s="226" t="s">
        <v>661</v>
      </c>
      <c r="F380" s="226">
        <v>1.6268367451663428E-2</v>
      </c>
      <c r="G380" s="226">
        <v>0</v>
      </c>
    </row>
    <row r="381" spans="1:7">
      <c r="A381" s="226" t="s">
        <v>1243</v>
      </c>
      <c r="B381" s="226" t="s">
        <v>1235</v>
      </c>
      <c r="C381" s="226" t="s">
        <v>625</v>
      </c>
      <c r="D381" s="226" t="s">
        <v>89</v>
      </c>
      <c r="E381" s="226" t="s">
        <v>662</v>
      </c>
      <c r="F381" s="226">
        <v>1.6268367451663428E-2</v>
      </c>
      <c r="G381" s="226">
        <v>0</v>
      </c>
    </row>
    <row r="382" spans="1:7">
      <c r="A382" s="226" t="s">
        <v>1243</v>
      </c>
      <c r="B382" s="226" t="s">
        <v>1235</v>
      </c>
      <c r="C382" s="226" t="s">
        <v>625</v>
      </c>
      <c r="D382" s="226" t="s">
        <v>89</v>
      </c>
      <c r="E382" s="226" t="s">
        <v>663</v>
      </c>
      <c r="F382" s="226">
        <v>1.6268367451663428E-2</v>
      </c>
      <c r="G382" s="226">
        <v>0</v>
      </c>
    </row>
    <row r="383" spans="1:7">
      <c r="A383" s="226" t="s">
        <v>1243</v>
      </c>
      <c r="B383" s="226" t="s">
        <v>1235</v>
      </c>
      <c r="C383" s="226" t="s">
        <v>625</v>
      </c>
      <c r="D383" s="226" t="s">
        <v>89</v>
      </c>
      <c r="E383" s="226" t="s">
        <v>664</v>
      </c>
      <c r="F383" s="226">
        <v>1.6268367451663428E-2</v>
      </c>
      <c r="G383" s="226">
        <v>0</v>
      </c>
    </row>
    <row r="384" spans="1:7">
      <c r="A384" s="226" t="s">
        <v>1243</v>
      </c>
      <c r="B384" s="226" t="s">
        <v>1235</v>
      </c>
      <c r="C384" s="226" t="s">
        <v>625</v>
      </c>
      <c r="D384" s="226" t="s">
        <v>89</v>
      </c>
      <c r="E384" s="226" t="s">
        <v>665</v>
      </c>
      <c r="F384" s="226">
        <v>1.6268367451663428E-2</v>
      </c>
      <c r="G384" s="226">
        <v>0</v>
      </c>
    </row>
    <row r="385" spans="1:7">
      <c r="A385" s="226" t="s">
        <v>1243</v>
      </c>
      <c r="B385" s="226" t="s">
        <v>1235</v>
      </c>
      <c r="C385" s="226" t="s">
        <v>625</v>
      </c>
      <c r="D385" s="226" t="s">
        <v>89</v>
      </c>
      <c r="E385" s="226" t="s">
        <v>666</v>
      </c>
      <c r="F385" s="226">
        <v>1.6268367451663428E-2</v>
      </c>
      <c r="G385" s="226">
        <v>0</v>
      </c>
    </row>
    <row r="386" spans="1:7">
      <c r="A386" s="226" t="s">
        <v>1243</v>
      </c>
      <c r="B386" s="226" t="s">
        <v>1235</v>
      </c>
      <c r="C386" s="226" t="s">
        <v>625</v>
      </c>
      <c r="D386" s="226" t="s">
        <v>89</v>
      </c>
      <c r="E386" s="226" t="s">
        <v>667</v>
      </c>
      <c r="F386" s="226">
        <v>1.6268367451663428E-2</v>
      </c>
      <c r="G386" s="226">
        <v>0</v>
      </c>
    </row>
    <row r="387" spans="1:7">
      <c r="A387" s="226" t="s">
        <v>1243</v>
      </c>
      <c r="B387" s="226" t="s">
        <v>1235</v>
      </c>
      <c r="C387" s="226" t="s">
        <v>963</v>
      </c>
      <c r="D387" s="226" t="s">
        <v>20</v>
      </c>
      <c r="E387" s="226" t="s">
        <v>618</v>
      </c>
      <c r="F387" s="226">
        <v>0</v>
      </c>
      <c r="G387" s="226">
        <v>0</v>
      </c>
    </row>
    <row r="388" spans="1:7">
      <c r="A388" s="226" t="s">
        <v>1243</v>
      </c>
      <c r="B388" s="226" t="s">
        <v>1235</v>
      </c>
      <c r="C388" s="226" t="s">
        <v>963</v>
      </c>
      <c r="D388" s="226" t="s">
        <v>20</v>
      </c>
      <c r="E388" s="226" t="s">
        <v>619</v>
      </c>
      <c r="F388" s="226">
        <v>0</v>
      </c>
      <c r="G388" s="226">
        <v>0</v>
      </c>
    </row>
    <row r="389" spans="1:7">
      <c r="A389" s="226" t="s">
        <v>1243</v>
      </c>
      <c r="B389" s="226" t="s">
        <v>1235</v>
      </c>
      <c r="C389" s="226" t="s">
        <v>963</v>
      </c>
      <c r="D389" s="226" t="s">
        <v>20</v>
      </c>
      <c r="E389" s="226" t="s">
        <v>620</v>
      </c>
      <c r="F389" s="226">
        <v>9.4821341718266811E-3</v>
      </c>
      <c r="G389" s="226">
        <v>0</v>
      </c>
    </row>
    <row r="390" spans="1:7">
      <c r="A390" s="226" t="s">
        <v>1243</v>
      </c>
      <c r="B390" s="226" t="s">
        <v>1235</v>
      </c>
      <c r="C390" s="226" t="s">
        <v>963</v>
      </c>
      <c r="D390" s="226" t="s">
        <v>20</v>
      </c>
      <c r="E390" s="226" t="s">
        <v>660</v>
      </c>
      <c r="F390" s="226">
        <v>9.4821341718266811E-3</v>
      </c>
      <c r="G390" s="226">
        <v>0</v>
      </c>
    </row>
    <row r="391" spans="1:7">
      <c r="A391" s="226" t="s">
        <v>1243</v>
      </c>
      <c r="B391" s="226" t="s">
        <v>1235</v>
      </c>
      <c r="C391" s="226" t="s">
        <v>963</v>
      </c>
      <c r="D391" s="226" t="s">
        <v>20</v>
      </c>
      <c r="E391" s="226" t="s">
        <v>661</v>
      </c>
      <c r="F391" s="226">
        <v>9.4821341718266811E-3</v>
      </c>
      <c r="G391" s="226">
        <v>0</v>
      </c>
    </row>
    <row r="392" spans="1:7">
      <c r="A392" s="226" t="s">
        <v>1243</v>
      </c>
      <c r="B392" s="226" t="s">
        <v>1235</v>
      </c>
      <c r="C392" s="226" t="s">
        <v>963</v>
      </c>
      <c r="D392" s="226" t="s">
        <v>20</v>
      </c>
      <c r="E392" s="226" t="s">
        <v>662</v>
      </c>
      <c r="F392" s="226">
        <v>9.4821341718266811E-3</v>
      </c>
      <c r="G392" s="226">
        <v>0</v>
      </c>
    </row>
    <row r="393" spans="1:7">
      <c r="A393" s="226" t="s">
        <v>1243</v>
      </c>
      <c r="B393" s="226" t="s">
        <v>1235</v>
      </c>
      <c r="C393" s="226" t="s">
        <v>963</v>
      </c>
      <c r="D393" s="226" t="s">
        <v>20</v>
      </c>
      <c r="E393" s="226" t="s">
        <v>663</v>
      </c>
      <c r="F393" s="226">
        <v>9.4821341718266811E-3</v>
      </c>
      <c r="G393" s="226">
        <v>0</v>
      </c>
    </row>
    <row r="394" spans="1:7">
      <c r="A394" s="226" t="s">
        <v>1243</v>
      </c>
      <c r="B394" s="226" t="s">
        <v>1235</v>
      </c>
      <c r="C394" s="226" t="s">
        <v>963</v>
      </c>
      <c r="D394" s="226" t="s">
        <v>20</v>
      </c>
      <c r="E394" s="226" t="s">
        <v>664</v>
      </c>
      <c r="F394" s="226">
        <v>9.4821341718266811E-3</v>
      </c>
      <c r="G394" s="226">
        <v>0</v>
      </c>
    </row>
    <row r="395" spans="1:7">
      <c r="A395" s="226" t="s">
        <v>1243</v>
      </c>
      <c r="B395" s="226" t="s">
        <v>1235</v>
      </c>
      <c r="C395" s="226" t="s">
        <v>963</v>
      </c>
      <c r="D395" s="226" t="s">
        <v>20</v>
      </c>
      <c r="E395" s="226" t="s">
        <v>665</v>
      </c>
      <c r="F395" s="226">
        <v>9.4821341718266811E-3</v>
      </c>
      <c r="G395" s="226">
        <v>0</v>
      </c>
    </row>
    <row r="396" spans="1:7">
      <c r="A396" s="226" t="s">
        <v>1243</v>
      </c>
      <c r="B396" s="226" t="s">
        <v>1235</v>
      </c>
      <c r="C396" s="226" t="s">
        <v>963</v>
      </c>
      <c r="D396" s="226" t="s">
        <v>20</v>
      </c>
      <c r="E396" s="226" t="s">
        <v>666</v>
      </c>
      <c r="F396" s="226">
        <v>9.4821341718266811E-3</v>
      </c>
      <c r="G396" s="226">
        <v>0</v>
      </c>
    </row>
    <row r="397" spans="1:7">
      <c r="A397" s="226" t="s">
        <v>1243</v>
      </c>
      <c r="B397" s="226" t="s">
        <v>1235</v>
      </c>
      <c r="C397" s="226" t="s">
        <v>963</v>
      </c>
      <c r="D397" s="226" t="s">
        <v>20</v>
      </c>
      <c r="E397" s="226" t="s">
        <v>667</v>
      </c>
      <c r="F397" s="226">
        <v>9.4821341718266811E-3</v>
      </c>
      <c r="G397" s="226">
        <v>0</v>
      </c>
    </row>
    <row r="398" spans="1:7">
      <c r="A398" s="226" t="s">
        <v>1243</v>
      </c>
      <c r="B398" s="226" t="s">
        <v>1235</v>
      </c>
      <c r="C398" s="226" t="s">
        <v>627</v>
      </c>
      <c r="D398" s="226" t="s">
        <v>11</v>
      </c>
      <c r="E398" s="226" t="s">
        <v>618</v>
      </c>
      <c r="F398" s="226">
        <v>0</v>
      </c>
      <c r="G398" s="226">
        <v>0</v>
      </c>
    </row>
    <row r="399" spans="1:7">
      <c r="A399" s="226" t="s">
        <v>1243</v>
      </c>
      <c r="B399" s="226" t="s">
        <v>1235</v>
      </c>
      <c r="C399" s="226" t="s">
        <v>627</v>
      </c>
      <c r="D399" s="226" t="s">
        <v>11</v>
      </c>
      <c r="E399" s="226" t="s">
        <v>619</v>
      </c>
      <c r="F399" s="226">
        <v>0</v>
      </c>
      <c r="G399" s="226">
        <v>0</v>
      </c>
    </row>
    <row r="400" spans="1:7">
      <c r="A400" s="226" t="s">
        <v>1243</v>
      </c>
      <c r="B400" s="226" t="s">
        <v>1235</v>
      </c>
      <c r="C400" s="226" t="s">
        <v>627</v>
      </c>
      <c r="D400" s="226" t="s">
        <v>11</v>
      </c>
      <c r="E400" s="226" t="s">
        <v>620</v>
      </c>
      <c r="F400" s="226">
        <v>4.7122488349989659E-2</v>
      </c>
      <c r="G400" s="226">
        <v>0</v>
      </c>
    </row>
    <row r="401" spans="1:7">
      <c r="A401" s="226" t="s">
        <v>1243</v>
      </c>
      <c r="B401" s="226" t="s">
        <v>1235</v>
      </c>
      <c r="C401" s="226" t="s">
        <v>627</v>
      </c>
      <c r="D401" s="226" t="s">
        <v>11</v>
      </c>
      <c r="E401" s="226" t="s">
        <v>660</v>
      </c>
      <c r="F401" s="226">
        <v>4.7122488349989659E-2</v>
      </c>
      <c r="G401" s="226">
        <v>0</v>
      </c>
    </row>
    <row r="402" spans="1:7">
      <c r="A402" s="226" t="s">
        <v>1243</v>
      </c>
      <c r="B402" s="226" t="s">
        <v>1235</v>
      </c>
      <c r="C402" s="226" t="s">
        <v>627</v>
      </c>
      <c r="D402" s="226" t="s">
        <v>11</v>
      </c>
      <c r="E402" s="226" t="s">
        <v>661</v>
      </c>
      <c r="F402" s="226">
        <v>4.7122488349989659E-2</v>
      </c>
      <c r="G402" s="226">
        <v>0</v>
      </c>
    </row>
    <row r="403" spans="1:7">
      <c r="A403" s="226" t="s">
        <v>1243</v>
      </c>
      <c r="B403" s="226" t="s">
        <v>1235</v>
      </c>
      <c r="C403" s="226" t="s">
        <v>627</v>
      </c>
      <c r="D403" s="226" t="s">
        <v>11</v>
      </c>
      <c r="E403" s="226" t="s">
        <v>662</v>
      </c>
      <c r="F403" s="226">
        <v>4.7122488349989659E-2</v>
      </c>
      <c r="G403" s="226">
        <v>0</v>
      </c>
    </row>
    <row r="404" spans="1:7">
      <c r="A404" s="226" t="s">
        <v>1243</v>
      </c>
      <c r="B404" s="226" t="s">
        <v>1235</v>
      </c>
      <c r="C404" s="226" t="s">
        <v>627</v>
      </c>
      <c r="D404" s="226" t="s">
        <v>11</v>
      </c>
      <c r="E404" s="226" t="s">
        <v>663</v>
      </c>
      <c r="F404" s="226">
        <v>4.7122488349989659E-2</v>
      </c>
      <c r="G404" s="226">
        <v>0</v>
      </c>
    </row>
    <row r="405" spans="1:7">
      <c r="A405" s="226" t="s">
        <v>1243</v>
      </c>
      <c r="B405" s="226" t="s">
        <v>1235</v>
      </c>
      <c r="C405" s="226" t="s">
        <v>627</v>
      </c>
      <c r="D405" s="226" t="s">
        <v>11</v>
      </c>
      <c r="E405" s="226" t="s">
        <v>664</v>
      </c>
      <c r="F405" s="226">
        <v>4.7122488349989659E-2</v>
      </c>
      <c r="G405" s="226">
        <v>0</v>
      </c>
    </row>
    <row r="406" spans="1:7">
      <c r="A406" s="226" t="s">
        <v>1243</v>
      </c>
      <c r="B406" s="226" t="s">
        <v>1235</v>
      </c>
      <c r="C406" s="226" t="s">
        <v>627</v>
      </c>
      <c r="D406" s="226" t="s">
        <v>11</v>
      </c>
      <c r="E406" s="226" t="s">
        <v>665</v>
      </c>
      <c r="F406" s="226">
        <v>4.7122488349989659E-2</v>
      </c>
      <c r="G406" s="226">
        <v>0</v>
      </c>
    </row>
    <row r="407" spans="1:7">
      <c r="A407" s="226" t="s">
        <v>1243</v>
      </c>
      <c r="B407" s="226" t="s">
        <v>1235</v>
      </c>
      <c r="C407" s="226" t="s">
        <v>627</v>
      </c>
      <c r="D407" s="226" t="s">
        <v>11</v>
      </c>
      <c r="E407" s="226" t="s">
        <v>666</v>
      </c>
      <c r="F407" s="226">
        <v>4.7122488349989659E-2</v>
      </c>
      <c r="G407" s="226">
        <v>0</v>
      </c>
    </row>
    <row r="408" spans="1:7">
      <c r="A408" s="226" t="s">
        <v>1243</v>
      </c>
      <c r="B408" s="226" t="s">
        <v>1235</v>
      </c>
      <c r="C408" s="226" t="s">
        <v>627</v>
      </c>
      <c r="D408" s="226" t="s">
        <v>11</v>
      </c>
      <c r="E408" s="226" t="s">
        <v>667</v>
      </c>
      <c r="F408" s="226">
        <v>4.7122488349989659E-2</v>
      </c>
      <c r="G408" s="226">
        <v>0</v>
      </c>
    </row>
    <row r="409" spans="1:7">
      <c r="A409" s="226" t="s">
        <v>1243</v>
      </c>
      <c r="B409" s="226" t="s">
        <v>1235</v>
      </c>
      <c r="C409" s="226" t="s">
        <v>627</v>
      </c>
      <c r="D409" s="226" t="s">
        <v>12</v>
      </c>
      <c r="E409" s="226" t="s">
        <v>618</v>
      </c>
      <c r="F409" s="226">
        <v>0</v>
      </c>
      <c r="G409" s="226">
        <v>0</v>
      </c>
    </row>
    <row r="410" spans="1:7">
      <c r="A410" s="226" t="s">
        <v>1243</v>
      </c>
      <c r="B410" s="226" t="s">
        <v>1235</v>
      </c>
      <c r="C410" s="226" t="s">
        <v>627</v>
      </c>
      <c r="D410" s="226" t="s">
        <v>12</v>
      </c>
      <c r="E410" s="226" t="s">
        <v>619</v>
      </c>
      <c r="F410" s="226">
        <v>0</v>
      </c>
      <c r="G410" s="226">
        <v>0</v>
      </c>
    </row>
    <row r="411" spans="1:7">
      <c r="A411" s="226" t="s">
        <v>1243</v>
      </c>
      <c r="B411" s="226" t="s">
        <v>1235</v>
      </c>
      <c r="C411" s="226" t="s">
        <v>627</v>
      </c>
      <c r="D411" s="226" t="s">
        <v>12</v>
      </c>
      <c r="E411" s="226" t="s">
        <v>620</v>
      </c>
      <c r="F411" s="226">
        <v>6.7774948424627071E-2</v>
      </c>
      <c r="G411" s="226">
        <v>0</v>
      </c>
    </row>
    <row r="412" spans="1:7">
      <c r="A412" s="226" t="s">
        <v>1243</v>
      </c>
      <c r="B412" s="226" t="s">
        <v>1235</v>
      </c>
      <c r="C412" s="226" t="s">
        <v>627</v>
      </c>
      <c r="D412" s="226" t="s">
        <v>12</v>
      </c>
      <c r="E412" s="226" t="s">
        <v>660</v>
      </c>
      <c r="F412" s="226">
        <v>6.7774948424627071E-2</v>
      </c>
      <c r="G412" s="226">
        <v>0</v>
      </c>
    </row>
    <row r="413" spans="1:7">
      <c r="A413" s="226" t="s">
        <v>1243</v>
      </c>
      <c r="B413" s="226" t="s">
        <v>1235</v>
      </c>
      <c r="C413" s="226" t="s">
        <v>627</v>
      </c>
      <c r="D413" s="226" t="s">
        <v>12</v>
      </c>
      <c r="E413" s="226" t="s">
        <v>661</v>
      </c>
      <c r="F413" s="226">
        <v>6.7774948424627071E-2</v>
      </c>
      <c r="G413" s="226">
        <v>0</v>
      </c>
    </row>
    <row r="414" spans="1:7">
      <c r="A414" s="226" t="s">
        <v>1243</v>
      </c>
      <c r="B414" s="226" t="s">
        <v>1235</v>
      </c>
      <c r="C414" s="226" t="s">
        <v>627</v>
      </c>
      <c r="D414" s="226" t="s">
        <v>12</v>
      </c>
      <c r="E414" s="226" t="s">
        <v>662</v>
      </c>
      <c r="F414" s="226">
        <v>6.7774948424627071E-2</v>
      </c>
      <c r="G414" s="226">
        <v>0</v>
      </c>
    </row>
    <row r="415" spans="1:7">
      <c r="A415" s="226" t="s">
        <v>1243</v>
      </c>
      <c r="B415" s="226" t="s">
        <v>1235</v>
      </c>
      <c r="C415" s="226" t="s">
        <v>627</v>
      </c>
      <c r="D415" s="226" t="s">
        <v>12</v>
      </c>
      <c r="E415" s="226" t="s">
        <v>663</v>
      </c>
      <c r="F415" s="226">
        <v>6.7774948424627071E-2</v>
      </c>
      <c r="G415" s="226">
        <v>0</v>
      </c>
    </row>
    <row r="416" spans="1:7">
      <c r="A416" s="226" t="s">
        <v>1243</v>
      </c>
      <c r="B416" s="226" t="s">
        <v>1235</v>
      </c>
      <c r="C416" s="226" t="s">
        <v>627</v>
      </c>
      <c r="D416" s="226" t="s">
        <v>12</v>
      </c>
      <c r="E416" s="226" t="s">
        <v>664</v>
      </c>
      <c r="F416" s="226">
        <v>6.7774948424627071E-2</v>
      </c>
      <c r="G416" s="226">
        <v>0</v>
      </c>
    </row>
    <row r="417" spans="1:7">
      <c r="A417" s="226" t="s">
        <v>1243</v>
      </c>
      <c r="B417" s="226" t="s">
        <v>1235</v>
      </c>
      <c r="C417" s="226" t="s">
        <v>627</v>
      </c>
      <c r="D417" s="226" t="s">
        <v>12</v>
      </c>
      <c r="E417" s="226" t="s">
        <v>665</v>
      </c>
      <c r="F417" s="226">
        <v>6.7774948424627071E-2</v>
      </c>
      <c r="G417" s="226">
        <v>0</v>
      </c>
    </row>
    <row r="418" spans="1:7">
      <c r="A418" s="226" t="s">
        <v>1243</v>
      </c>
      <c r="B418" s="226" t="s">
        <v>1235</v>
      </c>
      <c r="C418" s="226" t="s">
        <v>627</v>
      </c>
      <c r="D418" s="226" t="s">
        <v>12</v>
      </c>
      <c r="E418" s="226" t="s">
        <v>666</v>
      </c>
      <c r="F418" s="226">
        <v>6.7774948424627071E-2</v>
      </c>
      <c r="G418" s="226">
        <v>0</v>
      </c>
    </row>
    <row r="419" spans="1:7">
      <c r="A419" s="226" t="s">
        <v>1243</v>
      </c>
      <c r="B419" s="226" t="s">
        <v>1235</v>
      </c>
      <c r="C419" s="226" t="s">
        <v>627</v>
      </c>
      <c r="D419" s="226" t="s">
        <v>12</v>
      </c>
      <c r="E419" s="226" t="s">
        <v>667</v>
      </c>
      <c r="F419" s="226">
        <v>6.7774948424627071E-2</v>
      </c>
      <c r="G419" s="226">
        <v>0</v>
      </c>
    </row>
    <row r="420" spans="1:7">
      <c r="A420" s="226" t="s">
        <v>1243</v>
      </c>
      <c r="B420" s="226" t="s">
        <v>1235</v>
      </c>
      <c r="C420" s="226" t="s">
        <v>626</v>
      </c>
      <c r="D420" s="226" t="s">
        <v>9</v>
      </c>
      <c r="E420" s="226" t="s">
        <v>618</v>
      </c>
      <c r="F420" s="226">
        <v>0</v>
      </c>
      <c r="G420" s="226">
        <v>0</v>
      </c>
    </row>
    <row r="421" spans="1:7">
      <c r="A421" s="226" t="s">
        <v>1243</v>
      </c>
      <c r="B421" s="226" t="s">
        <v>1235</v>
      </c>
      <c r="C421" s="226" t="s">
        <v>626</v>
      </c>
      <c r="D421" s="226" t="s">
        <v>9</v>
      </c>
      <c r="E421" s="226" t="s">
        <v>619</v>
      </c>
      <c r="F421" s="226">
        <v>0</v>
      </c>
      <c r="G421" s="226">
        <v>0</v>
      </c>
    </row>
    <row r="422" spans="1:7">
      <c r="A422" s="226" t="s">
        <v>1243</v>
      </c>
      <c r="B422" s="226" t="s">
        <v>1235</v>
      </c>
      <c r="C422" s="226" t="s">
        <v>626</v>
      </c>
      <c r="D422" s="226" t="s">
        <v>9</v>
      </c>
      <c r="E422" s="226" t="s">
        <v>620</v>
      </c>
      <c r="F422" s="226">
        <v>1.5278878862203391E-2</v>
      </c>
      <c r="G422" s="226">
        <v>0</v>
      </c>
    </row>
    <row r="423" spans="1:7">
      <c r="A423" s="226" t="s">
        <v>1243</v>
      </c>
      <c r="B423" s="226" t="s">
        <v>1235</v>
      </c>
      <c r="C423" s="226" t="s">
        <v>626</v>
      </c>
      <c r="D423" s="226" t="s">
        <v>9</v>
      </c>
      <c r="E423" s="226" t="s">
        <v>660</v>
      </c>
      <c r="F423" s="226">
        <v>1.5278878862203391E-2</v>
      </c>
      <c r="G423" s="226">
        <v>0</v>
      </c>
    </row>
    <row r="424" spans="1:7">
      <c r="A424" s="226" t="s">
        <v>1243</v>
      </c>
      <c r="B424" s="226" t="s">
        <v>1235</v>
      </c>
      <c r="C424" s="226" t="s">
        <v>626</v>
      </c>
      <c r="D424" s="226" t="s">
        <v>9</v>
      </c>
      <c r="E424" s="226" t="s">
        <v>661</v>
      </c>
      <c r="F424" s="226">
        <v>1.5278878862203391E-2</v>
      </c>
      <c r="G424" s="226">
        <v>0</v>
      </c>
    </row>
    <row r="425" spans="1:7">
      <c r="A425" s="226" t="s">
        <v>1243</v>
      </c>
      <c r="B425" s="226" t="s">
        <v>1235</v>
      </c>
      <c r="C425" s="226" t="s">
        <v>626</v>
      </c>
      <c r="D425" s="226" t="s">
        <v>9</v>
      </c>
      <c r="E425" s="226" t="s">
        <v>662</v>
      </c>
      <c r="F425" s="226">
        <v>1.5278878862203391E-2</v>
      </c>
      <c r="G425" s="226">
        <v>0</v>
      </c>
    </row>
    <row r="426" spans="1:7">
      <c r="A426" s="226" t="s">
        <v>1243</v>
      </c>
      <c r="B426" s="226" t="s">
        <v>1235</v>
      </c>
      <c r="C426" s="226" t="s">
        <v>626</v>
      </c>
      <c r="D426" s="226" t="s">
        <v>9</v>
      </c>
      <c r="E426" s="226" t="s">
        <v>663</v>
      </c>
      <c r="F426" s="226">
        <v>1.5278878862203391E-2</v>
      </c>
      <c r="G426" s="226">
        <v>0</v>
      </c>
    </row>
    <row r="427" spans="1:7">
      <c r="A427" s="226" t="s">
        <v>1243</v>
      </c>
      <c r="B427" s="226" t="s">
        <v>1235</v>
      </c>
      <c r="C427" s="226" t="s">
        <v>626</v>
      </c>
      <c r="D427" s="226" t="s">
        <v>9</v>
      </c>
      <c r="E427" s="226" t="s">
        <v>664</v>
      </c>
      <c r="F427" s="226">
        <v>1.5278878862203391E-2</v>
      </c>
      <c r="G427" s="226">
        <v>0</v>
      </c>
    </row>
    <row r="428" spans="1:7">
      <c r="A428" s="226" t="s">
        <v>1243</v>
      </c>
      <c r="B428" s="226" t="s">
        <v>1235</v>
      </c>
      <c r="C428" s="226" t="s">
        <v>626</v>
      </c>
      <c r="D428" s="226" t="s">
        <v>9</v>
      </c>
      <c r="E428" s="226" t="s">
        <v>665</v>
      </c>
      <c r="F428" s="226">
        <v>1.5278878862203391E-2</v>
      </c>
      <c r="G428" s="226">
        <v>0</v>
      </c>
    </row>
    <row r="429" spans="1:7">
      <c r="A429" s="226" t="s">
        <v>1243</v>
      </c>
      <c r="B429" s="226" t="s">
        <v>1235</v>
      </c>
      <c r="C429" s="226" t="s">
        <v>626</v>
      </c>
      <c r="D429" s="226" t="s">
        <v>9</v>
      </c>
      <c r="E429" s="226" t="s">
        <v>666</v>
      </c>
      <c r="F429" s="226">
        <v>1.5278878862203391E-2</v>
      </c>
      <c r="G429" s="226">
        <v>0</v>
      </c>
    </row>
    <row r="430" spans="1:7">
      <c r="A430" s="226" t="s">
        <v>1243</v>
      </c>
      <c r="B430" s="226" t="s">
        <v>1235</v>
      </c>
      <c r="C430" s="226" t="s">
        <v>626</v>
      </c>
      <c r="D430" s="226" t="s">
        <v>9</v>
      </c>
      <c r="E430" s="226" t="s">
        <v>667</v>
      </c>
      <c r="F430" s="226">
        <v>1.5278878862203391E-2</v>
      </c>
      <c r="G430" s="226">
        <v>0</v>
      </c>
    </row>
    <row r="431" spans="1:7">
      <c r="A431" s="226" t="s">
        <v>1243</v>
      </c>
      <c r="B431" s="226" t="s">
        <v>1235</v>
      </c>
      <c r="C431" s="226" t="s">
        <v>626</v>
      </c>
      <c r="D431" s="226" t="s">
        <v>10</v>
      </c>
      <c r="E431" s="226" t="s">
        <v>618</v>
      </c>
      <c r="F431" s="226">
        <v>0</v>
      </c>
      <c r="G431" s="226">
        <v>0</v>
      </c>
    </row>
    <row r="432" spans="1:7">
      <c r="A432" s="226" t="s">
        <v>1243</v>
      </c>
      <c r="B432" s="226" t="s">
        <v>1235</v>
      </c>
      <c r="C432" s="226" t="s">
        <v>626</v>
      </c>
      <c r="D432" s="226" t="s">
        <v>10</v>
      </c>
      <c r="E432" s="226" t="s">
        <v>619</v>
      </c>
      <c r="F432" s="226">
        <v>0</v>
      </c>
      <c r="G432" s="226">
        <v>0</v>
      </c>
    </row>
    <row r="433" spans="1:7">
      <c r="A433" s="226" t="s">
        <v>1243</v>
      </c>
      <c r="B433" s="226" t="s">
        <v>1235</v>
      </c>
      <c r="C433" s="226" t="s">
        <v>626</v>
      </c>
      <c r="D433" s="226" t="s">
        <v>10</v>
      </c>
      <c r="E433" s="226" t="s">
        <v>620</v>
      </c>
      <c r="F433" s="226">
        <v>0.36354651154143058</v>
      </c>
      <c r="G433" s="226">
        <v>0</v>
      </c>
    </row>
    <row r="434" spans="1:7">
      <c r="A434" s="226" t="s">
        <v>1243</v>
      </c>
      <c r="B434" s="226" t="s">
        <v>1235</v>
      </c>
      <c r="C434" s="226" t="s">
        <v>626</v>
      </c>
      <c r="D434" s="226" t="s">
        <v>10</v>
      </c>
      <c r="E434" s="226" t="s">
        <v>660</v>
      </c>
      <c r="F434" s="226">
        <v>0.36354651154143058</v>
      </c>
      <c r="G434" s="226">
        <v>0</v>
      </c>
    </row>
    <row r="435" spans="1:7">
      <c r="A435" s="226" t="s">
        <v>1243</v>
      </c>
      <c r="B435" s="226" t="s">
        <v>1235</v>
      </c>
      <c r="C435" s="226" t="s">
        <v>626</v>
      </c>
      <c r="D435" s="226" t="s">
        <v>10</v>
      </c>
      <c r="E435" s="226" t="s">
        <v>661</v>
      </c>
      <c r="F435" s="226">
        <v>0.36354651154143058</v>
      </c>
      <c r="G435" s="226">
        <v>0</v>
      </c>
    </row>
    <row r="436" spans="1:7">
      <c r="A436" s="226" t="s">
        <v>1243</v>
      </c>
      <c r="B436" s="226" t="s">
        <v>1235</v>
      </c>
      <c r="C436" s="226" t="s">
        <v>626</v>
      </c>
      <c r="D436" s="226" t="s">
        <v>10</v>
      </c>
      <c r="E436" s="226" t="s">
        <v>662</v>
      </c>
      <c r="F436" s="226">
        <v>0.36354651154143058</v>
      </c>
      <c r="G436" s="226">
        <v>0</v>
      </c>
    </row>
    <row r="437" spans="1:7">
      <c r="A437" s="226" t="s">
        <v>1243</v>
      </c>
      <c r="B437" s="226" t="s">
        <v>1235</v>
      </c>
      <c r="C437" s="226" t="s">
        <v>626</v>
      </c>
      <c r="D437" s="226" t="s">
        <v>10</v>
      </c>
      <c r="E437" s="226" t="s">
        <v>663</v>
      </c>
      <c r="F437" s="226">
        <v>0.36354651154143058</v>
      </c>
      <c r="G437" s="226">
        <v>0</v>
      </c>
    </row>
    <row r="438" spans="1:7">
      <c r="A438" s="226" t="s">
        <v>1243</v>
      </c>
      <c r="B438" s="226" t="s">
        <v>1235</v>
      </c>
      <c r="C438" s="226" t="s">
        <v>626</v>
      </c>
      <c r="D438" s="226" t="s">
        <v>10</v>
      </c>
      <c r="E438" s="226" t="s">
        <v>664</v>
      </c>
      <c r="F438" s="226">
        <v>0.36354651154143058</v>
      </c>
      <c r="G438" s="226">
        <v>0</v>
      </c>
    </row>
    <row r="439" spans="1:7">
      <c r="A439" s="226" t="s">
        <v>1243</v>
      </c>
      <c r="B439" s="226" t="s">
        <v>1235</v>
      </c>
      <c r="C439" s="226" t="s">
        <v>626</v>
      </c>
      <c r="D439" s="226" t="s">
        <v>10</v>
      </c>
      <c r="E439" s="226" t="s">
        <v>665</v>
      </c>
      <c r="F439" s="226">
        <v>0.36354651154143058</v>
      </c>
      <c r="G439" s="226">
        <v>0</v>
      </c>
    </row>
    <row r="440" spans="1:7">
      <c r="A440" s="226" t="s">
        <v>1243</v>
      </c>
      <c r="B440" s="226" t="s">
        <v>1235</v>
      </c>
      <c r="C440" s="226" t="s">
        <v>626</v>
      </c>
      <c r="D440" s="226" t="s">
        <v>10</v>
      </c>
      <c r="E440" s="226" t="s">
        <v>666</v>
      </c>
      <c r="F440" s="226">
        <v>0.36354651154143058</v>
      </c>
      <c r="G440" s="226">
        <v>0</v>
      </c>
    </row>
    <row r="441" spans="1:7">
      <c r="A441" s="226" t="s">
        <v>1243</v>
      </c>
      <c r="B441" s="226" t="s">
        <v>1235</v>
      </c>
      <c r="C441" s="226" t="s">
        <v>626</v>
      </c>
      <c r="D441" s="226" t="s">
        <v>10</v>
      </c>
      <c r="E441" s="226" t="s">
        <v>667</v>
      </c>
      <c r="F441" s="226">
        <v>0.36354651154143058</v>
      </c>
      <c r="G441" s="226">
        <v>0</v>
      </c>
    </row>
    <row r="442" spans="1:7">
      <c r="A442" s="226" t="s">
        <v>1243</v>
      </c>
      <c r="B442" s="226" t="s">
        <v>1235</v>
      </c>
      <c r="C442" s="226" t="s">
        <v>963</v>
      </c>
      <c r="D442" s="226" t="s">
        <v>16</v>
      </c>
      <c r="E442" s="226" t="s">
        <v>618</v>
      </c>
      <c r="F442" s="226">
        <v>0</v>
      </c>
      <c r="G442" s="226">
        <v>0</v>
      </c>
    </row>
    <row r="443" spans="1:7">
      <c r="A443" s="226" t="s">
        <v>1243</v>
      </c>
      <c r="B443" s="226" t="s">
        <v>1235</v>
      </c>
      <c r="C443" s="226" t="s">
        <v>963</v>
      </c>
      <c r="D443" s="226" t="s">
        <v>16</v>
      </c>
      <c r="E443" s="226" t="s">
        <v>619</v>
      </c>
      <c r="F443" s="226">
        <v>0</v>
      </c>
      <c r="G443" s="226">
        <v>0</v>
      </c>
    </row>
    <row r="444" spans="1:7">
      <c r="A444" s="226" t="s">
        <v>1243</v>
      </c>
      <c r="B444" s="226" t="s">
        <v>1235</v>
      </c>
      <c r="C444" s="226" t="s">
        <v>963</v>
      </c>
      <c r="D444" s="226" t="s">
        <v>16</v>
      </c>
      <c r="E444" s="226" t="s">
        <v>620</v>
      </c>
      <c r="F444" s="226">
        <v>3.4674863196974041E-2</v>
      </c>
      <c r="G444" s="226">
        <v>0</v>
      </c>
    </row>
    <row r="445" spans="1:7">
      <c r="A445" s="226" t="s">
        <v>1243</v>
      </c>
      <c r="B445" s="226" t="s">
        <v>1235</v>
      </c>
      <c r="C445" s="226" t="s">
        <v>963</v>
      </c>
      <c r="D445" s="226" t="s">
        <v>16</v>
      </c>
      <c r="E445" s="226" t="s">
        <v>660</v>
      </c>
      <c r="F445" s="226">
        <v>3.4674863196974041E-2</v>
      </c>
      <c r="G445" s="226">
        <v>0</v>
      </c>
    </row>
    <row r="446" spans="1:7">
      <c r="A446" s="226" t="s">
        <v>1243</v>
      </c>
      <c r="B446" s="226" t="s">
        <v>1235</v>
      </c>
      <c r="C446" s="226" t="s">
        <v>963</v>
      </c>
      <c r="D446" s="226" t="s">
        <v>16</v>
      </c>
      <c r="E446" s="226" t="s">
        <v>661</v>
      </c>
      <c r="F446" s="226">
        <v>3.4674863196974041E-2</v>
      </c>
      <c r="G446" s="226">
        <v>0</v>
      </c>
    </row>
    <row r="447" spans="1:7">
      <c r="A447" s="226" t="s">
        <v>1243</v>
      </c>
      <c r="B447" s="226" t="s">
        <v>1235</v>
      </c>
      <c r="C447" s="226" t="s">
        <v>963</v>
      </c>
      <c r="D447" s="226" t="s">
        <v>16</v>
      </c>
      <c r="E447" s="226" t="s">
        <v>662</v>
      </c>
      <c r="F447" s="226">
        <v>3.4674863196974041E-2</v>
      </c>
      <c r="G447" s="226">
        <v>0</v>
      </c>
    </row>
    <row r="448" spans="1:7">
      <c r="A448" s="226" t="s">
        <v>1243</v>
      </c>
      <c r="B448" s="226" t="s">
        <v>1235</v>
      </c>
      <c r="C448" s="226" t="s">
        <v>963</v>
      </c>
      <c r="D448" s="226" t="s">
        <v>16</v>
      </c>
      <c r="E448" s="226" t="s">
        <v>663</v>
      </c>
      <c r="F448" s="226">
        <v>3.4674863196974041E-2</v>
      </c>
      <c r="G448" s="226">
        <v>0</v>
      </c>
    </row>
    <row r="449" spans="1:7">
      <c r="A449" s="226" t="s">
        <v>1243</v>
      </c>
      <c r="B449" s="226" t="s">
        <v>1235</v>
      </c>
      <c r="C449" s="226" t="s">
        <v>963</v>
      </c>
      <c r="D449" s="226" t="s">
        <v>16</v>
      </c>
      <c r="E449" s="226" t="s">
        <v>664</v>
      </c>
      <c r="F449" s="226">
        <v>3.4674863196974041E-2</v>
      </c>
      <c r="G449" s="226">
        <v>0</v>
      </c>
    </row>
    <row r="450" spans="1:7">
      <c r="A450" s="226" t="s">
        <v>1243</v>
      </c>
      <c r="B450" s="226" t="s">
        <v>1235</v>
      </c>
      <c r="C450" s="226" t="s">
        <v>963</v>
      </c>
      <c r="D450" s="226" t="s">
        <v>16</v>
      </c>
      <c r="E450" s="226" t="s">
        <v>665</v>
      </c>
      <c r="F450" s="226">
        <v>3.4674863196974041E-2</v>
      </c>
      <c r="G450" s="226">
        <v>0</v>
      </c>
    </row>
    <row r="451" spans="1:7">
      <c r="A451" s="226" t="s">
        <v>1243</v>
      </c>
      <c r="B451" s="226" t="s">
        <v>1235</v>
      </c>
      <c r="C451" s="226" t="s">
        <v>963</v>
      </c>
      <c r="D451" s="226" t="s">
        <v>16</v>
      </c>
      <c r="E451" s="226" t="s">
        <v>666</v>
      </c>
      <c r="F451" s="226">
        <v>3.4674863196974041E-2</v>
      </c>
      <c r="G451" s="226">
        <v>0</v>
      </c>
    </row>
    <row r="452" spans="1:7">
      <c r="A452" s="226" t="s">
        <v>1243</v>
      </c>
      <c r="B452" s="226" t="s">
        <v>1235</v>
      </c>
      <c r="C452" s="226" t="s">
        <v>963</v>
      </c>
      <c r="D452" s="226" t="s">
        <v>16</v>
      </c>
      <c r="E452" s="226" t="s">
        <v>667</v>
      </c>
      <c r="F452" s="226">
        <v>3.4674863196974041E-2</v>
      </c>
      <c r="G452" s="226">
        <v>0</v>
      </c>
    </row>
    <row r="453" spans="1:7">
      <c r="A453" s="226" t="s">
        <v>1243</v>
      </c>
      <c r="B453" s="226" t="s">
        <v>1235</v>
      </c>
      <c r="C453" s="226" t="s">
        <v>625</v>
      </c>
      <c r="D453" s="226" t="s">
        <v>1</v>
      </c>
      <c r="E453" s="226" t="s">
        <v>618</v>
      </c>
      <c r="F453" s="226">
        <v>0</v>
      </c>
      <c r="G453" s="226">
        <v>0</v>
      </c>
    </row>
    <row r="454" spans="1:7">
      <c r="A454" s="226" t="s">
        <v>1243</v>
      </c>
      <c r="B454" s="226" t="s">
        <v>1235</v>
      </c>
      <c r="C454" s="226" t="s">
        <v>625</v>
      </c>
      <c r="D454" s="226" t="s">
        <v>1</v>
      </c>
      <c r="E454" s="226" t="s">
        <v>619</v>
      </c>
      <c r="F454" s="226">
        <v>0</v>
      </c>
      <c r="G454" s="226">
        <v>0</v>
      </c>
    </row>
    <row r="455" spans="1:7">
      <c r="A455" s="226" t="s">
        <v>1243</v>
      </c>
      <c r="B455" s="226" t="s">
        <v>1235</v>
      </c>
      <c r="C455" s="226" t="s">
        <v>625</v>
      </c>
      <c r="D455" s="226" t="s">
        <v>1</v>
      </c>
      <c r="E455" s="226" t="s">
        <v>620</v>
      </c>
      <c r="F455" s="226">
        <v>6.9946543074174824E-3</v>
      </c>
      <c r="G455" s="226">
        <v>0</v>
      </c>
    </row>
    <row r="456" spans="1:7">
      <c r="A456" s="226" t="s">
        <v>1243</v>
      </c>
      <c r="B456" s="226" t="s">
        <v>1235</v>
      </c>
      <c r="C456" s="226" t="s">
        <v>625</v>
      </c>
      <c r="D456" s="226" t="s">
        <v>1</v>
      </c>
      <c r="E456" s="226" t="s">
        <v>660</v>
      </c>
      <c r="F456" s="226">
        <v>6.9946543074174824E-3</v>
      </c>
      <c r="G456" s="226">
        <v>0</v>
      </c>
    </row>
    <row r="457" spans="1:7">
      <c r="A457" s="226" t="s">
        <v>1243</v>
      </c>
      <c r="B457" s="226" t="s">
        <v>1235</v>
      </c>
      <c r="C457" s="226" t="s">
        <v>625</v>
      </c>
      <c r="D457" s="226" t="s">
        <v>1</v>
      </c>
      <c r="E457" s="226" t="s">
        <v>661</v>
      </c>
      <c r="F457" s="226">
        <v>6.9946543074174824E-3</v>
      </c>
      <c r="G457" s="226">
        <v>0</v>
      </c>
    </row>
    <row r="458" spans="1:7">
      <c r="A458" s="226" t="s">
        <v>1243</v>
      </c>
      <c r="B458" s="226" t="s">
        <v>1235</v>
      </c>
      <c r="C458" s="226" t="s">
        <v>625</v>
      </c>
      <c r="D458" s="226" t="s">
        <v>1</v>
      </c>
      <c r="E458" s="226" t="s">
        <v>662</v>
      </c>
      <c r="F458" s="226">
        <v>6.9946543074174824E-3</v>
      </c>
      <c r="G458" s="226">
        <v>0</v>
      </c>
    </row>
    <row r="459" spans="1:7">
      <c r="A459" s="226" t="s">
        <v>1243</v>
      </c>
      <c r="B459" s="226" t="s">
        <v>1235</v>
      </c>
      <c r="C459" s="226" t="s">
        <v>625</v>
      </c>
      <c r="D459" s="226" t="s">
        <v>1</v>
      </c>
      <c r="E459" s="226" t="s">
        <v>663</v>
      </c>
      <c r="F459" s="226">
        <v>6.9946543074174824E-3</v>
      </c>
      <c r="G459" s="226">
        <v>0</v>
      </c>
    </row>
    <row r="460" spans="1:7">
      <c r="A460" s="226" t="s">
        <v>1243</v>
      </c>
      <c r="B460" s="226" t="s">
        <v>1235</v>
      </c>
      <c r="C460" s="226" t="s">
        <v>625</v>
      </c>
      <c r="D460" s="226" t="s">
        <v>1</v>
      </c>
      <c r="E460" s="226" t="s">
        <v>664</v>
      </c>
      <c r="F460" s="226">
        <v>6.9946543074174824E-3</v>
      </c>
      <c r="G460" s="226">
        <v>0</v>
      </c>
    </row>
    <row r="461" spans="1:7">
      <c r="A461" s="226" t="s">
        <v>1243</v>
      </c>
      <c r="B461" s="226" t="s">
        <v>1235</v>
      </c>
      <c r="C461" s="226" t="s">
        <v>625</v>
      </c>
      <c r="D461" s="226" t="s">
        <v>1</v>
      </c>
      <c r="E461" s="226" t="s">
        <v>665</v>
      </c>
      <c r="F461" s="226">
        <v>6.9946543074174824E-3</v>
      </c>
      <c r="G461" s="226">
        <v>0</v>
      </c>
    </row>
    <row r="462" spans="1:7">
      <c r="A462" s="226" t="s">
        <v>1243</v>
      </c>
      <c r="B462" s="226" t="s">
        <v>1235</v>
      </c>
      <c r="C462" s="226" t="s">
        <v>625</v>
      </c>
      <c r="D462" s="226" t="s">
        <v>1</v>
      </c>
      <c r="E462" s="226" t="s">
        <v>666</v>
      </c>
      <c r="F462" s="226">
        <v>6.9946543074174824E-3</v>
      </c>
      <c r="G462" s="226">
        <v>0</v>
      </c>
    </row>
    <row r="463" spans="1:7">
      <c r="A463" s="226" t="s">
        <v>1243</v>
      </c>
      <c r="B463" s="226" t="s">
        <v>1235</v>
      </c>
      <c r="C463" s="226" t="s">
        <v>625</v>
      </c>
      <c r="D463" s="226" t="s">
        <v>1</v>
      </c>
      <c r="E463" s="226" t="s">
        <v>667</v>
      </c>
      <c r="F463" s="226">
        <v>6.9946543074174824E-3</v>
      </c>
      <c r="G463" s="226">
        <v>0</v>
      </c>
    </row>
    <row r="464" spans="1:7">
      <c r="A464" s="226" t="s">
        <v>1243</v>
      </c>
      <c r="B464" s="226" t="s">
        <v>1235</v>
      </c>
      <c r="C464" s="226" t="s">
        <v>625</v>
      </c>
      <c r="D464" s="226" t="s">
        <v>6</v>
      </c>
      <c r="E464" s="226" t="s">
        <v>618</v>
      </c>
      <c r="F464" s="226">
        <v>0</v>
      </c>
      <c r="G464" s="226">
        <v>0</v>
      </c>
    </row>
    <row r="465" spans="1:7">
      <c r="A465" s="226" t="s">
        <v>1243</v>
      </c>
      <c r="B465" s="226" t="s">
        <v>1235</v>
      </c>
      <c r="C465" s="226" t="s">
        <v>625</v>
      </c>
      <c r="D465" s="226" t="s">
        <v>6</v>
      </c>
      <c r="E465" s="226" t="s">
        <v>619</v>
      </c>
      <c r="F465" s="226">
        <v>0</v>
      </c>
      <c r="G465" s="226">
        <v>0</v>
      </c>
    </row>
    <row r="466" spans="1:7">
      <c r="A466" s="226" t="s">
        <v>1243</v>
      </c>
      <c r="B466" s="226" t="s">
        <v>1235</v>
      </c>
      <c r="C466" s="226" t="s">
        <v>625</v>
      </c>
      <c r="D466" s="226" t="s">
        <v>6</v>
      </c>
      <c r="E466" s="226" t="s">
        <v>620</v>
      </c>
      <c r="F466" s="226">
        <v>0.10452928083032259</v>
      </c>
      <c r="G466" s="226">
        <v>0</v>
      </c>
    </row>
    <row r="467" spans="1:7">
      <c r="A467" s="226" t="s">
        <v>1243</v>
      </c>
      <c r="B467" s="226" t="s">
        <v>1235</v>
      </c>
      <c r="C467" s="226" t="s">
        <v>625</v>
      </c>
      <c r="D467" s="226" t="s">
        <v>6</v>
      </c>
      <c r="E467" s="226" t="s">
        <v>660</v>
      </c>
      <c r="F467" s="226">
        <v>0.10452928083032259</v>
      </c>
      <c r="G467" s="226">
        <v>0</v>
      </c>
    </row>
    <row r="468" spans="1:7">
      <c r="A468" s="226" t="s">
        <v>1243</v>
      </c>
      <c r="B468" s="226" t="s">
        <v>1235</v>
      </c>
      <c r="C468" s="226" t="s">
        <v>625</v>
      </c>
      <c r="D468" s="226" t="s">
        <v>6</v>
      </c>
      <c r="E468" s="226" t="s">
        <v>661</v>
      </c>
      <c r="F468" s="226">
        <v>0.10452928083032259</v>
      </c>
      <c r="G468" s="226">
        <v>0</v>
      </c>
    </row>
    <row r="469" spans="1:7">
      <c r="A469" s="226" t="s">
        <v>1243</v>
      </c>
      <c r="B469" s="226" t="s">
        <v>1235</v>
      </c>
      <c r="C469" s="226" t="s">
        <v>625</v>
      </c>
      <c r="D469" s="226" t="s">
        <v>6</v>
      </c>
      <c r="E469" s="226" t="s">
        <v>662</v>
      </c>
      <c r="F469" s="226">
        <v>0.10452928083032259</v>
      </c>
      <c r="G469" s="226">
        <v>0</v>
      </c>
    </row>
    <row r="470" spans="1:7">
      <c r="A470" s="226" t="s">
        <v>1243</v>
      </c>
      <c r="B470" s="226" t="s">
        <v>1235</v>
      </c>
      <c r="C470" s="226" t="s">
        <v>625</v>
      </c>
      <c r="D470" s="226" t="s">
        <v>6</v>
      </c>
      <c r="E470" s="226" t="s">
        <v>663</v>
      </c>
      <c r="F470" s="226">
        <v>0.10452928083032259</v>
      </c>
      <c r="G470" s="226">
        <v>0</v>
      </c>
    </row>
    <row r="471" spans="1:7">
      <c r="A471" s="226" t="s">
        <v>1243</v>
      </c>
      <c r="B471" s="226" t="s">
        <v>1235</v>
      </c>
      <c r="C471" s="226" t="s">
        <v>625</v>
      </c>
      <c r="D471" s="226" t="s">
        <v>6</v>
      </c>
      <c r="E471" s="226" t="s">
        <v>664</v>
      </c>
      <c r="F471" s="226">
        <v>0.10452928083032259</v>
      </c>
      <c r="G471" s="226">
        <v>0</v>
      </c>
    </row>
    <row r="472" spans="1:7">
      <c r="A472" s="226" t="s">
        <v>1243</v>
      </c>
      <c r="B472" s="226" t="s">
        <v>1235</v>
      </c>
      <c r="C472" s="226" t="s">
        <v>625</v>
      </c>
      <c r="D472" s="226" t="s">
        <v>6</v>
      </c>
      <c r="E472" s="226" t="s">
        <v>665</v>
      </c>
      <c r="F472" s="226">
        <v>0.10452928083032259</v>
      </c>
      <c r="G472" s="226">
        <v>0</v>
      </c>
    </row>
    <row r="473" spans="1:7">
      <c r="A473" s="226" t="s">
        <v>1243</v>
      </c>
      <c r="B473" s="226" t="s">
        <v>1235</v>
      </c>
      <c r="C473" s="226" t="s">
        <v>625</v>
      </c>
      <c r="D473" s="226" t="s">
        <v>6</v>
      </c>
      <c r="E473" s="226" t="s">
        <v>666</v>
      </c>
      <c r="F473" s="226">
        <v>0.10452928083032259</v>
      </c>
      <c r="G473" s="226">
        <v>0</v>
      </c>
    </row>
    <row r="474" spans="1:7">
      <c r="A474" s="226" t="s">
        <v>1243</v>
      </c>
      <c r="B474" s="226" t="s">
        <v>1235</v>
      </c>
      <c r="C474" s="226" t="s">
        <v>625</v>
      </c>
      <c r="D474" s="226" t="s">
        <v>6</v>
      </c>
      <c r="E474" s="226" t="s">
        <v>667</v>
      </c>
      <c r="F474" s="226">
        <v>0.10452928083032259</v>
      </c>
      <c r="G474" s="226">
        <v>0</v>
      </c>
    </row>
    <row r="475" spans="1:7">
      <c r="A475" s="226" t="s">
        <v>1243</v>
      </c>
      <c r="B475" s="226" t="s">
        <v>1235</v>
      </c>
      <c r="C475" s="226" t="s">
        <v>627</v>
      </c>
      <c r="D475" s="226" t="s">
        <v>13</v>
      </c>
      <c r="E475" s="226" t="s">
        <v>618</v>
      </c>
      <c r="F475" s="226">
        <v>0</v>
      </c>
      <c r="G475" s="226">
        <v>0</v>
      </c>
    </row>
    <row r="476" spans="1:7">
      <c r="A476" s="226" t="s">
        <v>1243</v>
      </c>
      <c r="B476" s="226" t="s">
        <v>1235</v>
      </c>
      <c r="C476" s="226" t="s">
        <v>627</v>
      </c>
      <c r="D476" s="226" t="s">
        <v>13</v>
      </c>
      <c r="E476" s="226" t="s">
        <v>619</v>
      </c>
      <c r="F476" s="226">
        <v>0</v>
      </c>
      <c r="G476" s="226">
        <v>0</v>
      </c>
    </row>
    <row r="477" spans="1:7">
      <c r="A477" s="226" t="s">
        <v>1243</v>
      </c>
      <c r="B477" s="226" t="s">
        <v>1235</v>
      </c>
      <c r="C477" s="226" t="s">
        <v>627</v>
      </c>
      <c r="D477" s="226" t="s">
        <v>13</v>
      </c>
      <c r="E477" s="226" t="s">
        <v>620</v>
      </c>
      <c r="F477" s="226">
        <v>0.12314289613381783</v>
      </c>
      <c r="G477" s="226">
        <v>0</v>
      </c>
    </row>
    <row r="478" spans="1:7">
      <c r="A478" s="226" t="s">
        <v>1243</v>
      </c>
      <c r="B478" s="226" t="s">
        <v>1235</v>
      </c>
      <c r="C478" s="226" t="s">
        <v>627</v>
      </c>
      <c r="D478" s="226" t="s">
        <v>13</v>
      </c>
      <c r="E478" s="226" t="s">
        <v>660</v>
      </c>
      <c r="F478" s="226">
        <v>0.12314289613381783</v>
      </c>
      <c r="G478" s="226">
        <v>0</v>
      </c>
    </row>
    <row r="479" spans="1:7">
      <c r="A479" s="226" t="s">
        <v>1243</v>
      </c>
      <c r="B479" s="226" t="s">
        <v>1235</v>
      </c>
      <c r="C479" s="226" t="s">
        <v>627</v>
      </c>
      <c r="D479" s="226" t="s">
        <v>13</v>
      </c>
      <c r="E479" s="226" t="s">
        <v>661</v>
      </c>
      <c r="F479" s="226">
        <v>0.12314289613381783</v>
      </c>
      <c r="G479" s="226">
        <v>0</v>
      </c>
    </row>
    <row r="480" spans="1:7">
      <c r="A480" s="226" t="s">
        <v>1243</v>
      </c>
      <c r="B480" s="226" t="s">
        <v>1235</v>
      </c>
      <c r="C480" s="226" t="s">
        <v>627</v>
      </c>
      <c r="D480" s="226" t="s">
        <v>13</v>
      </c>
      <c r="E480" s="226" t="s">
        <v>662</v>
      </c>
      <c r="F480" s="226">
        <v>0.12314289613381783</v>
      </c>
      <c r="G480" s="226">
        <v>0</v>
      </c>
    </row>
    <row r="481" spans="1:7">
      <c r="A481" s="226" t="s">
        <v>1243</v>
      </c>
      <c r="B481" s="226" t="s">
        <v>1235</v>
      </c>
      <c r="C481" s="226" t="s">
        <v>627</v>
      </c>
      <c r="D481" s="226" t="s">
        <v>13</v>
      </c>
      <c r="E481" s="226" t="s">
        <v>663</v>
      </c>
      <c r="F481" s="226">
        <v>0.12314289613381783</v>
      </c>
      <c r="G481" s="226">
        <v>0</v>
      </c>
    </row>
    <row r="482" spans="1:7">
      <c r="A482" s="226" t="s">
        <v>1243</v>
      </c>
      <c r="B482" s="226" t="s">
        <v>1235</v>
      </c>
      <c r="C482" s="226" t="s">
        <v>627</v>
      </c>
      <c r="D482" s="226" t="s">
        <v>13</v>
      </c>
      <c r="E482" s="226" t="s">
        <v>664</v>
      </c>
      <c r="F482" s="226">
        <v>0.12314289613381783</v>
      </c>
      <c r="G482" s="226">
        <v>0</v>
      </c>
    </row>
    <row r="483" spans="1:7">
      <c r="A483" s="226" t="s">
        <v>1243</v>
      </c>
      <c r="B483" s="226" t="s">
        <v>1235</v>
      </c>
      <c r="C483" s="226" t="s">
        <v>627</v>
      </c>
      <c r="D483" s="226" t="s">
        <v>13</v>
      </c>
      <c r="E483" s="226" t="s">
        <v>665</v>
      </c>
      <c r="F483" s="226">
        <v>0.12314289613381783</v>
      </c>
      <c r="G483" s="226">
        <v>0</v>
      </c>
    </row>
    <row r="484" spans="1:7">
      <c r="A484" s="226" t="s">
        <v>1243</v>
      </c>
      <c r="B484" s="226" t="s">
        <v>1235</v>
      </c>
      <c r="C484" s="226" t="s">
        <v>627</v>
      </c>
      <c r="D484" s="226" t="s">
        <v>13</v>
      </c>
      <c r="E484" s="226" t="s">
        <v>666</v>
      </c>
      <c r="F484" s="226">
        <v>0.12314289613381783</v>
      </c>
      <c r="G484" s="226">
        <v>0</v>
      </c>
    </row>
    <row r="485" spans="1:7">
      <c r="A485" s="226" t="s">
        <v>1243</v>
      </c>
      <c r="B485" s="226" t="s">
        <v>1235</v>
      </c>
      <c r="C485" s="226" t="s">
        <v>627</v>
      </c>
      <c r="D485" s="226" t="s">
        <v>13</v>
      </c>
      <c r="E485" s="226" t="s">
        <v>667</v>
      </c>
      <c r="F485" s="226">
        <v>0.12314289613381783</v>
      </c>
      <c r="G485" s="226">
        <v>0</v>
      </c>
    </row>
    <row r="486" spans="1:7">
      <c r="A486" s="226" t="s">
        <v>1243</v>
      </c>
      <c r="B486" s="226" t="s">
        <v>1235</v>
      </c>
      <c r="C486" s="226" t="s">
        <v>627</v>
      </c>
      <c r="D486" s="226" t="s">
        <v>15</v>
      </c>
      <c r="E486" s="226" t="s">
        <v>618</v>
      </c>
      <c r="F486" s="226">
        <v>0</v>
      </c>
      <c r="G486" s="226">
        <v>0</v>
      </c>
    </row>
    <row r="487" spans="1:7">
      <c r="A487" s="226" t="s">
        <v>1243</v>
      </c>
      <c r="B487" s="226" t="s">
        <v>1235</v>
      </c>
      <c r="C487" s="226" t="s">
        <v>627</v>
      </c>
      <c r="D487" s="226" t="s">
        <v>15</v>
      </c>
      <c r="E487" s="226" t="s">
        <v>619</v>
      </c>
      <c r="F487" s="226">
        <v>0</v>
      </c>
      <c r="G487" s="226">
        <v>0</v>
      </c>
    </row>
    <row r="488" spans="1:7">
      <c r="A488" s="226" t="s">
        <v>1243</v>
      </c>
      <c r="B488" s="226" t="s">
        <v>1235</v>
      </c>
      <c r="C488" s="226" t="s">
        <v>627</v>
      </c>
      <c r="D488" s="226" t="s">
        <v>15</v>
      </c>
      <c r="E488" s="226" t="s">
        <v>620</v>
      </c>
      <c r="F488" s="226">
        <v>9.2962099723790988E-5</v>
      </c>
      <c r="G488" s="226">
        <v>0</v>
      </c>
    </row>
    <row r="489" spans="1:7">
      <c r="A489" s="226" t="s">
        <v>1243</v>
      </c>
      <c r="B489" s="226" t="s">
        <v>1235</v>
      </c>
      <c r="C489" s="226" t="s">
        <v>627</v>
      </c>
      <c r="D489" s="226" t="s">
        <v>15</v>
      </c>
      <c r="E489" s="226" t="s">
        <v>660</v>
      </c>
      <c r="F489" s="226">
        <v>9.2962099723790988E-5</v>
      </c>
      <c r="G489" s="226">
        <v>0</v>
      </c>
    </row>
    <row r="490" spans="1:7">
      <c r="A490" s="226" t="s">
        <v>1243</v>
      </c>
      <c r="B490" s="226" t="s">
        <v>1235</v>
      </c>
      <c r="C490" s="226" t="s">
        <v>627</v>
      </c>
      <c r="D490" s="226" t="s">
        <v>15</v>
      </c>
      <c r="E490" s="226" t="s">
        <v>661</v>
      </c>
      <c r="F490" s="226">
        <v>9.2962099723790988E-5</v>
      </c>
      <c r="G490" s="226">
        <v>0</v>
      </c>
    </row>
    <row r="491" spans="1:7">
      <c r="A491" s="226" t="s">
        <v>1243</v>
      </c>
      <c r="B491" s="226" t="s">
        <v>1235</v>
      </c>
      <c r="C491" s="226" t="s">
        <v>627</v>
      </c>
      <c r="D491" s="226" t="s">
        <v>15</v>
      </c>
      <c r="E491" s="226" t="s">
        <v>662</v>
      </c>
      <c r="F491" s="226">
        <v>9.2962099723790988E-5</v>
      </c>
      <c r="G491" s="226">
        <v>0</v>
      </c>
    </row>
    <row r="492" spans="1:7">
      <c r="A492" s="226" t="s">
        <v>1243</v>
      </c>
      <c r="B492" s="226" t="s">
        <v>1235</v>
      </c>
      <c r="C492" s="226" t="s">
        <v>627</v>
      </c>
      <c r="D492" s="226" t="s">
        <v>15</v>
      </c>
      <c r="E492" s="226" t="s">
        <v>663</v>
      </c>
      <c r="F492" s="226">
        <v>9.2962099723790988E-5</v>
      </c>
      <c r="G492" s="226">
        <v>0</v>
      </c>
    </row>
    <row r="493" spans="1:7">
      <c r="A493" s="226" t="s">
        <v>1243</v>
      </c>
      <c r="B493" s="226" t="s">
        <v>1235</v>
      </c>
      <c r="C493" s="226" t="s">
        <v>627</v>
      </c>
      <c r="D493" s="226" t="s">
        <v>15</v>
      </c>
      <c r="E493" s="226" t="s">
        <v>664</v>
      </c>
      <c r="F493" s="226">
        <v>9.2962099723790988E-5</v>
      </c>
      <c r="G493" s="226">
        <v>0</v>
      </c>
    </row>
    <row r="494" spans="1:7">
      <c r="A494" s="226" t="s">
        <v>1243</v>
      </c>
      <c r="B494" s="226" t="s">
        <v>1235</v>
      </c>
      <c r="C494" s="226" t="s">
        <v>627</v>
      </c>
      <c r="D494" s="226" t="s">
        <v>15</v>
      </c>
      <c r="E494" s="226" t="s">
        <v>665</v>
      </c>
      <c r="F494" s="226">
        <v>9.2962099723790988E-5</v>
      </c>
      <c r="G494" s="226">
        <v>0</v>
      </c>
    </row>
    <row r="495" spans="1:7">
      <c r="A495" s="226" t="s">
        <v>1243</v>
      </c>
      <c r="B495" s="226" t="s">
        <v>1235</v>
      </c>
      <c r="C495" s="226" t="s">
        <v>627</v>
      </c>
      <c r="D495" s="226" t="s">
        <v>15</v>
      </c>
      <c r="E495" s="226" t="s">
        <v>666</v>
      </c>
      <c r="F495" s="226">
        <v>9.2962099723790988E-5</v>
      </c>
      <c r="G495" s="226">
        <v>0</v>
      </c>
    </row>
    <row r="496" spans="1:7">
      <c r="A496" s="226" t="s">
        <v>1243</v>
      </c>
      <c r="B496" s="226" t="s">
        <v>1235</v>
      </c>
      <c r="C496" s="226" t="s">
        <v>627</v>
      </c>
      <c r="D496" s="226" t="s">
        <v>15</v>
      </c>
      <c r="E496" s="226" t="s">
        <v>667</v>
      </c>
      <c r="F496" s="226">
        <v>9.2962099723790988E-5</v>
      </c>
      <c r="G496" s="226">
        <v>0</v>
      </c>
    </row>
    <row r="497" spans="1:7">
      <c r="A497" s="226" t="s">
        <v>1243</v>
      </c>
      <c r="B497" s="226" t="s">
        <v>1235</v>
      </c>
      <c r="C497" s="226" t="s">
        <v>625</v>
      </c>
      <c r="D497" s="226" t="s">
        <v>0</v>
      </c>
      <c r="E497" s="226" t="s">
        <v>618</v>
      </c>
      <c r="F497" s="226">
        <v>0</v>
      </c>
      <c r="G497" s="226">
        <v>0</v>
      </c>
    </row>
    <row r="498" spans="1:7">
      <c r="A498" s="226" t="s">
        <v>1243</v>
      </c>
      <c r="B498" s="226" t="s">
        <v>1235</v>
      </c>
      <c r="C498" s="226" t="s">
        <v>625</v>
      </c>
      <c r="D498" s="226" t="s">
        <v>0</v>
      </c>
      <c r="E498" s="226" t="s">
        <v>619</v>
      </c>
      <c r="F498" s="226">
        <v>0</v>
      </c>
      <c r="G498" s="226">
        <v>0</v>
      </c>
    </row>
    <row r="499" spans="1:7">
      <c r="A499" s="226" t="s">
        <v>1243</v>
      </c>
      <c r="B499" s="226" t="s">
        <v>1235</v>
      </c>
      <c r="C499" s="226" t="s">
        <v>625</v>
      </c>
      <c r="D499" s="226" t="s">
        <v>0</v>
      </c>
      <c r="E499" s="226" t="s">
        <v>620</v>
      </c>
      <c r="F499" s="226">
        <v>0.16834181271632281</v>
      </c>
      <c r="G499" s="226">
        <v>0</v>
      </c>
    </row>
    <row r="500" spans="1:7">
      <c r="A500" s="226" t="s">
        <v>1243</v>
      </c>
      <c r="B500" s="226" t="s">
        <v>1235</v>
      </c>
      <c r="C500" s="226" t="s">
        <v>625</v>
      </c>
      <c r="D500" s="226" t="s">
        <v>0</v>
      </c>
      <c r="E500" s="226" t="s">
        <v>660</v>
      </c>
      <c r="F500" s="226">
        <v>0.16834181271632281</v>
      </c>
      <c r="G500" s="226">
        <v>0</v>
      </c>
    </row>
    <row r="501" spans="1:7">
      <c r="A501" s="226" t="s">
        <v>1243</v>
      </c>
      <c r="B501" s="226" t="s">
        <v>1235</v>
      </c>
      <c r="C501" s="226" t="s">
        <v>625</v>
      </c>
      <c r="D501" s="226" t="s">
        <v>0</v>
      </c>
      <c r="E501" s="226" t="s">
        <v>661</v>
      </c>
      <c r="F501" s="226">
        <v>0.16834181271632281</v>
      </c>
      <c r="G501" s="226">
        <v>0</v>
      </c>
    </row>
    <row r="502" spans="1:7">
      <c r="A502" s="226" t="s">
        <v>1243</v>
      </c>
      <c r="B502" s="226" t="s">
        <v>1235</v>
      </c>
      <c r="C502" s="226" t="s">
        <v>625</v>
      </c>
      <c r="D502" s="226" t="s">
        <v>0</v>
      </c>
      <c r="E502" s="226" t="s">
        <v>662</v>
      </c>
      <c r="F502" s="226">
        <v>0.16834181271632281</v>
      </c>
      <c r="G502" s="226">
        <v>0</v>
      </c>
    </row>
    <row r="503" spans="1:7">
      <c r="A503" s="226" t="s">
        <v>1243</v>
      </c>
      <c r="B503" s="226" t="s">
        <v>1235</v>
      </c>
      <c r="C503" s="226" t="s">
        <v>625</v>
      </c>
      <c r="D503" s="226" t="s">
        <v>0</v>
      </c>
      <c r="E503" s="226" t="s">
        <v>663</v>
      </c>
      <c r="F503" s="226">
        <v>0.16834181271632281</v>
      </c>
      <c r="G503" s="226">
        <v>0</v>
      </c>
    </row>
    <row r="504" spans="1:7">
      <c r="A504" s="226" t="s">
        <v>1243</v>
      </c>
      <c r="B504" s="226" t="s">
        <v>1235</v>
      </c>
      <c r="C504" s="226" t="s">
        <v>625</v>
      </c>
      <c r="D504" s="226" t="s">
        <v>0</v>
      </c>
      <c r="E504" s="226" t="s">
        <v>664</v>
      </c>
      <c r="F504" s="226">
        <v>0.16834181271632281</v>
      </c>
      <c r="G504" s="226">
        <v>0</v>
      </c>
    </row>
    <row r="505" spans="1:7">
      <c r="A505" s="226" t="s">
        <v>1243</v>
      </c>
      <c r="B505" s="226" t="s">
        <v>1235</v>
      </c>
      <c r="C505" s="226" t="s">
        <v>625</v>
      </c>
      <c r="D505" s="226" t="s">
        <v>0</v>
      </c>
      <c r="E505" s="226" t="s">
        <v>665</v>
      </c>
      <c r="F505" s="226">
        <v>0.16834181271632281</v>
      </c>
      <c r="G505" s="226">
        <v>0</v>
      </c>
    </row>
    <row r="506" spans="1:7">
      <c r="A506" s="226" t="s">
        <v>1243</v>
      </c>
      <c r="B506" s="226" t="s">
        <v>1235</v>
      </c>
      <c r="C506" s="226" t="s">
        <v>625</v>
      </c>
      <c r="D506" s="226" t="s">
        <v>0</v>
      </c>
      <c r="E506" s="226" t="s">
        <v>666</v>
      </c>
      <c r="F506" s="226">
        <v>0.16834181271632281</v>
      </c>
      <c r="G506" s="226">
        <v>0</v>
      </c>
    </row>
    <row r="507" spans="1:7">
      <c r="A507" s="226" t="s">
        <v>1243</v>
      </c>
      <c r="B507" s="226" t="s">
        <v>1235</v>
      </c>
      <c r="C507" s="226" t="s">
        <v>625</v>
      </c>
      <c r="D507" s="226" t="s">
        <v>0</v>
      </c>
      <c r="E507" s="226" t="s">
        <v>667</v>
      </c>
      <c r="F507" s="226">
        <v>0.16834181271632281</v>
      </c>
      <c r="G507" s="226">
        <v>0</v>
      </c>
    </row>
    <row r="508" spans="1:7">
      <c r="A508" s="226" t="s">
        <v>1243</v>
      </c>
      <c r="B508" s="226" t="s">
        <v>1235</v>
      </c>
      <c r="C508" s="226" t="s">
        <v>625</v>
      </c>
      <c r="D508" s="226" t="s">
        <v>4</v>
      </c>
      <c r="E508" s="226" t="s">
        <v>618</v>
      </c>
      <c r="F508" s="226">
        <v>0</v>
      </c>
      <c r="G508" s="226">
        <v>0</v>
      </c>
    </row>
    <row r="509" spans="1:7">
      <c r="A509" s="226" t="s">
        <v>1243</v>
      </c>
      <c r="B509" s="226" t="s">
        <v>1235</v>
      </c>
      <c r="C509" s="226" t="s">
        <v>625</v>
      </c>
      <c r="D509" s="226" t="s">
        <v>4</v>
      </c>
      <c r="E509" s="226" t="s">
        <v>619</v>
      </c>
      <c r="F509" s="226">
        <v>0</v>
      </c>
      <c r="G509" s="226">
        <v>0</v>
      </c>
    </row>
    <row r="510" spans="1:7">
      <c r="A510" s="226" t="s">
        <v>1243</v>
      </c>
      <c r="B510" s="226" t="s">
        <v>1235</v>
      </c>
      <c r="C510" s="226" t="s">
        <v>625</v>
      </c>
      <c r="D510" s="226" t="s">
        <v>4</v>
      </c>
      <c r="E510" s="226" t="s">
        <v>620</v>
      </c>
      <c r="F510" s="226">
        <v>4.2752340041974243E-2</v>
      </c>
      <c r="G510" s="226">
        <v>0</v>
      </c>
    </row>
    <row r="511" spans="1:7">
      <c r="A511" s="226" t="s">
        <v>1243</v>
      </c>
      <c r="B511" s="226" t="s">
        <v>1235</v>
      </c>
      <c r="C511" s="226" t="s">
        <v>625</v>
      </c>
      <c r="D511" s="226" t="s">
        <v>4</v>
      </c>
      <c r="E511" s="226" t="s">
        <v>660</v>
      </c>
      <c r="F511" s="226">
        <v>4.2752340041974243E-2</v>
      </c>
      <c r="G511" s="226">
        <v>0</v>
      </c>
    </row>
    <row r="512" spans="1:7">
      <c r="A512" s="226" t="s">
        <v>1243</v>
      </c>
      <c r="B512" s="226" t="s">
        <v>1235</v>
      </c>
      <c r="C512" s="226" t="s">
        <v>625</v>
      </c>
      <c r="D512" s="226" t="s">
        <v>4</v>
      </c>
      <c r="E512" s="226" t="s">
        <v>661</v>
      </c>
      <c r="F512" s="226">
        <v>4.2752340041974243E-2</v>
      </c>
      <c r="G512" s="226">
        <v>0</v>
      </c>
    </row>
    <row r="513" spans="1:7">
      <c r="A513" s="226" t="s">
        <v>1243</v>
      </c>
      <c r="B513" s="226" t="s">
        <v>1235</v>
      </c>
      <c r="C513" s="226" t="s">
        <v>625</v>
      </c>
      <c r="D513" s="226" t="s">
        <v>4</v>
      </c>
      <c r="E513" s="226" t="s">
        <v>662</v>
      </c>
      <c r="F513" s="226">
        <v>4.2752340041974243E-2</v>
      </c>
      <c r="G513" s="226">
        <v>0</v>
      </c>
    </row>
    <row r="514" spans="1:7">
      <c r="A514" s="226" t="s">
        <v>1243</v>
      </c>
      <c r="B514" s="226" t="s">
        <v>1235</v>
      </c>
      <c r="C514" s="226" t="s">
        <v>625</v>
      </c>
      <c r="D514" s="226" t="s">
        <v>4</v>
      </c>
      <c r="E514" s="226" t="s">
        <v>663</v>
      </c>
      <c r="F514" s="226">
        <v>4.2752340041974243E-2</v>
      </c>
      <c r="G514" s="226">
        <v>0</v>
      </c>
    </row>
    <row r="515" spans="1:7">
      <c r="A515" s="226" t="s">
        <v>1243</v>
      </c>
      <c r="B515" s="226" t="s">
        <v>1235</v>
      </c>
      <c r="C515" s="226" t="s">
        <v>625</v>
      </c>
      <c r="D515" s="226" t="s">
        <v>4</v>
      </c>
      <c r="E515" s="226" t="s">
        <v>664</v>
      </c>
      <c r="F515" s="226">
        <v>4.2752340041974243E-2</v>
      </c>
      <c r="G515" s="226">
        <v>0</v>
      </c>
    </row>
    <row r="516" spans="1:7">
      <c r="A516" s="226" t="s">
        <v>1243</v>
      </c>
      <c r="B516" s="226" t="s">
        <v>1235</v>
      </c>
      <c r="C516" s="226" t="s">
        <v>625</v>
      </c>
      <c r="D516" s="226" t="s">
        <v>4</v>
      </c>
      <c r="E516" s="226" t="s">
        <v>665</v>
      </c>
      <c r="F516" s="226">
        <v>4.2752340041974243E-2</v>
      </c>
      <c r="G516" s="226">
        <v>0</v>
      </c>
    </row>
    <row r="517" spans="1:7">
      <c r="A517" s="226" t="s">
        <v>1243</v>
      </c>
      <c r="B517" s="226" t="s">
        <v>1235</v>
      </c>
      <c r="C517" s="226" t="s">
        <v>625</v>
      </c>
      <c r="D517" s="226" t="s">
        <v>4</v>
      </c>
      <c r="E517" s="226" t="s">
        <v>666</v>
      </c>
      <c r="F517" s="226">
        <v>4.2752340041974243E-2</v>
      </c>
      <c r="G517" s="226">
        <v>0</v>
      </c>
    </row>
    <row r="518" spans="1:7">
      <c r="A518" s="226" t="s">
        <v>1243</v>
      </c>
      <c r="B518" s="226" t="s">
        <v>1235</v>
      </c>
      <c r="C518" s="226" t="s">
        <v>625</v>
      </c>
      <c r="D518" s="226" t="s">
        <v>4</v>
      </c>
      <c r="E518" s="226" t="s">
        <v>667</v>
      </c>
      <c r="F518" s="226">
        <v>4.2752340041974243E-2</v>
      </c>
      <c r="G518" s="226">
        <v>0</v>
      </c>
    </row>
    <row r="519" spans="1:7">
      <c r="A519" s="226" t="s">
        <v>1243</v>
      </c>
      <c r="B519" s="226" t="s">
        <v>1235</v>
      </c>
      <c r="C519" s="226" t="s">
        <v>963</v>
      </c>
      <c r="D519" s="226" t="s">
        <v>17</v>
      </c>
      <c r="E519" s="226" t="s">
        <v>618</v>
      </c>
      <c r="F519" s="226">
        <v>0</v>
      </c>
      <c r="G519" s="226">
        <v>0</v>
      </c>
    </row>
    <row r="520" spans="1:7">
      <c r="A520" s="226" t="s">
        <v>1243</v>
      </c>
      <c r="B520" s="226" t="s">
        <v>1235</v>
      </c>
      <c r="C520" s="226" t="s">
        <v>963</v>
      </c>
      <c r="D520" s="226" t="s">
        <v>17</v>
      </c>
      <c r="E520" s="226" t="s">
        <v>619</v>
      </c>
      <c r="F520" s="226">
        <v>0</v>
      </c>
      <c r="G520" s="226">
        <v>0</v>
      </c>
    </row>
    <row r="521" spans="1:7">
      <c r="A521" s="226" t="s">
        <v>1243</v>
      </c>
      <c r="B521" s="226" t="s">
        <v>1235</v>
      </c>
      <c r="C521" s="226" t="s">
        <v>963</v>
      </c>
      <c r="D521" s="226" t="s">
        <v>17</v>
      </c>
      <c r="E521" s="226" t="s">
        <v>620</v>
      </c>
      <c r="F521" s="226">
        <v>2.8988185632670298E-2</v>
      </c>
      <c r="G521" s="226">
        <v>0</v>
      </c>
    </row>
    <row r="522" spans="1:7">
      <c r="A522" s="226" t="s">
        <v>1243</v>
      </c>
      <c r="B522" s="226" t="s">
        <v>1235</v>
      </c>
      <c r="C522" s="226" t="s">
        <v>963</v>
      </c>
      <c r="D522" s="226" t="s">
        <v>17</v>
      </c>
      <c r="E522" s="226" t="s">
        <v>660</v>
      </c>
      <c r="F522" s="226">
        <v>2.8988185632670298E-2</v>
      </c>
      <c r="G522" s="226">
        <v>0</v>
      </c>
    </row>
    <row r="523" spans="1:7">
      <c r="A523" s="226" t="s">
        <v>1243</v>
      </c>
      <c r="B523" s="226" t="s">
        <v>1235</v>
      </c>
      <c r="C523" s="226" t="s">
        <v>963</v>
      </c>
      <c r="D523" s="226" t="s">
        <v>17</v>
      </c>
      <c r="E523" s="226" t="s">
        <v>661</v>
      </c>
      <c r="F523" s="226">
        <v>2.8988185632670298E-2</v>
      </c>
      <c r="G523" s="226">
        <v>0</v>
      </c>
    </row>
    <row r="524" spans="1:7">
      <c r="A524" s="226" t="s">
        <v>1243</v>
      </c>
      <c r="B524" s="226" t="s">
        <v>1235</v>
      </c>
      <c r="C524" s="226" t="s">
        <v>963</v>
      </c>
      <c r="D524" s="226" t="s">
        <v>17</v>
      </c>
      <c r="E524" s="226" t="s">
        <v>662</v>
      </c>
      <c r="F524" s="226">
        <v>2.8988185632670298E-2</v>
      </c>
      <c r="G524" s="226">
        <v>0</v>
      </c>
    </row>
    <row r="525" spans="1:7">
      <c r="A525" s="226" t="s">
        <v>1243</v>
      </c>
      <c r="B525" s="226" t="s">
        <v>1235</v>
      </c>
      <c r="C525" s="226" t="s">
        <v>963</v>
      </c>
      <c r="D525" s="226" t="s">
        <v>17</v>
      </c>
      <c r="E525" s="226" t="s">
        <v>663</v>
      </c>
      <c r="F525" s="226">
        <v>2.8988185632670298E-2</v>
      </c>
      <c r="G525" s="226">
        <v>0</v>
      </c>
    </row>
    <row r="526" spans="1:7">
      <c r="A526" s="226" t="s">
        <v>1243</v>
      </c>
      <c r="B526" s="226" t="s">
        <v>1235</v>
      </c>
      <c r="C526" s="226" t="s">
        <v>963</v>
      </c>
      <c r="D526" s="226" t="s">
        <v>17</v>
      </c>
      <c r="E526" s="226" t="s">
        <v>664</v>
      </c>
      <c r="F526" s="226">
        <v>2.8988185632670298E-2</v>
      </c>
      <c r="G526" s="226">
        <v>0</v>
      </c>
    </row>
    <row r="527" spans="1:7">
      <c r="A527" s="226" t="s">
        <v>1243</v>
      </c>
      <c r="B527" s="226" t="s">
        <v>1235</v>
      </c>
      <c r="C527" s="226" t="s">
        <v>963</v>
      </c>
      <c r="D527" s="226" t="s">
        <v>17</v>
      </c>
      <c r="E527" s="226" t="s">
        <v>665</v>
      </c>
      <c r="F527" s="226">
        <v>2.8988185632670298E-2</v>
      </c>
      <c r="G527" s="226">
        <v>0</v>
      </c>
    </row>
    <row r="528" spans="1:7">
      <c r="A528" s="226" t="s">
        <v>1243</v>
      </c>
      <c r="B528" s="226" t="s">
        <v>1235</v>
      </c>
      <c r="C528" s="226" t="s">
        <v>963</v>
      </c>
      <c r="D528" s="226" t="s">
        <v>17</v>
      </c>
      <c r="E528" s="226" t="s">
        <v>666</v>
      </c>
      <c r="F528" s="226">
        <v>2.8988185632670298E-2</v>
      </c>
      <c r="G528" s="226">
        <v>0</v>
      </c>
    </row>
    <row r="529" spans="1:7">
      <c r="A529" s="226" t="s">
        <v>1243</v>
      </c>
      <c r="B529" s="226" t="s">
        <v>1235</v>
      </c>
      <c r="C529" s="226" t="s">
        <v>963</v>
      </c>
      <c r="D529" s="226" t="s">
        <v>17</v>
      </c>
      <c r="E529" s="226" t="s">
        <v>667</v>
      </c>
      <c r="F529" s="226">
        <v>2.8988185632670298E-2</v>
      </c>
      <c r="G529" s="226">
        <v>0</v>
      </c>
    </row>
    <row r="530" spans="1:7">
      <c r="A530" s="226" t="s">
        <v>1243</v>
      </c>
      <c r="B530" s="226" t="s">
        <v>1235</v>
      </c>
      <c r="C530" s="226" t="s">
        <v>626</v>
      </c>
      <c r="D530" s="226" t="s">
        <v>92</v>
      </c>
      <c r="E530" s="226" t="s">
        <v>618</v>
      </c>
      <c r="F530" s="226">
        <v>0</v>
      </c>
      <c r="G530" s="226">
        <v>0</v>
      </c>
    </row>
    <row r="531" spans="1:7">
      <c r="A531" s="226" t="s">
        <v>1243</v>
      </c>
      <c r="B531" s="226" t="s">
        <v>1235</v>
      </c>
      <c r="C531" s="226" t="s">
        <v>626</v>
      </c>
      <c r="D531" s="226" t="s">
        <v>92</v>
      </c>
      <c r="E531" s="226" t="s">
        <v>619</v>
      </c>
      <c r="F531" s="226">
        <v>0</v>
      </c>
      <c r="G531" s="226">
        <v>0</v>
      </c>
    </row>
    <row r="532" spans="1:7">
      <c r="A532" s="226" t="s">
        <v>1243</v>
      </c>
      <c r="B532" s="226" t="s">
        <v>1235</v>
      </c>
      <c r="C532" s="226" t="s">
        <v>626</v>
      </c>
      <c r="D532" s="226" t="s">
        <v>92</v>
      </c>
      <c r="E532" s="226" t="s">
        <v>620</v>
      </c>
      <c r="F532" s="226">
        <v>6.358607621107305E-3</v>
      </c>
      <c r="G532" s="226">
        <v>0</v>
      </c>
    </row>
    <row r="533" spans="1:7">
      <c r="A533" s="226" t="s">
        <v>1243</v>
      </c>
      <c r="B533" s="226" t="s">
        <v>1235</v>
      </c>
      <c r="C533" s="226" t="s">
        <v>626</v>
      </c>
      <c r="D533" s="226" t="s">
        <v>92</v>
      </c>
      <c r="E533" s="226" t="s">
        <v>660</v>
      </c>
      <c r="F533" s="226">
        <v>6.358607621107305E-3</v>
      </c>
      <c r="G533" s="226">
        <v>0</v>
      </c>
    </row>
    <row r="534" spans="1:7">
      <c r="A534" s="226" t="s">
        <v>1243</v>
      </c>
      <c r="B534" s="226" t="s">
        <v>1235</v>
      </c>
      <c r="C534" s="226" t="s">
        <v>626</v>
      </c>
      <c r="D534" s="226" t="s">
        <v>92</v>
      </c>
      <c r="E534" s="226" t="s">
        <v>661</v>
      </c>
      <c r="F534" s="226">
        <v>6.358607621107305E-3</v>
      </c>
      <c r="G534" s="226">
        <v>0</v>
      </c>
    </row>
    <row r="535" spans="1:7">
      <c r="A535" s="226" t="s">
        <v>1243</v>
      </c>
      <c r="B535" s="226" t="s">
        <v>1235</v>
      </c>
      <c r="C535" s="226" t="s">
        <v>626</v>
      </c>
      <c r="D535" s="226" t="s">
        <v>92</v>
      </c>
      <c r="E535" s="226" t="s">
        <v>662</v>
      </c>
      <c r="F535" s="226">
        <v>6.358607621107305E-3</v>
      </c>
      <c r="G535" s="226">
        <v>0</v>
      </c>
    </row>
    <row r="536" spans="1:7">
      <c r="A536" s="226" t="s">
        <v>1243</v>
      </c>
      <c r="B536" s="226" t="s">
        <v>1235</v>
      </c>
      <c r="C536" s="226" t="s">
        <v>626</v>
      </c>
      <c r="D536" s="226" t="s">
        <v>92</v>
      </c>
      <c r="E536" s="226" t="s">
        <v>663</v>
      </c>
      <c r="F536" s="226">
        <v>6.358607621107305E-3</v>
      </c>
      <c r="G536" s="226">
        <v>0</v>
      </c>
    </row>
    <row r="537" spans="1:7">
      <c r="A537" s="226" t="s">
        <v>1243</v>
      </c>
      <c r="B537" s="226" t="s">
        <v>1235</v>
      </c>
      <c r="C537" s="226" t="s">
        <v>626</v>
      </c>
      <c r="D537" s="226" t="s">
        <v>92</v>
      </c>
      <c r="E537" s="226" t="s">
        <v>664</v>
      </c>
      <c r="F537" s="226">
        <v>6.358607621107305E-3</v>
      </c>
      <c r="G537" s="226">
        <v>0</v>
      </c>
    </row>
    <row r="538" spans="1:7">
      <c r="A538" s="226" t="s">
        <v>1243</v>
      </c>
      <c r="B538" s="226" t="s">
        <v>1235</v>
      </c>
      <c r="C538" s="226" t="s">
        <v>626</v>
      </c>
      <c r="D538" s="226" t="s">
        <v>92</v>
      </c>
      <c r="E538" s="226" t="s">
        <v>665</v>
      </c>
      <c r="F538" s="226">
        <v>6.358607621107305E-3</v>
      </c>
      <c r="G538" s="226">
        <v>0</v>
      </c>
    </row>
    <row r="539" spans="1:7">
      <c r="A539" s="226" t="s">
        <v>1243</v>
      </c>
      <c r="B539" s="226" t="s">
        <v>1235</v>
      </c>
      <c r="C539" s="226" t="s">
        <v>626</v>
      </c>
      <c r="D539" s="226" t="s">
        <v>92</v>
      </c>
      <c r="E539" s="226" t="s">
        <v>666</v>
      </c>
      <c r="F539" s="226">
        <v>6.358607621107305E-3</v>
      </c>
      <c r="G539" s="226">
        <v>0</v>
      </c>
    </row>
    <row r="540" spans="1:7">
      <c r="A540" s="226" t="s">
        <v>1243</v>
      </c>
      <c r="B540" s="226" t="s">
        <v>1235</v>
      </c>
      <c r="C540" s="226" t="s">
        <v>626</v>
      </c>
      <c r="D540" s="226" t="s">
        <v>92</v>
      </c>
      <c r="E540" s="226" t="s">
        <v>667</v>
      </c>
      <c r="F540" s="226">
        <v>6.358607621107305E-3</v>
      </c>
      <c r="G540" s="226">
        <v>0</v>
      </c>
    </row>
    <row r="541" spans="1:7">
      <c r="A541" s="226" t="s">
        <v>1243</v>
      </c>
      <c r="B541" s="226" t="s">
        <v>1235</v>
      </c>
      <c r="C541" s="226" t="s">
        <v>625</v>
      </c>
      <c r="D541" s="226" t="s">
        <v>93</v>
      </c>
      <c r="E541" s="226" t="s">
        <v>618</v>
      </c>
      <c r="F541" s="226">
        <v>0</v>
      </c>
      <c r="G541" s="226">
        <v>0</v>
      </c>
    </row>
    <row r="542" spans="1:7">
      <c r="A542" s="226" t="s">
        <v>1243</v>
      </c>
      <c r="B542" s="226" t="s">
        <v>1235</v>
      </c>
      <c r="C542" s="226" t="s">
        <v>625</v>
      </c>
      <c r="D542" s="226" t="s">
        <v>93</v>
      </c>
      <c r="E542" s="226" t="s">
        <v>619</v>
      </c>
      <c r="F542" s="226">
        <v>0</v>
      </c>
      <c r="G542" s="226">
        <v>0</v>
      </c>
    </row>
    <row r="543" spans="1:7">
      <c r="A543" s="226" t="s">
        <v>1243</v>
      </c>
      <c r="B543" s="226" t="s">
        <v>1235</v>
      </c>
      <c r="C543" s="226" t="s">
        <v>625</v>
      </c>
      <c r="D543" s="226" t="s">
        <v>93</v>
      </c>
      <c r="E543" s="226" t="s">
        <v>620</v>
      </c>
      <c r="F543" s="226">
        <v>0.20529750103002004</v>
      </c>
      <c r="G543" s="226">
        <v>0</v>
      </c>
    </row>
    <row r="544" spans="1:7">
      <c r="A544" s="226" t="s">
        <v>1243</v>
      </c>
      <c r="B544" s="226" t="s">
        <v>1235</v>
      </c>
      <c r="C544" s="226" t="s">
        <v>625</v>
      </c>
      <c r="D544" s="226" t="s">
        <v>93</v>
      </c>
      <c r="E544" s="226" t="s">
        <v>660</v>
      </c>
      <c r="F544" s="226">
        <v>0.20529750103002004</v>
      </c>
      <c r="G544" s="226">
        <v>0</v>
      </c>
    </row>
    <row r="545" spans="1:7">
      <c r="A545" s="226" t="s">
        <v>1243</v>
      </c>
      <c r="B545" s="226" t="s">
        <v>1235</v>
      </c>
      <c r="C545" s="226" t="s">
        <v>625</v>
      </c>
      <c r="D545" s="226" t="s">
        <v>93</v>
      </c>
      <c r="E545" s="226" t="s">
        <v>661</v>
      </c>
      <c r="F545" s="226">
        <v>0.20529750103002004</v>
      </c>
      <c r="G545" s="226">
        <v>0</v>
      </c>
    </row>
    <row r="546" spans="1:7">
      <c r="A546" s="226" t="s">
        <v>1243</v>
      </c>
      <c r="B546" s="226" t="s">
        <v>1235</v>
      </c>
      <c r="C546" s="226" t="s">
        <v>625</v>
      </c>
      <c r="D546" s="226" t="s">
        <v>93</v>
      </c>
      <c r="E546" s="226" t="s">
        <v>662</v>
      </c>
      <c r="F546" s="226">
        <v>0.20529750103002004</v>
      </c>
      <c r="G546" s="226">
        <v>0</v>
      </c>
    </row>
    <row r="547" spans="1:7">
      <c r="A547" s="226" t="s">
        <v>1243</v>
      </c>
      <c r="B547" s="226" t="s">
        <v>1235</v>
      </c>
      <c r="C547" s="226" t="s">
        <v>625</v>
      </c>
      <c r="D547" s="226" t="s">
        <v>93</v>
      </c>
      <c r="E547" s="226" t="s">
        <v>663</v>
      </c>
      <c r="F547" s="226">
        <v>0.20529750103002004</v>
      </c>
      <c r="G547" s="226">
        <v>0</v>
      </c>
    </row>
    <row r="548" spans="1:7">
      <c r="A548" s="226" t="s">
        <v>1243</v>
      </c>
      <c r="B548" s="226" t="s">
        <v>1235</v>
      </c>
      <c r="C548" s="226" t="s">
        <v>625</v>
      </c>
      <c r="D548" s="226" t="s">
        <v>93</v>
      </c>
      <c r="E548" s="226" t="s">
        <v>664</v>
      </c>
      <c r="F548" s="226">
        <v>0.20529750103002004</v>
      </c>
      <c r="G548" s="226">
        <v>0</v>
      </c>
    </row>
    <row r="549" spans="1:7">
      <c r="A549" s="226" t="s">
        <v>1243</v>
      </c>
      <c r="B549" s="226" t="s">
        <v>1235</v>
      </c>
      <c r="C549" s="226" t="s">
        <v>625</v>
      </c>
      <c r="D549" s="226" t="s">
        <v>93</v>
      </c>
      <c r="E549" s="226" t="s">
        <v>665</v>
      </c>
      <c r="F549" s="226">
        <v>0.20529750103002004</v>
      </c>
      <c r="G549" s="226">
        <v>0</v>
      </c>
    </row>
    <row r="550" spans="1:7">
      <c r="A550" s="226" t="s">
        <v>1243</v>
      </c>
      <c r="B550" s="226" t="s">
        <v>1235</v>
      </c>
      <c r="C550" s="226" t="s">
        <v>625</v>
      </c>
      <c r="D550" s="226" t="s">
        <v>93</v>
      </c>
      <c r="E550" s="226" t="s">
        <v>666</v>
      </c>
      <c r="F550" s="226">
        <v>0.20529750103002004</v>
      </c>
      <c r="G550" s="226">
        <v>0</v>
      </c>
    </row>
    <row r="551" spans="1:7">
      <c r="A551" s="226" t="s">
        <v>1243</v>
      </c>
      <c r="B551" s="226" t="s">
        <v>1235</v>
      </c>
      <c r="C551" s="226" t="s">
        <v>625</v>
      </c>
      <c r="D551" s="226" t="s">
        <v>93</v>
      </c>
      <c r="E551" s="226" t="s">
        <v>667</v>
      </c>
      <c r="F551" s="226">
        <v>0.20529750103002004</v>
      </c>
      <c r="G551" s="226">
        <v>0</v>
      </c>
    </row>
    <row r="552" spans="1:7">
      <c r="A552" s="226" t="s">
        <v>95</v>
      </c>
      <c r="B552" s="226" t="s">
        <v>1235</v>
      </c>
      <c r="C552" s="226" t="s">
        <v>627</v>
      </c>
      <c r="D552" s="226" t="s">
        <v>14</v>
      </c>
      <c r="E552" s="226" t="s">
        <v>618</v>
      </c>
      <c r="F552" s="226">
        <v>0.38830811759215145</v>
      </c>
      <c r="G552" s="226">
        <v>0.38648000000000005</v>
      </c>
    </row>
    <row r="553" spans="1:7">
      <c r="A553" s="226" t="s">
        <v>95</v>
      </c>
      <c r="B553" s="226" t="s">
        <v>1235</v>
      </c>
      <c r="C553" s="226" t="s">
        <v>627</v>
      </c>
      <c r="D553" s="226" t="s">
        <v>14</v>
      </c>
      <c r="E553" s="226" t="s">
        <v>619</v>
      </c>
      <c r="F553" s="226">
        <v>0.8759197466476073</v>
      </c>
      <c r="G553" s="226">
        <v>0.87179600000000002</v>
      </c>
    </row>
    <row r="554" spans="1:7">
      <c r="A554" s="226" t="s">
        <v>95</v>
      </c>
      <c r="B554" s="226" t="s">
        <v>1235</v>
      </c>
      <c r="C554" s="226" t="s">
        <v>627</v>
      </c>
      <c r="D554" s="226" t="s">
        <v>14</v>
      </c>
      <c r="E554" s="226" t="s">
        <v>620</v>
      </c>
      <c r="F554" s="226">
        <v>0.38532477947072974</v>
      </c>
      <c r="G554" s="226">
        <v>0.23269399999999998</v>
      </c>
    </row>
    <row r="555" spans="1:7">
      <c r="A555" s="226" t="s">
        <v>95</v>
      </c>
      <c r="B555" s="226" t="s">
        <v>1235</v>
      </c>
      <c r="C555" s="226" t="s">
        <v>627</v>
      </c>
      <c r="D555" s="226" t="s">
        <v>14</v>
      </c>
      <c r="E555" s="226" t="s">
        <v>660</v>
      </c>
      <c r="F555" s="226">
        <v>0.51376637262763958</v>
      </c>
      <c r="G555" s="226">
        <v>0.30448999999999998</v>
      </c>
    </row>
    <row r="556" spans="1:7">
      <c r="A556" s="226" t="s">
        <v>95</v>
      </c>
      <c r="B556" s="226" t="s">
        <v>1235</v>
      </c>
      <c r="C556" s="226" t="s">
        <v>627</v>
      </c>
      <c r="D556" s="226" t="s">
        <v>14</v>
      </c>
      <c r="E556" s="226" t="s">
        <v>661</v>
      </c>
      <c r="F556" s="226">
        <v>0.64220796578454964</v>
      </c>
      <c r="G556" s="226">
        <v>0</v>
      </c>
    </row>
    <row r="557" spans="1:7">
      <c r="A557" s="226" t="s">
        <v>95</v>
      </c>
      <c r="B557" s="226" t="s">
        <v>1235</v>
      </c>
      <c r="C557" s="226" t="s">
        <v>627</v>
      </c>
      <c r="D557" s="226" t="s">
        <v>14</v>
      </c>
      <c r="E557" s="226" t="s">
        <v>662</v>
      </c>
      <c r="F557" s="226">
        <v>0.77064955894145948</v>
      </c>
      <c r="G557" s="226">
        <v>0</v>
      </c>
    </row>
    <row r="558" spans="1:7">
      <c r="A558" s="226" t="s">
        <v>95</v>
      </c>
      <c r="B558" s="226" t="s">
        <v>1235</v>
      </c>
      <c r="C558" s="226" t="s">
        <v>627</v>
      </c>
      <c r="D558" s="226" t="s">
        <v>14</v>
      </c>
      <c r="E558" s="226" t="s">
        <v>663</v>
      </c>
      <c r="F558" s="226">
        <v>0.77064955894145948</v>
      </c>
      <c r="G558" s="226">
        <v>0</v>
      </c>
    </row>
    <row r="559" spans="1:7">
      <c r="A559" s="226" t="s">
        <v>95</v>
      </c>
      <c r="B559" s="226" t="s">
        <v>1235</v>
      </c>
      <c r="C559" s="226" t="s">
        <v>627</v>
      </c>
      <c r="D559" s="226" t="s">
        <v>14</v>
      </c>
      <c r="E559" s="226" t="s">
        <v>664</v>
      </c>
      <c r="F559" s="226">
        <v>0.77064955894145948</v>
      </c>
      <c r="G559" s="226">
        <v>0</v>
      </c>
    </row>
    <row r="560" spans="1:7">
      <c r="A560" s="226" t="s">
        <v>95</v>
      </c>
      <c r="B560" s="226" t="s">
        <v>1235</v>
      </c>
      <c r="C560" s="226" t="s">
        <v>627</v>
      </c>
      <c r="D560" s="226" t="s">
        <v>14</v>
      </c>
      <c r="E560" s="226" t="s">
        <v>665</v>
      </c>
      <c r="F560" s="226">
        <v>0.77064955894145948</v>
      </c>
      <c r="G560" s="226">
        <v>0</v>
      </c>
    </row>
    <row r="561" spans="1:7">
      <c r="A561" s="226" t="s">
        <v>95</v>
      </c>
      <c r="B561" s="226" t="s">
        <v>1235</v>
      </c>
      <c r="C561" s="226" t="s">
        <v>627</v>
      </c>
      <c r="D561" s="226" t="s">
        <v>14</v>
      </c>
      <c r="E561" s="226" t="s">
        <v>666</v>
      </c>
      <c r="F561" s="226">
        <v>0.77064955894145948</v>
      </c>
      <c r="G561" s="226">
        <v>0</v>
      </c>
    </row>
    <row r="562" spans="1:7">
      <c r="A562" s="226" t="s">
        <v>95</v>
      </c>
      <c r="B562" s="226" t="s">
        <v>1235</v>
      </c>
      <c r="C562" s="226" t="s">
        <v>627</v>
      </c>
      <c r="D562" s="226" t="s">
        <v>14</v>
      </c>
      <c r="E562" s="226" t="s">
        <v>667</v>
      </c>
      <c r="F562" s="226">
        <v>0.77064955894145948</v>
      </c>
      <c r="G562" s="226">
        <v>0</v>
      </c>
    </row>
    <row r="563" spans="1:7">
      <c r="A563" s="226" t="s">
        <v>95</v>
      </c>
      <c r="B563" s="226" t="s">
        <v>1235</v>
      </c>
      <c r="C563" s="226" t="s">
        <v>630</v>
      </c>
      <c r="D563" s="226" t="s">
        <v>29</v>
      </c>
      <c r="E563" s="226" t="s">
        <v>618</v>
      </c>
      <c r="F563" s="226">
        <v>1.760000000000005E-3</v>
      </c>
      <c r="G563" s="226">
        <v>1.760000000000005E-3</v>
      </c>
    </row>
    <row r="564" spans="1:7">
      <c r="A564" s="226" t="s">
        <v>95</v>
      </c>
      <c r="B564" s="226" t="s">
        <v>1235</v>
      </c>
      <c r="C564" s="226" t="s">
        <v>630</v>
      </c>
      <c r="D564" s="226" t="s">
        <v>29</v>
      </c>
      <c r="E564" s="226" t="s">
        <v>619</v>
      </c>
      <c r="F564" s="226">
        <v>0.03</v>
      </c>
      <c r="G564" s="226">
        <v>0.03</v>
      </c>
    </row>
    <row r="565" spans="1:7">
      <c r="A565" s="226" t="s">
        <v>95</v>
      </c>
      <c r="B565" s="226" t="s">
        <v>1235</v>
      </c>
      <c r="C565" s="226" t="s">
        <v>630</v>
      </c>
      <c r="D565" s="226" t="s">
        <v>29</v>
      </c>
      <c r="E565" s="226" t="s">
        <v>620</v>
      </c>
      <c r="F565" s="226">
        <v>0.13793103448275862</v>
      </c>
      <c r="G565" s="226">
        <v>0</v>
      </c>
    </row>
    <row r="566" spans="1:7">
      <c r="A566" s="226" t="s">
        <v>95</v>
      </c>
      <c r="B566" s="226" t="s">
        <v>1235</v>
      </c>
      <c r="C566" s="226" t="s">
        <v>630</v>
      </c>
      <c r="D566" s="226" t="s">
        <v>29</v>
      </c>
      <c r="E566" s="226" t="s">
        <v>660</v>
      </c>
      <c r="F566" s="226">
        <v>0.18390804597701149</v>
      </c>
      <c r="G566" s="226">
        <v>0</v>
      </c>
    </row>
    <row r="567" spans="1:7">
      <c r="A567" s="226" t="s">
        <v>95</v>
      </c>
      <c r="B567" s="226" t="s">
        <v>1235</v>
      </c>
      <c r="C567" s="226" t="s">
        <v>630</v>
      </c>
      <c r="D567" s="226" t="s">
        <v>90</v>
      </c>
      <c r="E567" s="226" t="s">
        <v>618</v>
      </c>
      <c r="F567" s="226">
        <v>1.2100000000000001E-3</v>
      </c>
      <c r="G567" s="226">
        <v>1.2100000000000001E-3</v>
      </c>
    </row>
    <row r="568" spans="1:7">
      <c r="A568" s="226" t="s">
        <v>95</v>
      </c>
      <c r="B568" s="226" t="s">
        <v>1235</v>
      </c>
      <c r="C568" s="226" t="s">
        <v>630</v>
      </c>
      <c r="D568" s="226" t="s">
        <v>90</v>
      </c>
      <c r="E568" s="226" t="s">
        <v>619</v>
      </c>
      <c r="F568" s="226">
        <v>0</v>
      </c>
      <c r="G568" s="226">
        <v>0</v>
      </c>
    </row>
    <row r="569" spans="1:7">
      <c r="A569" s="226" t="s">
        <v>95</v>
      </c>
      <c r="B569" s="226" t="s">
        <v>1235</v>
      </c>
      <c r="C569" s="226" t="s">
        <v>630</v>
      </c>
      <c r="D569" s="226" t="s">
        <v>90</v>
      </c>
      <c r="E569" s="226" t="s">
        <v>620</v>
      </c>
      <c r="F569" s="226">
        <v>0.48656776263031282</v>
      </c>
      <c r="G569" s="226">
        <v>0</v>
      </c>
    </row>
    <row r="570" spans="1:7">
      <c r="A570" s="226" t="s">
        <v>95</v>
      </c>
      <c r="B570" s="226" t="s">
        <v>1235</v>
      </c>
      <c r="C570" s="226" t="s">
        <v>630</v>
      </c>
      <c r="D570" s="226" t="s">
        <v>90</v>
      </c>
      <c r="E570" s="226" t="s">
        <v>660</v>
      </c>
      <c r="F570" s="226">
        <v>0.64875701684041698</v>
      </c>
      <c r="G570" s="226">
        <v>0</v>
      </c>
    </row>
    <row r="571" spans="1:7">
      <c r="A571" s="226" t="s">
        <v>95</v>
      </c>
      <c r="B571" s="226" t="s">
        <v>1235</v>
      </c>
      <c r="C571" s="226" t="s">
        <v>630</v>
      </c>
      <c r="D571" s="226" t="s">
        <v>90</v>
      </c>
      <c r="E571" s="226" t="s">
        <v>661</v>
      </c>
      <c r="F571" s="226">
        <v>0.81094627105052131</v>
      </c>
      <c r="G571" s="226">
        <v>0</v>
      </c>
    </row>
    <row r="572" spans="1:7">
      <c r="A572" s="226" t="s">
        <v>95</v>
      </c>
      <c r="B572" s="226" t="s">
        <v>1235</v>
      </c>
      <c r="C572" s="226" t="s">
        <v>630</v>
      </c>
      <c r="D572" s="226" t="s">
        <v>90</v>
      </c>
      <c r="E572" s="226" t="s">
        <v>662</v>
      </c>
      <c r="F572" s="226">
        <v>0.97313552526062563</v>
      </c>
      <c r="G572" s="226">
        <v>0</v>
      </c>
    </row>
    <row r="573" spans="1:7">
      <c r="A573" s="226" t="s">
        <v>95</v>
      </c>
      <c r="B573" s="226" t="s">
        <v>1235</v>
      </c>
      <c r="C573" s="226" t="s">
        <v>630</v>
      </c>
      <c r="D573" s="226" t="s">
        <v>90</v>
      </c>
      <c r="E573" s="226" t="s">
        <v>663</v>
      </c>
      <c r="F573" s="226">
        <v>0.97313552526062563</v>
      </c>
      <c r="G573" s="226">
        <v>0</v>
      </c>
    </row>
    <row r="574" spans="1:7">
      <c r="A574" s="226" t="s">
        <v>95</v>
      </c>
      <c r="B574" s="226" t="s">
        <v>1235</v>
      </c>
      <c r="C574" s="226" t="s">
        <v>630</v>
      </c>
      <c r="D574" s="226" t="s">
        <v>90</v>
      </c>
      <c r="E574" s="226" t="s">
        <v>664</v>
      </c>
      <c r="F574" s="226">
        <v>0.97313552526062563</v>
      </c>
      <c r="G574" s="226">
        <v>0</v>
      </c>
    </row>
    <row r="575" spans="1:7">
      <c r="A575" s="226" t="s">
        <v>95</v>
      </c>
      <c r="B575" s="226" t="s">
        <v>1235</v>
      </c>
      <c r="C575" s="226" t="s">
        <v>630</v>
      </c>
      <c r="D575" s="226" t="s">
        <v>90</v>
      </c>
      <c r="E575" s="226" t="s">
        <v>665</v>
      </c>
      <c r="F575" s="226">
        <v>0.97313552526062563</v>
      </c>
      <c r="G575" s="226">
        <v>0</v>
      </c>
    </row>
    <row r="576" spans="1:7">
      <c r="A576" s="226" t="s">
        <v>95</v>
      </c>
      <c r="B576" s="226" t="s">
        <v>1235</v>
      </c>
      <c r="C576" s="226" t="s">
        <v>630</v>
      </c>
      <c r="D576" s="226" t="s">
        <v>90</v>
      </c>
      <c r="E576" s="226" t="s">
        <v>666</v>
      </c>
      <c r="F576" s="226">
        <v>0.97313552526062563</v>
      </c>
      <c r="G576" s="226">
        <v>0</v>
      </c>
    </row>
    <row r="577" spans="1:7">
      <c r="A577" s="226" t="s">
        <v>95</v>
      </c>
      <c r="B577" s="226" t="s">
        <v>1235</v>
      </c>
      <c r="C577" s="226" t="s">
        <v>630</v>
      </c>
      <c r="D577" s="226" t="s">
        <v>90</v>
      </c>
      <c r="E577" s="226" t="s">
        <v>667</v>
      </c>
      <c r="F577" s="226">
        <v>0.97313552526062563</v>
      </c>
      <c r="G577" s="226">
        <v>0</v>
      </c>
    </row>
    <row r="578" spans="1:7">
      <c r="A578" s="226" t="s">
        <v>95</v>
      </c>
      <c r="B578" s="226" t="s">
        <v>1235</v>
      </c>
      <c r="C578" s="226" t="s">
        <v>630</v>
      </c>
      <c r="D578" s="226" t="s">
        <v>29</v>
      </c>
      <c r="E578" s="226" t="s">
        <v>661</v>
      </c>
      <c r="F578" s="226">
        <v>0.22988505747126436</v>
      </c>
      <c r="G578" s="226">
        <v>0</v>
      </c>
    </row>
    <row r="579" spans="1:7">
      <c r="A579" s="226" t="s">
        <v>95</v>
      </c>
      <c r="B579" s="226" t="s">
        <v>1235</v>
      </c>
      <c r="C579" s="226" t="s">
        <v>630</v>
      </c>
      <c r="D579" s="226" t="s">
        <v>29</v>
      </c>
      <c r="E579" s="226" t="s">
        <v>662</v>
      </c>
      <c r="F579" s="226">
        <v>0.27586206896551724</v>
      </c>
      <c r="G579" s="226">
        <v>0</v>
      </c>
    </row>
    <row r="580" spans="1:7">
      <c r="A580" s="226" t="s">
        <v>95</v>
      </c>
      <c r="B580" s="226" t="s">
        <v>1235</v>
      </c>
      <c r="C580" s="226" t="s">
        <v>630</v>
      </c>
      <c r="D580" s="226" t="s">
        <v>29</v>
      </c>
      <c r="E580" s="226" t="s">
        <v>663</v>
      </c>
      <c r="F580" s="226">
        <v>0.27586206896551724</v>
      </c>
      <c r="G580" s="226">
        <v>0</v>
      </c>
    </row>
    <row r="581" spans="1:7">
      <c r="A581" s="226" t="s">
        <v>95</v>
      </c>
      <c r="B581" s="226" t="s">
        <v>1235</v>
      </c>
      <c r="C581" s="226" t="s">
        <v>630</v>
      </c>
      <c r="D581" s="226" t="s">
        <v>29</v>
      </c>
      <c r="E581" s="226" t="s">
        <v>664</v>
      </c>
      <c r="F581" s="226">
        <v>0.27586206896551724</v>
      </c>
      <c r="G581" s="226">
        <v>0</v>
      </c>
    </row>
    <row r="582" spans="1:7">
      <c r="A582" s="226" t="s">
        <v>95</v>
      </c>
      <c r="B582" s="226" t="s">
        <v>1235</v>
      </c>
      <c r="C582" s="226" t="s">
        <v>630</v>
      </c>
      <c r="D582" s="226" t="s">
        <v>29</v>
      </c>
      <c r="E582" s="226" t="s">
        <v>665</v>
      </c>
      <c r="F582" s="226">
        <v>0.27586206896551724</v>
      </c>
      <c r="G582" s="226">
        <v>0</v>
      </c>
    </row>
    <row r="583" spans="1:7">
      <c r="A583" s="226" t="s">
        <v>95</v>
      </c>
      <c r="B583" s="226" t="s">
        <v>1235</v>
      </c>
      <c r="C583" s="226" t="s">
        <v>630</v>
      </c>
      <c r="D583" s="226" t="s">
        <v>29</v>
      </c>
      <c r="E583" s="226" t="s">
        <v>666</v>
      </c>
      <c r="F583" s="226">
        <v>0.27586206896551724</v>
      </c>
      <c r="G583" s="226">
        <v>0</v>
      </c>
    </row>
    <row r="584" spans="1:7">
      <c r="A584" s="226" t="s">
        <v>95</v>
      </c>
      <c r="B584" s="226" t="s">
        <v>1235</v>
      </c>
      <c r="C584" s="226" t="s">
        <v>630</v>
      </c>
      <c r="D584" s="226" t="s">
        <v>29</v>
      </c>
      <c r="E584" s="226" t="s">
        <v>667</v>
      </c>
      <c r="F584" s="226">
        <v>0.27586206896551724</v>
      </c>
      <c r="G584" s="226">
        <v>0</v>
      </c>
    </row>
    <row r="585" spans="1:7">
      <c r="A585" s="226" t="s">
        <v>95</v>
      </c>
      <c r="B585" s="226" t="s">
        <v>1235</v>
      </c>
      <c r="C585" s="226" t="s">
        <v>963</v>
      </c>
      <c r="D585" s="226" t="s">
        <v>19</v>
      </c>
      <c r="E585" s="226" t="s">
        <v>618</v>
      </c>
      <c r="F585" s="226">
        <v>7.9399999999999974E-3</v>
      </c>
      <c r="G585" s="226">
        <v>7.9399999999999974E-3</v>
      </c>
    </row>
    <row r="586" spans="1:7">
      <c r="A586" s="226" t="s">
        <v>95</v>
      </c>
      <c r="B586" s="226" t="s">
        <v>1235</v>
      </c>
      <c r="C586" s="226" t="s">
        <v>963</v>
      </c>
      <c r="D586" s="226" t="s">
        <v>19</v>
      </c>
      <c r="E586" s="226" t="s">
        <v>619</v>
      </c>
      <c r="F586" s="226">
        <v>5.0000000000000001E-3</v>
      </c>
      <c r="G586" s="226">
        <v>5.0000000000000001E-3</v>
      </c>
    </row>
    <row r="587" spans="1:7">
      <c r="A587" s="226" t="s">
        <v>95</v>
      </c>
      <c r="B587" s="226" t="s">
        <v>1235</v>
      </c>
      <c r="C587" s="226" t="s">
        <v>963</v>
      </c>
      <c r="D587" s="226" t="s">
        <v>19</v>
      </c>
      <c r="E587" s="226" t="s">
        <v>620</v>
      </c>
      <c r="F587" s="226">
        <v>0.11226944667201283</v>
      </c>
      <c r="G587" s="226">
        <v>0</v>
      </c>
    </row>
    <row r="588" spans="1:7">
      <c r="A588" s="226" t="s">
        <v>95</v>
      </c>
      <c r="B588" s="226" t="s">
        <v>1235</v>
      </c>
      <c r="C588" s="226" t="s">
        <v>963</v>
      </c>
      <c r="D588" s="226" t="s">
        <v>19</v>
      </c>
      <c r="E588" s="226" t="s">
        <v>660</v>
      </c>
      <c r="F588" s="226">
        <v>0.14969259556268377</v>
      </c>
      <c r="G588" s="226">
        <v>0</v>
      </c>
    </row>
    <row r="589" spans="1:7">
      <c r="A589" s="226" t="s">
        <v>95</v>
      </c>
      <c r="B589" s="226" t="s">
        <v>1235</v>
      </c>
      <c r="C589" s="226" t="s">
        <v>963</v>
      </c>
      <c r="D589" s="226" t="s">
        <v>19</v>
      </c>
      <c r="E589" s="226" t="s">
        <v>661</v>
      </c>
      <c r="F589" s="226">
        <v>0.18711574445335472</v>
      </c>
      <c r="G589" s="226">
        <v>0</v>
      </c>
    </row>
    <row r="590" spans="1:7">
      <c r="A590" s="226" t="s">
        <v>95</v>
      </c>
      <c r="B590" s="226" t="s">
        <v>1235</v>
      </c>
      <c r="C590" s="226" t="s">
        <v>963</v>
      </c>
      <c r="D590" s="226" t="s">
        <v>19</v>
      </c>
      <c r="E590" s="226" t="s">
        <v>662</v>
      </c>
      <c r="F590" s="226">
        <v>0.22453889334402566</v>
      </c>
      <c r="G590" s="226">
        <v>0</v>
      </c>
    </row>
    <row r="591" spans="1:7">
      <c r="A591" s="226" t="s">
        <v>95</v>
      </c>
      <c r="B591" s="226" t="s">
        <v>1235</v>
      </c>
      <c r="C591" s="226" t="s">
        <v>963</v>
      </c>
      <c r="D591" s="226" t="s">
        <v>19</v>
      </c>
      <c r="E591" s="226" t="s">
        <v>663</v>
      </c>
      <c r="F591" s="226">
        <v>0.22453889334402566</v>
      </c>
      <c r="G591" s="226">
        <v>0</v>
      </c>
    </row>
    <row r="592" spans="1:7">
      <c r="A592" s="226" t="s">
        <v>95</v>
      </c>
      <c r="B592" s="226" t="s">
        <v>1235</v>
      </c>
      <c r="C592" s="226" t="s">
        <v>963</v>
      </c>
      <c r="D592" s="226" t="s">
        <v>19</v>
      </c>
      <c r="E592" s="226" t="s">
        <v>664</v>
      </c>
      <c r="F592" s="226">
        <v>0.22453889334402566</v>
      </c>
      <c r="G592" s="226">
        <v>0</v>
      </c>
    </row>
    <row r="593" spans="1:7">
      <c r="A593" s="226" t="s">
        <v>95</v>
      </c>
      <c r="B593" s="226" t="s">
        <v>1235</v>
      </c>
      <c r="C593" s="226" t="s">
        <v>963</v>
      </c>
      <c r="D593" s="226" t="s">
        <v>19</v>
      </c>
      <c r="E593" s="226" t="s">
        <v>665</v>
      </c>
      <c r="F593" s="226">
        <v>0.22453889334402566</v>
      </c>
      <c r="G593" s="226">
        <v>0</v>
      </c>
    </row>
    <row r="594" spans="1:7">
      <c r="A594" s="226" t="s">
        <v>95</v>
      </c>
      <c r="B594" s="226" t="s">
        <v>1235</v>
      </c>
      <c r="C594" s="226" t="s">
        <v>963</v>
      </c>
      <c r="D594" s="226" t="s">
        <v>19</v>
      </c>
      <c r="E594" s="226" t="s">
        <v>666</v>
      </c>
      <c r="F594" s="226">
        <v>0.22453889334402566</v>
      </c>
      <c r="G594" s="226">
        <v>0</v>
      </c>
    </row>
    <row r="595" spans="1:7">
      <c r="A595" s="226" t="s">
        <v>95</v>
      </c>
      <c r="B595" s="226" t="s">
        <v>1235</v>
      </c>
      <c r="C595" s="226" t="s">
        <v>963</v>
      </c>
      <c r="D595" s="226" t="s">
        <v>19</v>
      </c>
      <c r="E595" s="226" t="s">
        <v>667</v>
      </c>
      <c r="F595" s="226">
        <v>0.22453889334402566</v>
      </c>
      <c r="G595" s="226">
        <v>0</v>
      </c>
    </row>
    <row r="596" spans="1:7">
      <c r="A596" s="226" t="s">
        <v>95</v>
      </c>
      <c r="B596" s="226" t="s">
        <v>1235</v>
      </c>
      <c r="C596" s="226" t="s">
        <v>626</v>
      </c>
      <c r="D596" s="226" t="s">
        <v>18</v>
      </c>
      <c r="E596" s="226" t="s">
        <v>618</v>
      </c>
      <c r="F596" s="226">
        <v>2.1129999999999968E-2</v>
      </c>
      <c r="G596" s="226">
        <v>2.1129999999999968E-2</v>
      </c>
    </row>
    <row r="597" spans="1:7">
      <c r="A597" s="226" t="s">
        <v>95</v>
      </c>
      <c r="B597" s="226" t="s">
        <v>1235</v>
      </c>
      <c r="C597" s="226" t="s">
        <v>626</v>
      </c>
      <c r="D597" s="226" t="s">
        <v>18</v>
      </c>
      <c r="E597" s="226" t="s">
        <v>619</v>
      </c>
      <c r="F597" s="226">
        <v>0</v>
      </c>
      <c r="G597" s="226">
        <v>0</v>
      </c>
    </row>
    <row r="598" spans="1:7">
      <c r="A598" s="226" t="s">
        <v>95</v>
      </c>
      <c r="B598" s="226" t="s">
        <v>1235</v>
      </c>
      <c r="C598" s="226" t="s">
        <v>626</v>
      </c>
      <c r="D598" s="226" t="s">
        <v>18</v>
      </c>
      <c r="E598" s="226" t="s">
        <v>620</v>
      </c>
      <c r="F598" s="226">
        <v>0.18313953488372092</v>
      </c>
      <c r="G598" s="226">
        <v>0</v>
      </c>
    </row>
    <row r="599" spans="1:7">
      <c r="A599" s="226" t="s">
        <v>95</v>
      </c>
      <c r="B599" s="226" t="s">
        <v>1235</v>
      </c>
      <c r="C599" s="226" t="s">
        <v>626</v>
      </c>
      <c r="D599" s="226" t="s">
        <v>18</v>
      </c>
      <c r="E599" s="226" t="s">
        <v>660</v>
      </c>
      <c r="F599" s="226">
        <v>0.2441860465116279</v>
      </c>
      <c r="G599" s="226">
        <v>0</v>
      </c>
    </row>
    <row r="600" spans="1:7">
      <c r="A600" s="226" t="s">
        <v>95</v>
      </c>
      <c r="B600" s="226" t="s">
        <v>1235</v>
      </c>
      <c r="C600" s="226" t="s">
        <v>626</v>
      </c>
      <c r="D600" s="226" t="s">
        <v>18</v>
      </c>
      <c r="E600" s="226" t="s">
        <v>661</v>
      </c>
      <c r="F600" s="226">
        <v>0.30523255813953487</v>
      </c>
      <c r="G600" s="226">
        <v>0</v>
      </c>
    </row>
    <row r="601" spans="1:7">
      <c r="A601" s="226" t="s">
        <v>95</v>
      </c>
      <c r="B601" s="226" t="s">
        <v>1235</v>
      </c>
      <c r="C601" s="226" t="s">
        <v>626</v>
      </c>
      <c r="D601" s="226" t="s">
        <v>18</v>
      </c>
      <c r="E601" s="226" t="s">
        <v>662</v>
      </c>
      <c r="F601" s="226">
        <v>0.36627906976744184</v>
      </c>
      <c r="G601" s="226">
        <v>0</v>
      </c>
    </row>
    <row r="602" spans="1:7">
      <c r="A602" s="226" t="s">
        <v>95</v>
      </c>
      <c r="B602" s="226" t="s">
        <v>1235</v>
      </c>
      <c r="C602" s="226" t="s">
        <v>626</v>
      </c>
      <c r="D602" s="226" t="s">
        <v>18</v>
      </c>
      <c r="E602" s="226" t="s">
        <v>663</v>
      </c>
      <c r="F602" s="226">
        <v>0.36627906976744184</v>
      </c>
      <c r="G602" s="226">
        <v>0</v>
      </c>
    </row>
    <row r="603" spans="1:7">
      <c r="A603" s="226" t="s">
        <v>95</v>
      </c>
      <c r="B603" s="226" t="s">
        <v>1235</v>
      </c>
      <c r="C603" s="226" t="s">
        <v>626</v>
      </c>
      <c r="D603" s="226" t="s">
        <v>18</v>
      </c>
      <c r="E603" s="226" t="s">
        <v>664</v>
      </c>
      <c r="F603" s="226">
        <v>0.36627906976744184</v>
      </c>
      <c r="G603" s="226">
        <v>0</v>
      </c>
    </row>
    <row r="604" spans="1:7">
      <c r="A604" s="226" t="s">
        <v>95</v>
      </c>
      <c r="B604" s="226" t="s">
        <v>1235</v>
      </c>
      <c r="C604" s="226" t="s">
        <v>626</v>
      </c>
      <c r="D604" s="226" t="s">
        <v>18</v>
      </c>
      <c r="E604" s="226" t="s">
        <v>665</v>
      </c>
      <c r="F604" s="226">
        <v>0.36627906976744184</v>
      </c>
      <c r="G604" s="226">
        <v>0</v>
      </c>
    </row>
    <row r="605" spans="1:7">
      <c r="A605" s="226" t="s">
        <v>95</v>
      </c>
      <c r="B605" s="226" t="s">
        <v>1235</v>
      </c>
      <c r="C605" s="226" t="s">
        <v>626</v>
      </c>
      <c r="D605" s="226" t="s">
        <v>18</v>
      </c>
      <c r="E605" s="226" t="s">
        <v>666</v>
      </c>
      <c r="F605" s="226">
        <v>0.36627906976744184</v>
      </c>
      <c r="G605" s="226">
        <v>0</v>
      </c>
    </row>
    <row r="606" spans="1:7">
      <c r="A606" s="226" t="s">
        <v>95</v>
      </c>
      <c r="B606" s="226" t="s">
        <v>1235</v>
      </c>
      <c r="C606" s="226" t="s">
        <v>626</v>
      </c>
      <c r="D606" s="226" t="s">
        <v>18</v>
      </c>
      <c r="E606" s="226" t="s">
        <v>667</v>
      </c>
      <c r="F606" s="226">
        <v>0.36627906976744184</v>
      </c>
      <c r="G606" s="226">
        <v>0</v>
      </c>
    </row>
    <row r="607" spans="1:7">
      <c r="A607" s="226" t="s">
        <v>95</v>
      </c>
      <c r="B607" s="226" t="s">
        <v>1235</v>
      </c>
      <c r="C607" s="226" t="s">
        <v>626</v>
      </c>
      <c r="D607" s="226" t="s">
        <v>91</v>
      </c>
      <c r="E607" s="226" t="s">
        <v>618</v>
      </c>
      <c r="F607" s="226">
        <v>2.66E-3</v>
      </c>
      <c r="G607" s="226">
        <v>2.66E-3</v>
      </c>
    </row>
    <row r="608" spans="1:7">
      <c r="A608" s="226" t="s">
        <v>95</v>
      </c>
      <c r="B608" s="226" t="s">
        <v>1235</v>
      </c>
      <c r="C608" s="226" t="s">
        <v>626</v>
      </c>
      <c r="D608" s="226" t="s">
        <v>91</v>
      </c>
      <c r="E608" s="226" t="s">
        <v>619</v>
      </c>
      <c r="F608" s="226">
        <v>0</v>
      </c>
      <c r="G608" s="226">
        <v>0</v>
      </c>
    </row>
    <row r="609" spans="1:7">
      <c r="A609" s="226" t="s">
        <v>95</v>
      </c>
      <c r="B609" s="226" t="s">
        <v>1235</v>
      </c>
      <c r="C609" s="226" t="s">
        <v>626</v>
      </c>
      <c r="D609" s="226" t="s">
        <v>91</v>
      </c>
      <c r="E609" s="226" t="s">
        <v>620</v>
      </c>
      <c r="F609" s="226">
        <v>8.8211708099438652E-3</v>
      </c>
      <c r="G609" s="226">
        <v>0</v>
      </c>
    </row>
    <row r="610" spans="1:7">
      <c r="A610" s="226" t="s">
        <v>95</v>
      </c>
      <c r="B610" s="226" t="s">
        <v>1235</v>
      </c>
      <c r="C610" s="226" t="s">
        <v>626</v>
      </c>
      <c r="D610" s="226" t="s">
        <v>91</v>
      </c>
      <c r="E610" s="226" t="s">
        <v>660</v>
      </c>
      <c r="F610" s="226">
        <v>1.1761561079925154E-2</v>
      </c>
      <c r="G610" s="226">
        <v>0</v>
      </c>
    </row>
    <row r="611" spans="1:7">
      <c r="A611" s="226" t="s">
        <v>95</v>
      </c>
      <c r="B611" s="226" t="s">
        <v>1235</v>
      </c>
      <c r="C611" s="226" t="s">
        <v>626</v>
      </c>
      <c r="D611" s="226" t="s">
        <v>91</v>
      </c>
      <c r="E611" s="226" t="s">
        <v>661</v>
      </c>
      <c r="F611" s="226">
        <v>1.4701951349906442E-2</v>
      </c>
      <c r="G611" s="226">
        <v>0</v>
      </c>
    </row>
    <row r="612" spans="1:7">
      <c r="A612" s="226" t="s">
        <v>95</v>
      </c>
      <c r="B612" s="226" t="s">
        <v>1235</v>
      </c>
      <c r="C612" s="226" t="s">
        <v>626</v>
      </c>
      <c r="D612" s="226" t="s">
        <v>91</v>
      </c>
      <c r="E612" s="226" t="s">
        <v>662</v>
      </c>
      <c r="F612" s="226">
        <v>1.764234161988773E-2</v>
      </c>
      <c r="G612" s="226">
        <v>0</v>
      </c>
    </row>
    <row r="613" spans="1:7">
      <c r="A613" s="226" t="s">
        <v>95</v>
      </c>
      <c r="B613" s="226" t="s">
        <v>1235</v>
      </c>
      <c r="C613" s="226" t="s">
        <v>626</v>
      </c>
      <c r="D613" s="226" t="s">
        <v>91</v>
      </c>
      <c r="E613" s="226" t="s">
        <v>663</v>
      </c>
      <c r="F613" s="226">
        <v>1.764234161988773E-2</v>
      </c>
      <c r="G613" s="226">
        <v>0</v>
      </c>
    </row>
    <row r="614" spans="1:7">
      <c r="A614" s="226" t="s">
        <v>95</v>
      </c>
      <c r="B614" s="226" t="s">
        <v>1235</v>
      </c>
      <c r="C614" s="226" t="s">
        <v>626</v>
      </c>
      <c r="D614" s="226" t="s">
        <v>91</v>
      </c>
      <c r="E614" s="226" t="s">
        <v>664</v>
      </c>
      <c r="F614" s="226">
        <v>1.764234161988773E-2</v>
      </c>
      <c r="G614" s="226">
        <v>0</v>
      </c>
    </row>
    <row r="615" spans="1:7">
      <c r="A615" s="226" t="s">
        <v>95</v>
      </c>
      <c r="B615" s="226" t="s">
        <v>1235</v>
      </c>
      <c r="C615" s="226" t="s">
        <v>626</v>
      </c>
      <c r="D615" s="226" t="s">
        <v>91</v>
      </c>
      <c r="E615" s="226" t="s">
        <v>665</v>
      </c>
      <c r="F615" s="226">
        <v>1.764234161988773E-2</v>
      </c>
      <c r="G615" s="226">
        <v>0</v>
      </c>
    </row>
    <row r="616" spans="1:7">
      <c r="A616" s="226" t="s">
        <v>95</v>
      </c>
      <c r="B616" s="226" t="s">
        <v>1235</v>
      </c>
      <c r="C616" s="226" t="s">
        <v>626</v>
      </c>
      <c r="D616" s="226" t="s">
        <v>91</v>
      </c>
      <c r="E616" s="226" t="s">
        <v>666</v>
      </c>
      <c r="F616" s="226">
        <v>1.764234161988773E-2</v>
      </c>
      <c r="G616" s="226">
        <v>0</v>
      </c>
    </row>
    <row r="617" spans="1:7">
      <c r="A617" s="226" t="s">
        <v>95</v>
      </c>
      <c r="B617" s="226" t="s">
        <v>1235</v>
      </c>
      <c r="C617" s="226" t="s">
        <v>626</v>
      </c>
      <c r="D617" s="226" t="s">
        <v>91</v>
      </c>
      <c r="E617" s="226" t="s">
        <v>667</v>
      </c>
      <c r="F617" s="226">
        <v>1.764234161988773E-2</v>
      </c>
      <c r="G617" s="226">
        <v>0</v>
      </c>
    </row>
    <row r="618" spans="1:7">
      <c r="A618" s="226" t="s">
        <v>95</v>
      </c>
      <c r="B618" s="226" t="s">
        <v>1235</v>
      </c>
      <c r="C618" s="226" t="s">
        <v>626</v>
      </c>
      <c r="D618" s="226" t="s">
        <v>8</v>
      </c>
      <c r="E618" s="226" t="s">
        <v>618</v>
      </c>
      <c r="F618" s="226">
        <v>1.1395087866451328</v>
      </c>
      <c r="G618" s="226">
        <v>1.1199300000000003</v>
      </c>
    </row>
    <row r="619" spans="1:7">
      <c r="A619" s="226" t="s">
        <v>95</v>
      </c>
      <c r="B619" s="226" t="s">
        <v>1235</v>
      </c>
      <c r="C619" s="226" t="s">
        <v>626</v>
      </c>
      <c r="D619" s="226" t="s">
        <v>8</v>
      </c>
      <c r="E619" s="226" t="s">
        <v>619</v>
      </c>
      <c r="F619" s="226">
        <v>0.68293402051575813</v>
      </c>
      <c r="G619" s="226">
        <v>0.67120000000000002</v>
      </c>
    </row>
    <row r="620" spans="1:7">
      <c r="A620" s="226" t="s">
        <v>95</v>
      </c>
      <c r="B620" s="226" t="s">
        <v>1235</v>
      </c>
      <c r="C620" s="226" t="s">
        <v>626</v>
      </c>
      <c r="D620" s="226" t="s">
        <v>8</v>
      </c>
      <c r="E620" s="226" t="s">
        <v>620</v>
      </c>
      <c r="F620" s="226">
        <v>1.0244010307736371</v>
      </c>
      <c r="G620" s="226">
        <v>1.0067999999999999</v>
      </c>
    </row>
    <row r="621" spans="1:7">
      <c r="A621" s="226" t="s">
        <v>95</v>
      </c>
      <c r="B621" s="226" t="s">
        <v>1235</v>
      </c>
      <c r="C621" s="226" t="s">
        <v>626</v>
      </c>
      <c r="D621" s="226" t="s">
        <v>8</v>
      </c>
      <c r="E621" s="226" t="s">
        <v>660</v>
      </c>
      <c r="F621" s="226">
        <v>1.7073350512893952</v>
      </c>
      <c r="G621" s="226">
        <v>1.6779999999999999</v>
      </c>
    </row>
    <row r="622" spans="1:7">
      <c r="A622" s="226" t="s">
        <v>95</v>
      </c>
      <c r="B622" s="226" t="s">
        <v>1235</v>
      </c>
      <c r="C622" s="226" t="s">
        <v>626</v>
      </c>
      <c r="D622" s="226" t="s">
        <v>8</v>
      </c>
      <c r="E622" s="226" t="s">
        <v>661</v>
      </c>
      <c r="F622" s="226">
        <v>0.59760090884790162</v>
      </c>
      <c r="G622" s="226">
        <v>0</v>
      </c>
    </row>
    <row r="623" spans="1:7">
      <c r="A623" s="226" t="s">
        <v>95</v>
      </c>
      <c r="B623" s="226" t="s">
        <v>1235</v>
      </c>
      <c r="C623" s="226" t="s">
        <v>626</v>
      </c>
      <c r="D623" s="226" t="s">
        <v>8</v>
      </c>
      <c r="E623" s="226" t="s">
        <v>662</v>
      </c>
      <c r="F623" s="226">
        <v>0.71712109061748197</v>
      </c>
      <c r="G623" s="226">
        <v>0</v>
      </c>
    </row>
    <row r="624" spans="1:7">
      <c r="A624" s="226" t="s">
        <v>95</v>
      </c>
      <c r="B624" s="226" t="s">
        <v>1235</v>
      </c>
      <c r="C624" s="226" t="s">
        <v>626</v>
      </c>
      <c r="D624" s="226" t="s">
        <v>8</v>
      </c>
      <c r="E624" s="226" t="s">
        <v>663</v>
      </c>
      <c r="F624" s="226">
        <v>0.71712109061748197</v>
      </c>
      <c r="G624" s="226">
        <v>0</v>
      </c>
    </row>
    <row r="625" spans="1:7">
      <c r="A625" s="226" t="s">
        <v>95</v>
      </c>
      <c r="B625" s="226" t="s">
        <v>1235</v>
      </c>
      <c r="C625" s="226" t="s">
        <v>626</v>
      </c>
      <c r="D625" s="226" t="s">
        <v>8</v>
      </c>
      <c r="E625" s="226" t="s">
        <v>664</v>
      </c>
      <c r="F625" s="226">
        <v>0.71712109061748197</v>
      </c>
      <c r="G625" s="226">
        <v>0</v>
      </c>
    </row>
    <row r="626" spans="1:7">
      <c r="A626" s="226" t="s">
        <v>95</v>
      </c>
      <c r="B626" s="226" t="s">
        <v>1235</v>
      </c>
      <c r="C626" s="226" t="s">
        <v>626</v>
      </c>
      <c r="D626" s="226" t="s">
        <v>8</v>
      </c>
      <c r="E626" s="226" t="s">
        <v>665</v>
      </c>
      <c r="F626" s="226">
        <v>0.71712109061748197</v>
      </c>
      <c r="G626" s="226">
        <v>0</v>
      </c>
    </row>
    <row r="627" spans="1:7">
      <c r="A627" s="226" t="s">
        <v>95</v>
      </c>
      <c r="B627" s="226" t="s">
        <v>1235</v>
      </c>
      <c r="C627" s="226" t="s">
        <v>626</v>
      </c>
      <c r="D627" s="226" t="s">
        <v>8</v>
      </c>
      <c r="E627" s="226" t="s">
        <v>666</v>
      </c>
      <c r="F627" s="226">
        <v>0.71712109061748197</v>
      </c>
      <c r="G627" s="226">
        <v>0</v>
      </c>
    </row>
    <row r="628" spans="1:7">
      <c r="A628" s="226" t="s">
        <v>95</v>
      </c>
      <c r="B628" s="226" t="s">
        <v>1235</v>
      </c>
      <c r="C628" s="226" t="s">
        <v>626</v>
      </c>
      <c r="D628" s="226" t="s">
        <v>8</v>
      </c>
      <c r="E628" s="226" t="s">
        <v>667</v>
      </c>
      <c r="F628" s="226">
        <v>0.71712109061748197</v>
      </c>
      <c r="G628" s="226">
        <v>0</v>
      </c>
    </row>
    <row r="629" spans="1:7">
      <c r="A629" s="226" t="s">
        <v>95</v>
      </c>
      <c r="B629" s="226" t="s">
        <v>1235</v>
      </c>
      <c r="C629" s="226" t="s">
        <v>625</v>
      </c>
      <c r="D629" s="226" t="s">
        <v>5</v>
      </c>
      <c r="E629" s="226" t="s">
        <v>618</v>
      </c>
      <c r="F629" s="226">
        <v>0.15568999999999997</v>
      </c>
      <c r="G629" s="226">
        <v>0.15568999999999997</v>
      </c>
    </row>
    <row r="630" spans="1:7">
      <c r="A630" s="226" t="s">
        <v>95</v>
      </c>
      <c r="B630" s="226" t="s">
        <v>1235</v>
      </c>
      <c r="C630" s="226" t="s">
        <v>625</v>
      </c>
      <c r="D630" s="226" t="s">
        <v>5</v>
      </c>
      <c r="E630" s="226" t="s">
        <v>619</v>
      </c>
      <c r="F630" s="226">
        <v>7.0199999999999999E-2</v>
      </c>
      <c r="G630" s="226">
        <v>7.0199999999999999E-2</v>
      </c>
    </row>
    <row r="631" spans="1:7">
      <c r="A631" s="226" t="s">
        <v>95</v>
      </c>
      <c r="B631" s="226" t="s">
        <v>1235</v>
      </c>
      <c r="C631" s="226" t="s">
        <v>625</v>
      </c>
      <c r="D631" s="226" t="s">
        <v>5</v>
      </c>
      <c r="E631" s="226" t="s">
        <v>620</v>
      </c>
      <c r="F631" s="226">
        <v>0.10529999999999999</v>
      </c>
      <c r="G631" s="226">
        <v>0.10529999999999999</v>
      </c>
    </row>
    <row r="632" spans="1:7">
      <c r="A632" s="226" t="s">
        <v>95</v>
      </c>
      <c r="B632" s="226" t="s">
        <v>1235</v>
      </c>
      <c r="C632" s="226" t="s">
        <v>625</v>
      </c>
      <c r="D632" s="226" t="s">
        <v>5</v>
      </c>
      <c r="E632" s="226" t="s">
        <v>660</v>
      </c>
      <c r="F632" s="226">
        <v>0.17549999999999999</v>
      </c>
      <c r="G632" s="226">
        <v>0.17549999999999999</v>
      </c>
    </row>
    <row r="633" spans="1:7">
      <c r="A633" s="226" t="s">
        <v>95</v>
      </c>
      <c r="B633" s="226" t="s">
        <v>1235</v>
      </c>
      <c r="C633" s="226" t="s">
        <v>625</v>
      </c>
      <c r="D633" s="226" t="s">
        <v>5</v>
      </c>
      <c r="E633" s="226" t="s">
        <v>661</v>
      </c>
      <c r="F633" s="226">
        <v>7.6182838813151563E-2</v>
      </c>
      <c r="G633" s="226">
        <v>0</v>
      </c>
    </row>
    <row r="634" spans="1:7">
      <c r="A634" s="226" t="s">
        <v>95</v>
      </c>
      <c r="B634" s="226" t="s">
        <v>1235</v>
      </c>
      <c r="C634" s="226" t="s">
        <v>625</v>
      </c>
      <c r="D634" s="226" t="s">
        <v>5</v>
      </c>
      <c r="E634" s="226" t="s">
        <v>662</v>
      </c>
      <c r="F634" s="226">
        <v>9.1419406575781875E-2</v>
      </c>
      <c r="G634" s="226">
        <v>0</v>
      </c>
    </row>
    <row r="635" spans="1:7">
      <c r="A635" s="226" t="s">
        <v>95</v>
      </c>
      <c r="B635" s="226" t="s">
        <v>1235</v>
      </c>
      <c r="C635" s="226" t="s">
        <v>625</v>
      </c>
      <c r="D635" s="226" t="s">
        <v>5</v>
      </c>
      <c r="E635" s="226" t="s">
        <v>663</v>
      </c>
      <c r="F635" s="226">
        <v>9.1419406575781875E-2</v>
      </c>
      <c r="G635" s="226">
        <v>0</v>
      </c>
    </row>
    <row r="636" spans="1:7">
      <c r="A636" s="226" t="s">
        <v>95</v>
      </c>
      <c r="B636" s="226" t="s">
        <v>1235</v>
      </c>
      <c r="C636" s="226" t="s">
        <v>625</v>
      </c>
      <c r="D636" s="226" t="s">
        <v>5</v>
      </c>
      <c r="E636" s="226" t="s">
        <v>664</v>
      </c>
      <c r="F636" s="226">
        <v>9.1419406575781875E-2</v>
      </c>
      <c r="G636" s="226">
        <v>0</v>
      </c>
    </row>
    <row r="637" spans="1:7">
      <c r="A637" s="226" t="s">
        <v>95</v>
      </c>
      <c r="B637" s="226" t="s">
        <v>1235</v>
      </c>
      <c r="C637" s="226" t="s">
        <v>625</v>
      </c>
      <c r="D637" s="226" t="s">
        <v>5</v>
      </c>
      <c r="E637" s="226" t="s">
        <v>665</v>
      </c>
      <c r="F637" s="226">
        <v>9.1419406575781875E-2</v>
      </c>
      <c r="G637" s="226">
        <v>0</v>
      </c>
    </row>
    <row r="638" spans="1:7">
      <c r="A638" s="226" t="s">
        <v>95</v>
      </c>
      <c r="B638" s="226" t="s">
        <v>1235</v>
      </c>
      <c r="C638" s="226" t="s">
        <v>625</v>
      </c>
      <c r="D638" s="226" t="s">
        <v>5</v>
      </c>
      <c r="E638" s="226" t="s">
        <v>666</v>
      </c>
      <c r="F638" s="226">
        <v>9.1419406575781875E-2</v>
      </c>
      <c r="G638" s="226">
        <v>0</v>
      </c>
    </row>
    <row r="639" spans="1:7">
      <c r="A639" s="226" t="s">
        <v>95</v>
      </c>
      <c r="B639" s="226" t="s">
        <v>1235</v>
      </c>
      <c r="C639" s="226" t="s">
        <v>625</v>
      </c>
      <c r="D639" s="226" t="s">
        <v>5</v>
      </c>
      <c r="E639" s="226" t="s">
        <v>667</v>
      </c>
      <c r="F639" s="226">
        <v>9.1419406575781875E-2</v>
      </c>
      <c r="G639" s="226">
        <v>0</v>
      </c>
    </row>
    <row r="640" spans="1:7">
      <c r="A640" s="226" t="s">
        <v>95</v>
      </c>
      <c r="B640" s="226" t="s">
        <v>1235</v>
      </c>
      <c r="C640" s="226" t="s">
        <v>625</v>
      </c>
      <c r="D640" s="226" t="s">
        <v>88</v>
      </c>
      <c r="E640" s="226" t="s">
        <v>618</v>
      </c>
      <c r="F640" s="226">
        <v>9.8000000000000049E-3</v>
      </c>
      <c r="G640" s="226">
        <v>9.8000000000000049E-3</v>
      </c>
    </row>
    <row r="641" spans="1:7">
      <c r="A641" s="226" t="s">
        <v>95</v>
      </c>
      <c r="B641" s="226" t="s">
        <v>1235</v>
      </c>
      <c r="C641" s="226" t="s">
        <v>625</v>
      </c>
      <c r="D641" s="226" t="s">
        <v>88</v>
      </c>
      <c r="E641" s="226" t="s">
        <v>619</v>
      </c>
      <c r="F641" s="226">
        <v>0</v>
      </c>
      <c r="G641" s="226">
        <v>0</v>
      </c>
    </row>
    <row r="642" spans="1:7">
      <c r="A642" s="226" t="s">
        <v>95</v>
      </c>
      <c r="B642" s="226" t="s">
        <v>1235</v>
      </c>
      <c r="C642" s="226" t="s">
        <v>625</v>
      </c>
      <c r="D642" s="226" t="s">
        <v>88</v>
      </c>
      <c r="E642" s="226" t="s">
        <v>620</v>
      </c>
      <c r="F642" s="226">
        <v>0.33921411387329592</v>
      </c>
      <c r="G642" s="226">
        <v>0</v>
      </c>
    </row>
    <row r="643" spans="1:7">
      <c r="A643" s="226" t="s">
        <v>95</v>
      </c>
      <c r="B643" s="226" t="s">
        <v>1235</v>
      </c>
      <c r="C643" s="226" t="s">
        <v>625</v>
      </c>
      <c r="D643" s="226" t="s">
        <v>88</v>
      </c>
      <c r="E643" s="226" t="s">
        <v>660</v>
      </c>
      <c r="F643" s="226">
        <v>0.45228548516439454</v>
      </c>
      <c r="G643" s="226">
        <v>0</v>
      </c>
    </row>
    <row r="644" spans="1:7">
      <c r="A644" s="226" t="s">
        <v>95</v>
      </c>
      <c r="B644" s="226" t="s">
        <v>1235</v>
      </c>
      <c r="C644" s="226" t="s">
        <v>625</v>
      </c>
      <c r="D644" s="226" t="s">
        <v>88</v>
      </c>
      <c r="E644" s="226" t="s">
        <v>661</v>
      </c>
      <c r="F644" s="226">
        <v>0.56535685645549316</v>
      </c>
      <c r="G644" s="226">
        <v>0</v>
      </c>
    </row>
    <row r="645" spans="1:7">
      <c r="A645" s="226" t="s">
        <v>95</v>
      </c>
      <c r="B645" s="226" t="s">
        <v>1235</v>
      </c>
      <c r="C645" s="226" t="s">
        <v>625</v>
      </c>
      <c r="D645" s="226" t="s">
        <v>88</v>
      </c>
      <c r="E645" s="226" t="s">
        <v>662</v>
      </c>
      <c r="F645" s="226">
        <v>0.67842822774659184</v>
      </c>
      <c r="G645" s="226">
        <v>0</v>
      </c>
    </row>
    <row r="646" spans="1:7">
      <c r="A646" s="226" t="s">
        <v>95</v>
      </c>
      <c r="B646" s="226" t="s">
        <v>1235</v>
      </c>
      <c r="C646" s="226" t="s">
        <v>625</v>
      </c>
      <c r="D646" s="226" t="s">
        <v>88</v>
      </c>
      <c r="E646" s="226" t="s">
        <v>663</v>
      </c>
      <c r="F646" s="226">
        <v>0.67842822774659184</v>
      </c>
      <c r="G646" s="226">
        <v>0</v>
      </c>
    </row>
    <row r="647" spans="1:7">
      <c r="A647" s="226" t="s">
        <v>95</v>
      </c>
      <c r="B647" s="226" t="s">
        <v>1235</v>
      </c>
      <c r="C647" s="226" t="s">
        <v>625</v>
      </c>
      <c r="D647" s="226" t="s">
        <v>88</v>
      </c>
      <c r="E647" s="226" t="s">
        <v>664</v>
      </c>
      <c r="F647" s="226">
        <v>0.67842822774659184</v>
      </c>
      <c r="G647" s="226">
        <v>0</v>
      </c>
    </row>
    <row r="648" spans="1:7">
      <c r="A648" s="226" t="s">
        <v>95</v>
      </c>
      <c r="B648" s="226" t="s">
        <v>1235</v>
      </c>
      <c r="C648" s="226" t="s">
        <v>625</v>
      </c>
      <c r="D648" s="226" t="s">
        <v>88</v>
      </c>
      <c r="E648" s="226" t="s">
        <v>665</v>
      </c>
      <c r="F648" s="226">
        <v>0.67842822774659184</v>
      </c>
      <c r="G648" s="226">
        <v>0</v>
      </c>
    </row>
    <row r="649" spans="1:7">
      <c r="A649" s="226" t="s">
        <v>95</v>
      </c>
      <c r="B649" s="226" t="s">
        <v>1235</v>
      </c>
      <c r="C649" s="226" t="s">
        <v>625</v>
      </c>
      <c r="D649" s="226" t="s">
        <v>88</v>
      </c>
      <c r="E649" s="226" t="s">
        <v>666</v>
      </c>
      <c r="F649" s="226">
        <v>0.67842822774659184</v>
      </c>
      <c r="G649" s="226">
        <v>0</v>
      </c>
    </row>
    <row r="650" spans="1:7">
      <c r="A650" s="226" t="s">
        <v>95</v>
      </c>
      <c r="B650" s="226" t="s">
        <v>1235</v>
      </c>
      <c r="C650" s="226" t="s">
        <v>625</v>
      </c>
      <c r="D650" s="226" t="s">
        <v>88</v>
      </c>
      <c r="E650" s="226" t="s">
        <v>667</v>
      </c>
      <c r="F650" s="226">
        <v>0.67842822774659184</v>
      </c>
      <c r="G650" s="226">
        <v>0</v>
      </c>
    </row>
    <row r="651" spans="1:7">
      <c r="A651" s="226" t="s">
        <v>95</v>
      </c>
      <c r="B651" s="226" t="s">
        <v>1235</v>
      </c>
      <c r="C651" s="226" t="s">
        <v>625</v>
      </c>
      <c r="D651" s="226" t="s">
        <v>89</v>
      </c>
      <c r="E651" s="226" t="s">
        <v>618</v>
      </c>
      <c r="F651" s="226">
        <v>1.4299999999999996E-3</v>
      </c>
      <c r="G651" s="226">
        <v>1.4299999999999996E-3</v>
      </c>
    </row>
    <row r="652" spans="1:7">
      <c r="A652" s="226" t="s">
        <v>95</v>
      </c>
      <c r="B652" s="226" t="s">
        <v>1235</v>
      </c>
      <c r="C652" s="226" t="s">
        <v>625</v>
      </c>
      <c r="D652" s="226" t="s">
        <v>89</v>
      </c>
      <c r="E652" s="226" t="s">
        <v>619</v>
      </c>
      <c r="F652" s="226">
        <v>0</v>
      </c>
      <c r="G652" s="226">
        <v>0</v>
      </c>
    </row>
    <row r="653" spans="1:7">
      <c r="A653" s="226" t="s">
        <v>95</v>
      </c>
      <c r="B653" s="226" t="s">
        <v>1235</v>
      </c>
      <c r="C653" s="226" t="s">
        <v>625</v>
      </c>
      <c r="D653" s="226" t="s">
        <v>89</v>
      </c>
      <c r="E653" s="226" t="s">
        <v>620</v>
      </c>
      <c r="F653" s="226">
        <v>1.1131716118684845</v>
      </c>
      <c r="G653" s="226">
        <v>0</v>
      </c>
    </row>
    <row r="654" spans="1:7">
      <c r="A654" s="226" t="s">
        <v>95</v>
      </c>
      <c r="B654" s="226" t="s">
        <v>1235</v>
      </c>
      <c r="C654" s="226" t="s">
        <v>625</v>
      </c>
      <c r="D654" s="226" t="s">
        <v>89</v>
      </c>
      <c r="E654" s="226" t="s">
        <v>660</v>
      </c>
      <c r="F654" s="226">
        <v>1.4842288158246459</v>
      </c>
      <c r="G654" s="226">
        <v>0</v>
      </c>
    </row>
    <row r="655" spans="1:7">
      <c r="A655" s="226" t="s">
        <v>95</v>
      </c>
      <c r="B655" s="226" t="s">
        <v>1235</v>
      </c>
      <c r="C655" s="226" t="s">
        <v>625</v>
      </c>
      <c r="D655" s="226" t="s">
        <v>89</v>
      </c>
      <c r="E655" s="226" t="s">
        <v>661</v>
      </c>
      <c r="F655" s="226">
        <v>1.8552860197808072</v>
      </c>
      <c r="G655" s="226">
        <v>0</v>
      </c>
    </row>
    <row r="656" spans="1:7">
      <c r="A656" s="226" t="s">
        <v>95</v>
      </c>
      <c r="B656" s="226" t="s">
        <v>1235</v>
      </c>
      <c r="C656" s="226" t="s">
        <v>625</v>
      </c>
      <c r="D656" s="226" t="s">
        <v>89</v>
      </c>
      <c r="E656" s="226" t="s">
        <v>662</v>
      </c>
      <c r="F656" s="226">
        <v>2.2263432237369689</v>
      </c>
      <c r="G656" s="226">
        <v>0</v>
      </c>
    </row>
    <row r="657" spans="1:7">
      <c r="A657" s="226" t="s">
        <v>95</v>
      </c>
      <c r="B657" s="226" t="s">
        <v>1235</v>
      </c>
      <c r="C657" s="226" t="s">
        <v>625</v>
      </c>
      <c r="D657" s="226" t="s">
        <v>89</v>
      </c>
      <c r="E657" s="226" t="s">
        <v>663</v>
      </c>
      <c r="F657" s="226">
        <v>2.2263432237369689</v>
      </c>
      <c r="G657" s="226">
        <v>0</v>
      </c>
    </row>
    <row r="658" spans="1:7">
      <c r="A658" s="226" t="s">
        <v>95</v>
      </c>
      <c r="B658" s="226" t="s">
        <v>1235</v>
      </c>
      <c r="C658" s="226" t="s">
        <v>625</v>
      </c>
      <c r="D658" s="226" t="s">
        <v>89</v>
      </c>
      <c r="E658" s="226" t="s">
        <v>664</v>
      </c>
      <c r="F658" s="226">
        <v>2.2263432237369689</v>
      </c>
      <c r="G658" s="226">
        <v>0</v>
      </c>
    </row>
    <row r="659" spans="1:7">
      <c r="A659" s="226" t="s">
        <v>95</v>
      </c>
      <c r="B659" s="226" t="s">
        <v>1235</v>
      </c>
      <c r="C659" s="226" t="s">
        <v>625</v>
      </c>
      <c r="D659" s="226" t="s">
        <v>89</v>
      </c>
      <c r="E659" s="226" t="s">
        <v>665</v>
      </c>
      <c r="F659" s="226">
        <v>2.2263432237369689</v>
      </c>
      <c r="G659" s="226">
        <v>0</v>
      </c>
    </row>
    <row r="660" spans="1:7">
      <c r="A660" s="226" t="s">
        <v>95</v>
      </c>
      <c r="B660" s="226" t="s">
        <v>1235</v>
      </c>
      <c r="C660" s="226" t="s">
        <v>625</v>
      </c>
      <c r="D660" s="226" t="s">
        <v>89</v>
      </c>
      <c r="E660" s="226" t="s">
        <v>666</v>
      </c>
      <c r="F660" s="226">
        <v>2.2263432237369689</v>
      </c>
      <c r="G660" s="226">
        <v>0</v>
      </c>
    </row>
    <row r="661" spans="1:7">
      <c r="A661" s="226" t="s">
        <v>95</v>
      </c>
      <c r="B661" s="226" t="s">
        <v>1235</v>
      </c>
      <c r="C661" s="226" t="s">
        <v>625</v>
      </c>
      <c r="D661" s="226" t="s">
        <v>89</v>
      </c>
      <c r="E661" s="226" t="s">
        <v>667</v>
      </c>
      <c r="F661" s="226">
        <v>2.2263432237369689</v>
      </c>
      <c r="G661" s="226">
        <v>0</v>
      </c>
    </row>
    <row r="662" spans="1:7">
      <c r="A662" s="226" t="s">
        <v>95</v>
      </c>
      <c r="B662" s="226" t="s">
        <v>1235</v>
      </c>
      <c r="C662" s="226" t="s">
        <v>963</v>
      </c>
      <c r="D662" s="226" t="s">
        <v>20</v>
      </c>
      <c r="E662" s="226" t="s">
        <v>618</v>
      </c>
      <c r="F662" s="226">
        <v>1.0229999999999989E-2</v>
      </c>
      <c r="G662" s="226">
        <v>1.0229999999999989E-2</v>
      </c>
    </row>
    <row r="663" spans="1:7">
      <c r="A663" s="226" t="s">
        <v>95</v>
      </c>
      <c r="B663" s="226" t="s">
        <v>1235</v>
      </c>
      <c r="C663" s="226" t="s">
        <v>963</v>
      </c>
      <c r="D663" s="226" t="s">
        <v>20</v>
      </c>
      <c r="E663" s="226" t="s">
        <v>619</v>
      </c>
      <c r="F663" s="226">
        <v>0.01</v>
      </c>
      <c r="G663" s="226">
        <v>0.01</v>
      </c>
    </row>
    <row r="664" spans="1:7">
      <c r="A664" s="226" t="s">
        <v>95</v>
      </c>
      <c r="B664" s="226" t="s">
        <v>1235</v>
      </c>
      <c r="C664" s="226" t="s">
        <v>963</v>
      </c>
      <c r="D664" s="226" t="s">
        <v>20</v>
      </c>
      <c r="E664" s="226" t="s">
        <v>620</v>
      </c>
      <c r="F664" s="226">
        <v>0.18223736968724938</v>
      </c>
      <c r="G664" s="226">
        <v>1.4999999999999999E-2</v>
      </c>
    </row>
    <row r="665" spans="1:7">
      <c r="A665" s="226" t="s">
        <v>95</v>
      </c>
      <c r="B665" s="226" t="s">
        <v>1235</v>
      </c>
      <c r="C665" s="226" t="s">
        <v>963</v>
      </c>
      <c r="D665" s="226" t="s">
        <v>20</v>
      </c>
      <c r="E665" s="226" t="s">
        <v>660</v>
      </c>
      <c r="F665" s="226">
        <v>0.24298315958299921</v>
      </c>
      <c r="G665" s="226">
        <v>2.5000000000000001E-2</v>
      </c>
    </row>
    <row r="666" spans="1:7">
      <c r="A666" s="226" t="s">
        <v>95</v>
      </c>
      <c r="B666" s="226" t="s">
        <v>1235</v>
      </c>
      <c r="C666" s="226" t="s">
        <v>963</v>
      </c>
      <c r="D666" s="226" t="s">
        <v>20</v>
      </c>
      <c r="E666" s="226" t="s">
        <v>661</v>
      </c>
      <c r="F666" s="226">
        <v>0.30372894947874896</v>
      </c>
      <c r="G666" s="226">
        <v>0</v>
      </c>
    </row>
    <row r="667" spans="1:7">
      <c r="A667" s="226" t="s">
        <v>95</v>
      </c>
      <c r="B667" s="226" t="s">
        <v>1235</v>
      </c>
      <c r="C667" s="226" t="s">
        <v>963</v>
      </c>
      <c r="D667" s="226" t="s">
        <v>20</v>
      </c>
      <c r="E667" s="226" t="s">
        <v>662</v>
      </c>
      <c r="F667" s="226">
        <v>0.36447473937449876</v>
      </c>
      <c r="G667" s="226">
        <v>0</v>
      </c>
    </row>
    <row r="668" spans="1:7">
      <c r="A668" s="226" t="s">
        <v>95</v>
      </c>
      <c r="B668" s="226" t="s">
        <v>1235</v>
      </c>
      <c r="C668" s="226" t="s">
        <v>963</v>
      </c>
      <c r="D668" s="226" t="s">
        <v>20</v>
      </c>
      <c r="E668" s="226" t="s">
        <v>663</v>
      </c>
      <c r="F668" s="226">
        <v>0.36447473937449876</v>
      </c>
      <c r="G668" s="226">
        <v>0</v>
      </c>
    </row>
    <row r="669" spans="1:7">
      <c r="A669" s="226" t="s">
        <v>95</v>
      </c>
      <c r="B669" s="226" t="s">
        <v>1235</v>
      </c>
      <c r="C669" s="226" t="s">
        <v>963</v>
      </c>
      <c r="D669" s="226" t="s">
        <v>20</v>
      </c>
      <c r="E669" s="226" t="s">
        <v>664</v>
      </c>
      <c r="F669" s="226">
        <v>0.36447473937449876</v>
      </c>
      <c r="G669" s="226">
        <v>0</v>
      </c>
    </row>
    <row r="670" spans="1:7">
      <c r="A670" s="226" t="s">
        <v>95</v>
      </c>
      <c r="B670" s="226" t="s">
        <v>1235</v>
      </c>
      <c r="C670" s="226" t="s">
        <v>963</v>
      </c>
      <c r="D670" s="226" t="s">
        <v>20</v>
      </c>
      <c r="E670" s="226" t="s">
        <v>665</v>
      </c>
      <c r="F670" s="226">
        <v>0.36447473937449876</v>
      </c>
      <c r="G670" s="226">
        <v>0</v>
      </c>
    </row>
    <row r="671" spans="1:7">
      <c r="A671" s="226" t="s">
        <v>95</v>
      </c>
      <c r="B671" s="226" t="s">
        <v>1235</v>
      </c>
      <c r="C671" s="226" t="s">
        <v>963</v>
      </c>
      <c r="D671" s="226" t="s">
        <v>20</v>
      </c>
      <c r="E671" s="226" t="s">
        <v>666</v>
      </c>
      <c r="F671" s="226">
        <v>0.36447473937449876</v>
      </c>
      <c r="G671" s="226">
        <v>0</v>
      </c>
    </row>
    <row r="672" spans="1:7">
      <c r="A672" s="226" t="s">
        <v>95</v>
      </c>
      <c r="B672" s="226" t="s">
        <v>1235</v>
      </c>
      <c r="C672" s="226" t="s">
        <v>963</v>
      </c>
      <c r="D672" s="226" t="s">
        <v>20</v>
      </c>
      <c r="E672" s="226" t="s">
        <v>667</v>
      </c>
      <c r="F672" s="226">
        <v>0.36447473937449876</v>
      </c>
      <c r="G672" s="226">
        <v>0</v>
      </c>
    </row>
    <row r="673" spans="1:7">
      <c r="A673" s="226" t="s">
        <v>95</v>
      </c>
      <c r="B673" s="226" t="s">
        <v>1235</v>
      </c>
      <c r="C673" s="226" t="s">
        <v>627</v>
      </c>
      <c r="D673" s="226" t="s">
        <v>11</v>
      </c>
      <c r="E673" s="226" t="s">
        <v>618</v>
      </c>
      <c r="F673" s="226">
        <v>7.1614851701248358E-2</v>
      </c>
      <c r="G673" s="226">
        <v>6.8920000000000078E-2</v>
      </c>
    </row>
    <row r="674" spans="1:7">
      <c r="A674" s="226" t="s">
        <v>95</v>
      </c>
      <c r="B674" s="226" t="s">
        <v>1235</v>
      </c>
      <c r="C674" s="226" t="s">
        <v>627</v>
      </c>
      <c r="D674" s="226" t="s">
        <v>11</v>
      </c>
      <c r="E674" s="226" t="s">
        <v>619</v>
      </c>
      <c r="F674" s="226">
        <v>0.11597823647392806</v>
      </c>
      <c r="G674" s="226">
        <v>0.11161399999999995</v>
      </c>
    </row>
    <row r="675" spans="1:7">
      <c r="A675" s="226" t="s">
        <v>95</v>
      </c>
      <c r="B675" s="226" t="s">
        <v>1235</v>
      </c>
      <c r="C675" s="226" t="s">
        <v>627</v>
      </c>
      <c r="D675" s="226" t="s">
        <v>11</v>
      </c>
      <c r="E675" s="226" t="s">
        <v>620</v>
      </c>
      <c r="F675" s="226">
        <v>0.24759422614274257</v>
      </c>
      <c r="G675" s="226">
        <v>0.1674209999999999</v>
      </c>
    </row>
    <row r="676" spans="1:7">
      <c r="A676" s="226" t="s">
        <v>95</v>
      </c>
      <c r="B676" s="226" t="s">
        <v>1235</v>
      </c>
      <c r="C676" s="226" t="s">
        <v>627</v>
      </c>
      <c r="D676" s="226" t="s">
        <v>11</v>
      </c>
      <c r="E676" s="226" t="s">
        <v>660</v>
      </c>
      <c r="F676" s="226">
        <v>0.33012563485699015</v>
      </c>
      <c r="G676" s="226">
        <v>0.27903499999999987</v>
      </c>
    </row>
    <row r="677" spans="1:7">
      <c r="A677" s="226" t="s">
        <v>95</v>
      </c>
      <c r="B677" s="226" t="s">
        <v>1235</v>
      </c>
      <c r="C677" s="226" t="s">
        <v>627</v>
      </c>
      <c r="D677" s="226" t="s">
        <v>11</v>
      </c>
      <c r="E677" s="226" t="s">
        <v>661</v>
      </c>
      <c r="F677" s="226">
        <v>0.41265704357123761</v>
      </c>
      <c r="G677" s="226">
        <v>0</v>
      </c>
    </row>
    <row r="678" spans="1:7">
      <c r="A678" s="226" t="s">
        <v>95</v>
      </c>
      <c r="B678" s="226" t="s">
        <v>1235</v>
      </c>
      <c r="C678" s="226" t="s">
        <v>627</v>
      </c>
      <c r="D678" s="226" t="s">
        <v>11</v>
      </c>
      <c r="E678" s="226" t="s">
        <v>662</v>
      </c>
      <c r="F678" s="226">
        <v>0.49518845228548514</v>
      </c>
      <c r="G678" s="226">
        <v>0</v>
      </c>
    </row>
    <row r="679" spans="1:7">
      <c r="A679" s="226" t="s">
        <v>95</v>
      </c>
      <c r="B679" s="226" t="s">
        <v>1235</v>
      </c>
      <c r="C679" s="226" t="s">
        <v>627</v>
      </c>
      <c r="D679" s="226" t="s">
        <v>11</v>
      </c>
      <c r="E679" s="226" t="s">
        <v>663</v>
      </c>
      <c r="F679" s="226">
        <v>0.49518845228548514</v>
      </c>
      <c r="G679" s="226">
        <v>0</v>
      </c>
    </row>
    <row r="680" spans="1:7">
      <c r="A680" s="226" t="s">
        <v>95</v>
      </c>
      <c r="B680" s="226" t="s">
        <v>1235</v>
      </c>
      <c r="C680" s="226" t="s">
        <v>627</v>
      </c>
      <c r="D680" s="226" t="s">
        <v>11</v>
      </c>
      <c r="E680" s="226" t="s">
        <v>664</v>
      </c>
      <c r="F680" s="226">
        <v>0.49518845228548514</v>
      </c>
      <c r="G680" s="226">
        <v>0</v>
      </c>
    </row>
    <row r="681" spans="1:7">
      <c r="A681" s="226" t="s">
        <v>95</v>
      </c>
      <c r="B681" s="226" t="s">
        <v>1235</v>
      </c>
      <c r="C681" s="226" t="s">
        <v>627</v>
      </c>
      <c r="D681" s="226" t="s">
        <v>11</v>
      </c>
      <c r="E681" s="226" t="s">
        <v>665</v>
      </c>
      <c r="F681" s="226">
        <v>0.49518845228548514</v>
      </c>
      <c r="G681" s="226">
        <v>0</v>
      </c>
    </row>
    <row r="682" spans="1:7">
      <c r="A682" s="226" t="s">
        <v>95</v>
      </c>
      <c r="B682" s="226" t="s">
        <v>1235</v>
      </c>
      <c r="C682" s="226" t="s">
        <v>627</v>
      </c>
      <c r="D682" s="226" t="s">
        <v>11</v>
      </c>
      <c r="E682" s="226" t="s">
        <v>666</v>
      </c>
      <c r="F682" s="226">
        <v>0.49518845228548514</v>
      </c>
      <c r="G682" s="226">
        <v>0</v>
      </c>
    </row>
    <row r="683" spans="1:7">
      <c r="A683" s="226" t="s">
        <v>95</v>
      </c>
      <c r="B683" s="226" t="s">
        <v>1235</v>
      </c>
      <c r="C683" s="226" t="s">
        <v>627</v>
      </c>
      <c r="D683" s="226" t="s">
        <v>11</v>
      </c>
      <c r="E683" s="226" t="s">
        <v>667</v>
      </c>
      <c r="F683" s="226">
        <v>0.49518845228548514</v>
      </c>
      <c r="G683" s="226">
        <v>0</v>
      </c>
    </row>
    <row r="684" spans="1:7">
      <c r="A684" s="226" t="s">
        <v>95</v>
      </c>
      <c r="B684" s="226" t="s">
        <v>1235</v>
      </c>
      <c r="C684" s="226" t="s">
        <v>627</v>
      </c>
      <c r="D684" s="226" t="s">
        <v>12</v>
      </c>
      <c r="E684" s="226" t="s">
        <v>618</v>
      </c>
      <c r="F684" s="226">
        <v>0.11871257904</v>
      </c>
      <c r="G684" s="226">
        <v>0.11477000000000001</v>
      </c>
    </row>
    <row r="685" spans="1:7">
      <c r="A685" s="226" t="s">
        <v>95</v>
      </c>
      <c r="B685" s="226" t="s">
        <v>1235</v>
      </c>
      <c r="C685" s="226" t="s">
        <v>627</v>
      </c>
      <c r="D685" s="226" t="s">
        <v>12</v>
      </c>
      <c r="E685" s="226" t="s">
        <v>619</v>
      </c>
      <c r="F685" s="226">
        <v>4.48908768E-2</v>
      </c>
      <c r="G685" s="226">
        <v>4.3400000000000008E-2</v>
      </c>
    </row>
    <row r="686" spans="1:7">
      <c r="A686" s="226" t="s">
        <v>95</v>
      </c>
      <c r="B686" s="226" t="s">
        <v>1235</v>
      </c>
      <c r="C686" s="226" t="s">
        <v>627</v>
      </c>
      <c r="D686" s="226" t="s">
        <v>12</v>
      </c>
      <c r="E686" s="226" t="s">
        <v>620</v>
      </c>
      <c r="F686" s="226">
        <v>6.7336315199999983E-2</v>
      </c>
      <c r="G686" s="226">
        <v>6.5099999999999991E-2</v>
      </c>
    </row>
    <row r="687" spans="1:7">
      <c r="A687" s="226" t="s">
        <v>95</v>
      </c>
      <c r="B687" s="226" t="s">
        <v>1235</v>
      </c>
      <c r="C687" s="226" t="s">
        <v>627</v>
      </c>
      <c r="D687" s="226" t="s">
        <v>12</v>
      </c>
      <c r="E687" s="226" t="s">
        <v>660</v>
      </c>
      <c r="F687" s="226">
        <v>0.11222719199999999</v>
      </c>
      <c r="G687" s="226">
        <v>0.1085</v>
      </c>
    </row>
    <row r="688" spans="1:7">
      <c r="A688" s="226" t="s">
        <v>95</v>
      </c>
      <c r="B688" s="226" t="s">
        <v>1235</v>
      </c>
      <c r="C688" s="226" t="s">
        <v>627</v>
      </c>
      <c r="D688" s="226" t="s">
        <v>12</v>
      </c>
      <c r="E688" s="226" t="s">
        <v>661</v>
      </c>
      <c r="F688" s="226">
        <v>0.10207832130446404</v>
      </c>
      <c r="G688" s="226">
        <v>0</v>
      </c>
    </row>
    <row r="689" spans="1:7">
      <c r="A689" s="226" t="s">
        <v>95</v>
      </c>
      <c r="B689" s="226" t="s">
        <v>1235</v>
      </c>
      <c r="C689" s="226" t="s">
        <v>627</v>
      </c>
      <c r="D689" s="226" t="s">
        <v>12</v>
      </c>
      <c r="E689" s="226" t="s">
        <v>662</v>
      </c>
      <c r="F689" s="226">
        <v>0.12249398556535686</v>
      </c>
      <c r="G689" s="226">
        <v>0</v>
      </c>
    </row>
    <row r="690" spans="1:7">
      <c r="A690" s="226" t="s">
        <v>95</v>
      </c>
      <c r="B690" s="226" t="s">
        <v>1235</v>
      </c>
      <c r="C690" s="226" t="s">
        <v>627</v>
      </c>
      <c r="D690" s="226" t="s">
        <v>12</v>
      </c>
      <c r="E690" s="226" t="s">
        <v>663</v>
      </c>
      <c r="F690" s="226">
        <v>0.12249398556535686</v>
      </c>
      <c r="G690" s="226">
        <v>0</v>
      </c>
    </row>
    <row r="691" spans="1:7">
      <c r="A691" s="226" t="s">
        <v>95</v>
      </c>
      <c r="B691" s="226" t="s">
        <v>1235</v>
      </c>
      <c r="C691" s="226" t="s">
        <v>627</v>
      </c>
      <c r="D691" s="226" t="s">
        <v>12</v>
      </c>
      <c r="E691" s="226" t="s">
        <v>664</v>
      </c>
      <c r="F691" s="226">
        <v>0.12249398556535686</v>
      </c>
      <c r="G691" s="226">
        <v>0</v>
      </c>
    </row>
    <row r="692" spans="1:7">
      <c r="A692" s="226" t="s">
        <v>95</v>
      </c>
      <c r="B692" s="226" t="s">
        <v>1235</v>
      </c>
      <c r="C692" s="226" t="s">
        <v>627</v>
      </c>
      <c r="D692" s="226" t="s">
        <v>12</v>
      </c>
      <c r="E692" s="226" t="s">
        <v>665</v>
      </c>
      <c r="F692" s="226">
        <v>0.12249398556535686</v>
      </c>
      <c r="G692" s="226">
        <v>0</v>
      </c>
    </row>
    <row r="693" spans="1:7">
      <c r="A693" s="226" t="s">
        <v>95</v>
      </c>
      <c r="B693" s="226" t="s">
        <v>1235</v>
      </c>
      <c r="C693" s="226" t="s">
        <v>627</v>
      </c>
      <c r="D693" s="226" t="s">
        <v>12</v>
      </c>
      <c r="E693" s="226" t="s">
        <v>666</v>
      </c>
      <c r="F693" s="226">
        <v>0.12249398556535686</v>
      </c>
      <c r="G693" s="226">
        <v>0</v>
      </c>
    </row>
    <row r="694" spans="1:7">
      <c r="A694" s="226" t="s">
        <v>95</v>
      </c>
      <c r="B694" s="226" t="s">
        <v>1235</v>
      </c>
      <c r="C694" s="226" t="s">
        <v>627</v>
      </c>
      <c r="D694" s="226" t="s">
        <v>12</v>
      </c>
      <c r="E694" s="226" t="s">
        <v>667</v>
      </c>
      <c r="F694" s="226">
        <v>0.12249398556535686</v>
      </c>
      <c r="G694" s="226">
        <v>0</v>
      </c>
    </row>
    <row r="695" spans="1:7">
      <c r="A695" s="226" t="s">
        <v>95</v>
      </c>
      <c r="B695" s="226" t="s">
        <v>1235</v>
      </c>
      <c r="C695" s="226" t="s">
        <v>626</v>
      </c>
      <c r="D695" s="226" t="s">
        <v>9</v>
      </c>
      <c r="E695" s="226" t="s">
        <v>618</v>
      </c>
      <c r="F695" s="226">
        <v>0.20537186908952354</v>
      </c>
      <c r="G695" s="226">
        <v>0.20475999999999978</v>
      </c>
    </row>
    <row r="696" spans="1:7">
      <c r="A696" s="226" t="s">
        <v>95</v>
      </c>
      <c r="B696" s="226" t="s">
        <v>1235</v>
      </c>
      <c r="C696" s="226" t="s">
        <v>626</v>
      </c>
      <c r="D696" s="226" t="s">
        <v>9</v>
      </c>
      <c r="E696" s="226" t="s">
        <v>619</v>
      </c>
      <c r="F696" s="226">
        <v>0.14995476364444479</v>
      </c>
      <c r="G696" s="226">
        <v>0.14950799999999997</v>
      </c>
    </row>
    <row r="697" spans="1:7">
      <c r="A697" s="226" t="s">
        <v>95</v>
      </c>
      <c r="B697" s="226" t="s">
        <v>1235</v>
      </c>
      <c r="C697" s="226" t="s">
        <v>626</v>
      </c>
      <c r="D697" s="226" t="s">
        <v>9</v>
      </c>
      <c r="E697" s="226" t="s">
        <v>620</v>
      </c>
      <c r="F697" s="226">
        <v>0.61808340016038499</v>
      </c>
      <c r="G697" s="226">
        <v>3.6761999999999989E-2</v>
      </c>
    </row>
    <row r="698" spans="1:7">
      <c r="A698" s="226" t="s">
        <v>95</v>
      </c>
      <c r="B698" s="226" t="s">
        <v>1235</v>
      </c>
      <c r="C698" s="226" t="s">
        <v>626</v>
      </c>
      <c r="D698" s="226" t="s">
        <v>9</v>
      </c>
      <c r="E698" s="226" t="s">
        <v>660</v>
      </c>
      <c r="F698" s="226">
        <v>0.82411120021384654</v>
      </c>
      <c r="G698" s="226">
        <v>6.1269999999999984E-2</v>
      </c>
    </row>
    <row r="699" spans="1:7">
      <c r="A699" s="226" t="s">
        <v>95</v>
      </c>
      <c r="B699" s="226" t="s">
        <v>1235</v>
      </c>
      <c r="C699" s="226" t="s">
        <v>626</v>
      </c>
      <c r="D699" s="226" t="s">
        <v>9</v>
      </c>
      <c r="E699" s="226" t="s">
        <v>661</v>
      </c>
      <c r="F699" s="226">
        <v>1.0301390002673083</v>
      </c>
      <c r="G699" s="226">
        <v>0</v>
      </c>
    </row>
    <row r="700" spans="1:7">
      <c r="A700" s="226" t="s">
        <v>95</v>
      </c>
      <c r="B700" s="226" t="s">
        <v>1235</v>
      </c>
      <c r="C700" s="226" t="s">
        <v>626</v>
      </c>
      <c r="D700" s="226" t="s">
        <v>9</v>
      </c>
      <c r="E700" s="226" t="s">
        <v>662</v>
      </c>
      <c r="F700" s="226">
        <v>1.23616680032077</v>
      </c>
      <c r="G700" s="226">
        <v>0</v>
      </c>
    </row>
    <row r="701" spans="1:7">
      <c r="A701" s="226" t="s">
        <v>95</v>
      </c>
      <c r="B701" s="226" t="s">
        <v>1235</v>
      </c>
      <c r="C701" s="226" t="s">
        <v>626</v>
      </c>
      <c r="D701" s="226" t="s">
        <v>9</v>
      </c>
      <c r="E701" s="226" t="s">
        <v>663</v>
      </c>
      <c r="F701" s="226">
        <v>1.23616680032077</v>
      </c>
      <c r="G701" s="226">
        <v>0</v>
      </c>
    </row>
    <row r="702" spans="1:7">
      <c r="A702" s="226" t="s">
        <v>95</v>
      </c>
      <c r="B702" s="226" t="s">
        <v>1235</v>
      </c>
      <c r="C702" s="226" t="s">
        <v>626</v>
      </c>
      <c r="D702" s="226" t="s">
        <v>9</v>
      </c>
      <c r="E702" s="226" t="s">
        <v>664</v>
      </c>
      <c r="F702" s="226">
        <v>1.23616680032077</v>
      </c>
      <c r="G702" s="226">
        <v>0</v>
      </c>
    </row>
    <row r="703" spans="1:7">
      <c r="A703" s="226" t="s">
        <v>95</v>
      </c>
      <c r="B703" s="226" t="s">
        <v>1235</v>
      </c>
      <c r="C703" s="226" t="s">
        <v>626</v>
      </c>
      <c r="D703" s="226" t="s">
        <v>9</v>
      </c>
      <c r="E703" s="226" t="s">
        <v>665</v>
      </c>
      <c r="F703" s="226">
        <v>1.23616680032077</v>
      </c>
      <c r="G703" s="226">
        <v>0</v>
      </c>
    </row>
    <row r="704" spans="1:7">
      <c r="A704" s="226" t="s">
        <v>95</v>
      </c>
      <c r="B704" s="226" t="s">
        <v>1235</v>
      </c>
      <c r="C704" s="226" t="s">
        <v>626</v>
      </c>
      <c r="D704" s="226" t="s">
        <v>9</v>
      </c>
      <c r="E704" s="226" t="s">
        <v>666</v>
      </c>
      <c r="F704" s="226">
        <v>1.23616680032077</v>
      </c>
      <c r="G704" s="226">
        <v>0</v>
      </c>
    </row>
    <row r="705" spans="1:7">
      <c r="A705" s="226" t="s">
        <v>95</v>
      </c>
      <c r="B705" s="226" t="s">
        <v>1235</v>
      </c>
      <c r="C705" s="226" t="s">
        <v>626</v>
      </c>
      <c r="D705" s="226" t="s">
        <v>9</v>
      </c>
      <c r="E705" s="226" t="s">
        <v>667</v>
      </c>
      <c r="F705" s="226">
        <v>1.23616680032077</v>
      </c>
      <c r="G705" s="226">
        <v>0</v>
      </c>
    </row>
    <row r="706" spans="1:7">
      <c r="A706" s="226" t="s">
        <v>95</v>
      </c>
      <c r="B706" s="226" t="s">
        <v>1235</v>
      </c>
      <c r="C706" s="226" t="s">
        <v>626</v>
      </c>
      <c r="D706" s="226" t="s">
        <v>10</v>
      </c>
      <c r="E706" s="226" t="s">
        <v>618</v>
      </c>
      <c r="F706" s="226">
        <v>0.52181284650813076</v>
      </c>
      <c r="G706" s="226">
        <v>0.48817000000000033</v>
      </c>
    </row>
    <row r="707" spans="1:7">
      <c r="A707" s="226" t="s">
        <v>95</v>
      </c>
      <c r="B707" s="226" t="s">
        <v>1235</v>
      </c>
      <c r="C707" s="226" t="s">
        <v>626</v>
      </c>
      <c r="D707" s="226" t="s">
        <v>10</v>
      </c>
      <c r="E707" s="226" t="s">
        <v>619</v>
      </c>
      <c r="F707" s="226">
        <v>0.59778072450418263</v>
      </c>
      <c r="G707" s="226">
        <v>0.55923999999999996</v>
      </c>
    </row>
    <row r="708" spans="1:7">
      <c r="A708" s="226" t="s">
        <v>95</v>
      </c>
      <c r="B708" s="226" t="s">
        <v>1235</v>
      </c>
      <c r="C708" s="226" t="s">
        <v>626</v>
      </c>
      <c r="D708" s="226" t="s">
        <v>10</v>
      </c>
      <c r="E708" s="226" t="s">
        <v>620</v>
      </c>
      <c r="F708" s="226">
        <v>0.89667108675627394</v>
      </c>
      <c r="G708" s="226">
        <v>0.83885999999999994</v>
      </c>
    </row>
    <row r="709" spans="1:7">
      <c r="A709" s="226" t="s">
        <v>95</v>
      </c>
      <c r="B709" s="226" t="s">
        <v>1235</v>
      </c>
      <c r="C709" s="226" t="s">
        <v>626</v>
      </c>
      <c r="D709" s="226" t="s">
        <v>10</v>
      </c>
      <c r="E709" s="226" t="s">
        <v>660</v>
      </c>
      <c r="F709" s="226">
        <v>1.4944518112604568</v>
      </c>
      <c r="G709" s="226">
        <v>1.3980999999999999</v>
      </c>
    </row>
    <row r="710" spans="1:7">
      <c r="A710" s="226" t="s">
        <v>95</v>
      </c>
      <c r="B710" s="226" t="s">
        <v>1235</v>
      </c>
      <c r="C710" s="226" t="s">
        <v>626</v>
      </c>
      <c r="D710" s="226" t="s">
        <v>10</v>
      </c>
      <c r="E710" s="226" t="s">
        <v>661</v>
      </c>
      <c r="F710" s="226">
        <v>1.07457898957498</v>
      </c>
      <c r="G710" s="226">
        <v>0</v>
      </c>
    </row>
    <row r="711" spans="1:7">
      <c r="A711" s="226" t="s">
        <v>95</v>
      </c>
      <c r="B711" s="226" t="s">
        <v>1235</v>
      </c>
      <c r="C711" s="226" t="s">
        <v>626</v>
      </c>
      <c r="D711" s="226" t="s">
        <v>10</v>
      </c>
      <c r="E711" s="226" t="s">
        <v>662</v>
      </c>
      <c r="F711" s="226">
        <v>1.289494787489976</v>
      </c>
      <c r="G711" s="226">
        <v>0</v>
      </c>
    </row>
    <row r="712" spans="1:7">
      <c r="A712" s="226" t="s">
        <v>95</v>
      </c>
      <c r="B712" s="226" t="s">
        <v>1235</v>
      </c>
      <c r="C712" s="226" t="s">
        <v>626</v>
      </c>
      <c r="D712" s="226" t="s">
        <v>10</v>
      </c>
      <c r="E712" s="226" t="s">
        <v>663</v>
      </c>
      <c r="F712" s="226">
        <v>1.289494787489976</v>
      </c>
      <c r="G712" s="226">
        <v>0</v>
      </c>
    </row>
    <row r="713" spans="1:7">
      <c r="A713" s="226" t="s">
        <v>95</v>
      </c>
      <c r="B713" s="226" t="s">
        <v>1235</v>
      </c>
      <c r="C713" s="226" t="s">
        <v>626</v>
      </c>
      <c r="D713" s="226" t="s">
        <v>10</v>
      </c>
      <c r="E713" s="226" t="s">
        <v>664</v>
      </c>
      <c r="F713" s="226">
        <v>1.289494787489976</v>
      </c>
      <c r="G713" s="226">
        <v>0</v>
      </c>
    </row>
    <row r="714" spans="1:7">
      <c r="A714" s="226" t="s">
        <v>95</v>
      </c>
      <c r="B714" s="226" t="s">
        <v>1235</v>
      </c>
      <c r="C714" s="226" t="s">
        <v>626</v>
      </c>
      <c r="D714" s="226" t="s">
        <v>10</v>
      </c>
      <c r="E714" s="226" t="s">
        <v>665</v>
      </c>
      <c r="F714" s="226">
        <v>1.289494787489976</v>
      </c>
      <c r="G714" s="226">
        <v>0</v>
      </c>
    </row>
    <row r="715" spans="1:7">
      <c r="A715" s="226" t="s">
        <v>95</v>
      </c>
      <c r="B715" s="226" t="s">
        <v>1235</v>
      </c>
      <c r="C715" s="226" t="s">
        <v>626</v>
      </c>
      <c r="D715" s="226" t="s">
        <v>10</v>
      </c>
      <c r="E715" s="226" t="s">
        <v>666</v>
      </c>
      <c r="F715" s="226">
        <v>1.289494787489976</v>
      </c>
      <c r="G715" s="226">
        <v>0</v>
      </c>
    </row>
    <row r="716" spans="1:7">
      <c r="A716" s="226" t="s">
        <v>95</v>
      </c>
      <c r="B716" s="226" t="s">
        <v>1235</v>
      </c>
      <c r="C716" s="226" t="s">
        <v>626</v>
      </c>
      <c r="D716" s="226" t="s">
        <v>10</v>
      </c>
      <c r="E716" s="226" t="s">
        <v>667</v>
      </c>
      <c r="F716" s="226">
        <v>1.289494787489976</v>
      </c>
      <c r="G716" s="226">
        <v>0</v>
      </c>
    </row>
    <row r="717" spans="1:7">
      <c r="A717" s="226" t="s">
        <v>95</v>
      </c>
      <c r="B717" s="226" t="s">
        <v>1235</v>
      </c>
      <c r="C717" s="226" t="s">
        <v>963</v>
      </c>
      <c r="D717" s="226" t="s">
        <v>16</v>
      </c>
      <c r="E717" s="226" t="s">
        <v>618</v>
      </c>
      <c r="F717" s="226">
        <v>3.8800000000000522E-3</v>
      </c>
      <c r="G717" s="226">
        <v>3.8800000000000522E-3</v>
      </c>
    </row>
    <row r="718" spans="1:7">
      <c r="A718" s="226" t="s">
        <v>95</v>
      </c>
      <c r="B718" s="226" t="s">
        <v>1235</v>
      </c>
      <c r="C718" s="226" t="s">
        <v>963</v>
      </c>
      <c r="D718" s="226" t="s">
        <v>16</v>
      </c>
      <c r="E718" s="226" t="s">
        <v>619</v>
      </c>
      <c r="F718" s="226">
        <v>2.3032000000000007E-2</v>
      </c>
      <c r="G718" s="226">
        <v>2.3032000000000007E-2</v>
      </c>
    </row>
    <row r="719" spans="1:7">
      <c r="A719" s="226" t="s">
        <v>95</v>
      </c>
      <c r="B719" s="226" t="s">
        <v>1235</v>
      </c>
      <c r="C719" s="226" t="s">
        <v>963</v>
      </c>
      <c r="D719" s="226" t="s">
        <v>16</v>
      </c>
      <c r="E719" s="226" t="s">
        <v>620</v>
      </c>
      <c r="F719" s="226">
        <v>0.25842020850040098</v>
      </c>
      <c r="G719" s="226">
        <v>3.4548000000000009E-2</v>
      </c>
    </row>
    <row r="720" spans="1:7">
      <c r="A720" s="226" t="s">
        <v>95</v>
      </c>
      <c r="B720" s="226" t="s">
        <v>1235</v>
      </c>
      <c r="C720" s="226" t="s">
        <v>963</v>
      </c>
      <c r="D720" s="226" t="s">
        <v>16</v>
      </c>
      <c r="E720" s="226" t="s">
        <v>660</v>
      </c>
      <c r="F720" s="226">
        <v>0.34456027800053457</v>
      </c>
      <c r="G720" s="226">
        <v>5.7580000000000013E-2</v>
      </c>
    </row>
    <row r="721" spans="1:7">
      <c r="A721" s="226" t="s">
        <v>95</v>
      </c>
      <c r="B721" s="226" t="s">
        <v>1235</v>
      </c>
      <c r="C721" s="226" t="s">
        <v>963</v>
      </c>
      <c r="D721" s="226" t="s">
        <v>16</v>
      </c>
      <c r="E721" s="226" t="s">
        <v>661</v>
      </c>
      <c r="F721" s="226">
        <v>0.43070034750066827</v>
      </c>
      <c r="G721" s="226">
        <v>0</v>
      </c>
    </row>
    <row r="722" spans="1:7">
      <c r="A722" s="226" t="s">
        <v>95</v>
      </c>
      <c r="B722" s="226" t="s">
        <v>1235</v>
      </c>
      <c r="C722" s="226" t="s">
        <v>963</v>
      </c>
      <c r="D722" s="226" t="s">
        <v>16</v>
      </c>
      <c r="E722" s="226" t="s">
        <v>662</v>
      </c>
      <c r="F722" s="226">
        <v>0.51684041700080197</v>
      </c>
      <c r="G722" s="226">
        <v>0</v>
      </c>
    </row>
    <row r="723" spans="1:7">
      <c r="A723" s="226" t="s">
        <v>95</v>
      </c>
      <c r="B723" s="226" t="s">
        <v>1235</v>
      </c>
      <c r="C723" s="226" t="s">
        <v>963</v>
      </c>
      <c r="D723" s="226" t="s">
        <v>16</v>
      </c>
      <c r="E723" s="226" t="s">
        <v>663</v>
      </c>
      <c r="F723" s="226">
        <v>0.51684041700080197</v>
      </c>
      <c r="G723" s="226">
        <v>0</v>
      </c>
    </row>
    <row r="724" spans="1:7">
      <c r="A724" s="226" t="s">
        <v>95</v>
      </c>
      <c r="B724" s="226" t="s">
        <v>1235</v>
      </c>
      <c r="C724" s="226" t="s">
        <v>963</v>
      </c>
      <c r="D724" s="226" t="s">
        <v>16</v>
      </c>
      <c r="E724" s="226" t="s">
        <v>664</v>
      </c>
      <c r="F724" s="226">
        <v>0.51684041700080197</v>
      </c>
      <c r="G724" s="226">
        <v>0</v>
      </c>
    </row>
    <row r="725" spans="1:7">
      <c r="A725" s="226" t="s">
        <v>95</v>
      </c>
      <c r="B725" s="226" t="s">
        <v>1235</v>
      </c>
      <c r="C725" s="226" t="s">
        <v>963</v>
      </c>
      <c r="D725" s="226" t="s">
        <v>16</v>
      </c>
      <c r="E725" s="226" t="s">
        <v>665</v>
      </c>
      <c r="F725" s="226">
        <v>0.51684041700080197</v>
      </c>
      <c r="G725" s="226">
        <v>0</v>
      </c>
    </row>
    <row r="726" spans="1:7">
      <c r="A726" s="226" t="s">
        <v>95</v>
      </c>
      <c r="B726" s="226" t="s">
        <v>1235</v>
      </c>
      <c r="C726" s="226" t="s">
        <v>963</v>
      </c>
      <c r="D726" s="226" t="s">
        <v>16</v>
      </c>
      <c r="E726" s="226" t="s">
        <v>666</v>
      </c>
      <c r="F726" s="226">
        <v>0.51684041700080197</v>
      </c>
      <c r="G726" s="226">
        <v>0</v>
      </c>
    </row>
    <row r="727" spans="1:7">
      <c r="A727" s="226" t="s">
        <v>95</v>
      </c>
      <c r="B727" s="226" t="s">
        <v>1235</v>
      </c>
      <c r="C727" s="226" t="s">
        <v>963</v>
      </c>
      <c r="D727" s="226" t="s">
        <v>16</v>
      </c>
      <c r="E727" s="226" t="s">
        <v>667</v>
      </c>
      <c r="F727" s="226">
        <v>0.51684041700080197</v>
      </c>
      <c r="G727" s="226">
        <v>0</v>
      </c>
    </row>
    <row r="728" spans="1:7">
      <c r="A728" s="226" t="s">
        <v>95</v>
      </c>
      <c r="B728" s="226" t="s">
        <v>1235</v>
      </c>
      <c r="C728" s="226" t="s">
        <v>625</v>
      </c>
      <c r="D728" s="226" t="s">
        <v>1</v>
      </c>
      <c r="E728" s="226" t="s">
        <v>618</v>
      </c>
      <c r="F728" s="226">
        <v>0</v>
      </c>
      <c r="G728" s="226">
        <v>0</v>
      </c>
    </row>
    <row r="729" spans="1:7">
      <c r="A729" s="226" t="s">
        <v>95</v>
      </c>
      <c r="B729" s="226" t="s">
        <v>1235</v>
      </c>
      <c r="C729" s="226" t="s">
        <v>625</v>
      </c>
      <c r="D729" s="226" t="s">
        <v>1</v>
      </c>
      <c r="E729" s="226" t="s">
        <v>619</v>
      </c>
      <c r="F729" s="226">
        <v>2.1999999999999999E-2</v>
      </c>
      <c r="G729" s="226">
        <v>2.1999999999999999E-2</v>
      </c>
    </row>
    <row r="730" spans="1:7">
      <c r="A730" s="226" t="s">
        <v>95</v>
      </c>
      <c r="B730" s="226" t="s">
        <v>1235</v>
      </c>
      <c r="C730" s="226" t="s">
        <v>625</v>
      </c>
      <c r="D730" s="226" t="s">
        <v>1</v>
      </c>
      <c r="E730" s="226" t="s">
        <v>620</v>
      </c>
      <c r="F730" s="226">
        <v>3.3000000000000002E-2</v>
      </c>
      <c r="G730" s="226">
        <v>3.3000000000000002E-2</v>
      </c>
    </row>
    <row r="731" spans="1:7">
      <c r="A731" s="226" t="s">
        <v>95</v>
      </c>
      <c r="B731" s="226" t="s">
        <v>1235</v>
      </c>
      <c r="C731" s="226" t="s">
        <v>625</v>
      </c>
      <c r="D731" s="226" t="s">
        <v>1</v>
      </c>
      <c r="E731" s="226" t="s">
        <v>660</v>
      </c>
      <c r="F731" s="226">
        <v>5.5E-2</v>
      </c>
      <c r="G731" s="226">
        <v>5.5E-2</v>
      </c>
    </row>
    <row r="732" spans="1:7">
      <c r="A732" s="226" t="s">
        <v>95</v>
      </c>
      <c r="B732" s="226" t="s">
        <v>1235</v>
      </c>
      <c r="C732" s="226" t="s">
        <v>625</v>
      </c>
      <c r="D732" s="226" t="s">
        <v>1</v>
      </c>
      <c r="E732" s="226" t="s">
        <v>661</v>
      </c>
      <c r="F732" s="226">
        <v>4.6946003742314883E-2</v>
      </c>
      <c r="G732" s="226">
        <v>0</v>
      </c>
    </row>
    <row r="733" spans="1:7">
      <c r="A733" s="226" t="s">
        <v>95</v>
      </c>
      <c r="B733" s="226" t="s">
        <v>1235</v>
      </c>
      <c r="C733" s="226" t="s">
        <v>625</v>
      </c>
      <c r="D733" s="226" t="s">
        <v>1</v>
      </c>
      <c r="E733" s="226" t="s">
        <v>662</v>
      </c>
      <c r="F733" s="226">
        <v>5.633520449077787E-2</v>
      </c>
      <c r="G733" s="226">
        <v>0</v>
      </c>
    </row>
    <row r="734" spans="1:7">
      <c r="A734" s="226" t="s">
        <v>95</v>
      </c>
      <c r="B734" s="226" t="s">
        <v>1235</v>
      </c>
      <c r="C734" s="226" t="s">
        <v>625</v>
      </c>
      <c r="D734" s="226" t="s">
        <v>1</v>
      </c>
      <c r="E734" s="226" t="s">
        <v>663</v>
      </c>
      <c r="F734" s="226">
        <v>5.633520449077787E-2</v>
      </c>
      <c r="G734" s="226">
        <v>0</v>
      </c>
    </row>
    <row r="735" spans="1:7">
      <c r="A735" s="226" t="s">
        <v>95</v>
      </c>
      <c r="B735" s="226" t="s">
        <v>1235</v>
      </c>
      <c r="C735" s="226" t="s">
        <v>625</v>
      </c>
      <c r="D735" s="226" t="s">
        <v>1</v>
      </c>
      <c r="E735" s="226" t="s">
        <v>664</v>
      </c>
      <c r="F735" s="226">
        <v>5.633520449077787E-2</v>
      </c>
      <c r="G735" s="226">
        <v>0</v>
      </c>
    </row>
    <row r="736" spans="1:7">
      <c r="A736" s="226" t="s">
        <v>95</v>
      </c>
      <c r="B736" s="226" t="s">
        <v>1235</v>
      </c>
      <c r="C736" s="226" t="s">
        <v>625</v>
      </c>
      <c r="D736" s="226" t="s">
        <v>1</v>
      </c>
      <c r="E736" s="226" t="s">
        <v>665</v>
      </c>
      <c r="F736" s="226">
        <v>5.633520449077787E-2</v>
      </c>
      <c r="G736" s="226">
        <v>0</v>
      </c>
    </row>
    <row r="737" spans="1:7">
      <c r="A737" s="226" t="s">
        <v>95</v>
      </c>
      <c r="B737" s="226" t="s">
        <v>1235</v>
      </c>
      <c r="C737" s="226" t="s">
        <v>625</v>
      </c>
      <c r="D737" s="226" t="s">
        <v>1</v>
      </c>
      <c r="E737" s="226" t="s">
        <v>666</v>
      </c>
      <c r="F737" s="226">
        <v>5.633520449077787E-2</v>
      </c>
      <c r="G737" s="226">
        <v>0</v>
      </c>
    </row>
    <row r="738" spans="1:7">
      <c r="A738" s="226" t="s">
        <v>95</v>
      </c>
      <c r="B738" s="226" t="s">
        <v>1235</v>
      </c>
      <c r="C738" s="226" t="s">
        <v>625</v>
      </c>
      <c r="D738" s="226" t="s">
        <v>1</v>
      </c>
      <c r="E738" s="226" t="s">
        <v>667</v>
      </c>
      <c r="F738" s="226">
        <v>5.633520449077787E-2</v>
      </c>
      <c r="G738" s="226">
        <v>0</v>
      </c>
    </row>
    <row r="739" spans="1:7">
      <c r="A739" s="226" t="s">
        <v>95</v>
      </c>
      <c r="B739" s="226" t="s">
        <v>1235</v>
      </c>
      <c r="C739" s="226" t="s">
        <v>625</v>
      </c>
      <c r="D739" s="226" t="s">
        <v>6</v>
      </c>
      <c r="E739" s="226" t="s">
        <v>618</v>
      </c>
      <c r="F739" s="226">
        <v>0.353301046800722</v>
      </c>
      <c r="G739" s="226">
        <v>0.33467000000000008</v>
      </c>
    </row>
    <row r="740" spans="1:7">
      <c r="A740" s="226" t="s">
        <v>95</v>
      </c>
      <c r="B740" s="226" t="s">
        <v>1235</v>
      </c>
      <c r="C740" s="226" t="s">
        <v>625</v>
      </c>
      <c r="D740" s="226" t="s">
        <v>6</v>
      </c>
      <c r="E740" s="226" t="s">
        <v>619</v>
      </c>
      <c r="F740" s="226">
        <v>5.3676591943196312</v>
      </c>
      <c r="G740" s="226">
        <v>5.0846</v>
      </c>
    </row>
    <row r="741" spans="1:7">
      <c r="A741" s="226" t="s">
        <v>95</v>
      </c>
      <c r="B741" s="226" t="s">
        <v>1235</v>
      </c>
      <c r="C741" s="226" t="s">
        <v>625</v>
      </c>
      <c r="D741" s="226" t="s">
        <v>6</v>
      </c>
      <c r="E741" s="226" t="s">
        <v>620</v>
      </c>
      <c r="F741" s="226">
        <v>8.616272190165871</v>
      </c>
      <c r="G741" s="226">
        <v>8.1618999999999993</v>
      </c>
    </row>
    <row r="742" spans="1:7">
      <c r="A742" s="226" t="s">
        <v>95</v>
      </c>
      <c r="B742" s="226" t="s">
        <v>1235</v>
      </c>
      <c r="C742" s="226" t="s">
        <v>625</v>
      </c>
      <c r="D742" s="226" t="s">
        <v>6</v>
      </c>
      <c r="E742" s="226" t="s">
        <v>660</v>
      </c>
      <c r="F742" s="226">
        <v>10.38409701154959</v>
      </c>
      <c r="G742" s="226">
        <v>9.8364999999999991</v>
      </c>
    </row>
    <row r="743" spans="1:7">
      <c r="A743" s="226" t="s">
        <v>95</v>
      </c>
      <c r="B743" s="226" t="s">
        <v>1235</v>
      </c>
      <c r="C743" s="226" t="s">
        <v>625</v>
      </c>
      <c r="D743" s="226" t="s">
        <v>6</v>
      </c>
      <c r="E743" s="226" t="s">
        <v>661</v>
      </c>
      <c r="F743" s="226">
        <v>2.3775394279604383</v>
      </c>
      <c r="G743" s="226">
        <v>0</v>
      </c>
    </row>
    <row r="744" spans="1:7">
      <c r="A744" s="226" t="s">
        <v>95</v>
      </c>
      <c r="B744" s="226" t="s">
        <v>1235</v>
      </c>
      <c r="C744" s="226" t="s">
        <v>625</v>
      </c>
      <c r="D744" s="226" t="s">
        <v>6</v>
      </c>
      <c r="E744" s="226" t="s">
        <v>662</v>
      </c>
      <c r="F744" s="226">
        <v>2.8530473135525258</v>
      </c>
      <c r="G744" s="226">
        <v>0</v>
      </c>
    </row>
    <row r="745" spans="1:7">
      <c r="A745" s="226" t="s">
        <v>95</v>
      </c>
      <c r="B745" s="226" t="s">
        <v>1235</v>
      </c>
      <c r="C745" s="226" t="s">
        <v>625</v>
      </c>
      <c r="D745" s="226" t="s">
        <v>6</v>
      </c>
      <c r="E745" s="226" t="s">
        <v>663</v>
      </c>
      <c r="F745" s="226">
        <v>2.8530473135525258</v>
      </c>
      <c r="G745" s="226">
        <v>0</v>
      </c>
    </row>
    <row r="746" spans="1:7">
      <c r="A746" s="226" t="s">
        <v>95</v>
      </c>
      <c r="B746" s="226" t="s">
        <v>1235</v>
      </c>
      <c r="C746" s="226" t="s">
        <v>625</v>
      </c>
      <c r="D746" s="226" t="s">
        <v>6</v>
      </c>
      <c r="E746" s="226" t="s">
        <v>664</v>
      </c>
      <c r="F746" s="226">
        <v>2.8530473135525258</v>
      </c>
      <c r="G746" s="226">
        <v>0</v>
      </c>
    </row>
    <row r="747" spans="1:7">
      <c r="A747" s="226" t="s">
        <v>95</v>
      </c>
      <c r="B747" s="226" t="s">
        <v>1235</v>
      </c>
      <c r="C747" s="226" t="s">
        <v>625</v>
      </c>
      <c r="D747" s="226" t="s">
        <v>6</v>
      </c>
      <c r="E747" s="226" t="s">
        <v>665</v>
      </c>
      <c r="F747" s="226">
        <v>2.8530473135525258</v>
      </c>
      <c r="G747" s="226">
        <v>0</v>
      </c>
    </row>
    <row r="748" spans="1:7">
      <c r="A748" s="226" t="s">
        <v>95</v>
      </c>
      <c r="B748" s="226" t="s">
        <v>1235</v>
      </c>
      <c r="C748" s="226" t="s">
        <v>625</v>
      </c>
      <c r="D748" s="226" t="s">
        <v>6</v>
      </c>
      <c r="E748" s="226" t="s">
        <v>666</v>
      </c>
      <c r="F748" s="226">
        <v>2.8530473135525258</v>
      </c>
      <c r="G748" s="226">
        <v>0</v>
      </c>
    </row>
    <row r="749" spans="1:7">
      <c r="A749" s="226" t="s">
        <v>95</v>
      </c>
      <c r="B749" s="226" t="s">
        <v>1235</v>
      </c>
      <c r="C749" s="226" t="s">
        <v>625</v>
      </c>
      <c r="D749" s="226" t="s">
        <v>6</v>
      </c>
      <c r="E749" s="226" t="s">
        <v>667</v>
      </c>
      <c r="F749" s="226">
        <v>2.8530473135525258</v>
      </c>
      <c r="G749" s="226">
        <v>0</v>
      </c>
    </row>
    <row r="750" spans="1:7">
      <c r="A750" s="226" t="s">
        <v>95</v>
      </c>
      <c r="B750" s="226" t="s">
        <v>1235</v>
      </c>
      <c r="C750" s="226" t="s">
        <v>627</v>
      </c>
      <c r="D750" s="226" t="s">
        <v>13</v>
      </c>
      <c r="E750" s="226" t="s">
        <v>618</v>
      </c>
      <c r="F750" s="226">
        <v>0.50103665184204393</v>
      </c>
      <c r="G750" s="226">
        <v>0.48760000000000037</v>
      </c>
    </row>
    <row r="751" spans="1:7">
      <c r="A751" s="226" t="s">
        <v>95</v>
      </c>
      <c r="B751" s="226" t="s">
        <v>1235</v>
      </c>
      <c r="C751" s="226" t="s">
        <v>627</v>
      </c>
      <c r="D751" s="226" t="s">
        <v>13</v>
      </c>
      <c r="E751" s="226" t="s">
        <v>619</v>
      </c>
      <c r="F751" s="226">
        <v>0.39314319728212854</v>
      </c>
      <c r="G751" s="226">
        <v>0.3826</v>
      </c>
    </row>
    <row r="752" spans="1:7">
      <c r="A752" s="226" t="s">
        <v>95</v>
      </c>
      <c r="B752" s="226" t="s">
        <v>1235</v>
      </c>
      <c r="C752" s="226" t="s">
        <v>627</v>
      </c>
      <c r="D752" s="226" t="s">
        <v>13</v>
      </c>
      <c r="E752" s="226" t="s">
        <v>620</v>
      </c>
      <c r="F752" s="226">
        <v>0.20438102963778193</v>
      </c>
      <c r="G752" s="226">
        <v>0.19889999999999999</v>
      </c>
    </row>
    <row r="753" spans="1:7">
      <c r="A753" s="226" t="s">
        <v>95</v>
      </c>
      <c r="B753" s="226" t="s">
        <v>1235</v>
      </c>
      <c r="C753" s="226" t="s">
        <v>627</v>
      </c>
      <c r="D753" s="226" t="s">
        <v>13</v>
      </c>
      <c r="E753" s="226" t="s">
        <v>660</v>
      </c>
      <c r="F753" s="226">
        <v>0.34063504939630318</v>
      </c>
      <c r="G753" s="226">
        <v>0.33150000000000002</v>
      </c>
    </row>
    <row r="754" spans="1:7">
      <c r="A754" s="226" t="s">
        <v>95</v>
      </c>
      <c r="B754" s="226" t="s">
        <v>1235</v>
      </c>
      <c r="C754" s="226" t="s">
        <v>627</v>
      </c>
      <c r="D754" s="226" t="s">
        <v>13</v>
      </c>
      <c r="E754" s="226" t="s">
        <v>661</v>
      </c>
      <c r="F754" s="226">
        <v>0.2952085004009623</v>
      </c>
      <c r="G754" s="226">
        <v>0</v>
      </c>
    </row>
    <row r="755" spans="1:7">
      <c r="A755" s="226" t="s">
        <v>95</v>
      </c>
      <c r="B755" s="226" t="s">
        <v>1235</v>
      </c>
      <c r="C755" s="226" t="s">
        <v>627</v>
      </c>
      <c r="D755" s="226" t="s">
        <v>13</v>
      </c>
      <c r="E755" s="226" t="s">
        <v>662</v>
      </c>
      <c r="F755" s="226">
        <v>0.35425020048115474</v>
      </c>
      <c r="G755" s="226">
        <v>0</v>
      </c>
    </row>
    <row r="756" spans="1:7">
      <c r="A756" s="226" t="s">
        <v>95</v>
      </c>
      <c r="B756" s="226" t="s">
        <v>1235</v>
      </c>
      <c r="C756" s="226" t="s">
        <v>627</v>
      </c>
      <c r="D756" s="226" t="s">
        <v>13</v>
      </c>
      <c r="E756" s="226" t="s">
        <v>663</v>
      </c>
      <c r="F756" s="226">
        <v>0.35425020048115474</v>
      </c>
      <c r="G756" s="226">
        <v>0</v>
      </c>
    </row>
    <row r="757" spans="1:7">
      <c r="A757" s="226" t="s">
        <v>95</v>
      </c>
      <c r="B757" s="226" t="s">
        <v>1235</v>
      </c>
      <c r="C757" s="226" t="s">
        <v>627</v>
      </c>
      <c r="D757" s="226" t="s">
        <v>13</v>
      </c>
      <c r="E757" s="226" t="s">
        <v>664</v>
      </c>
      <c r="F757" s="226">
        <v>0.35425020048115474</v>
      </c>
      <c r="G757" s="226">
        <v>0</v>
      </c>
    </row>
    <row r="758" spans="1:7">
      <c r="A758" s="226" t="s">
        <v>95</v>
      </c>
      <c r="B758" s="226" t="s">
        <v>1235</v>
      </c>
      <c r="C758" s="226" t="s">
        <v>627</v>
      </c>
      <c r="D758" s="226" t="s">
        <v>13</v>
      </c>
      <c r="E758" s="226" t="s">
        <v>665</v>
      </c>
      <c r="F758" s="226">
        <v>0.35425020048115474</v>
      </c>
      <c r="G758" s="226">
        <v>0</v>
      </c>
    </row>
    <row r="759" spans="1:7">
      <c r="A759" s="226" t="s">
        <v>95</v>
      </c>
      <c r="B759" s="226" t="s">
        <v>1235</v>
      </c>
      <c r="C759" s="226" t="s">
        <v>627</v>
      </c>
      <c r="D759" s="226" t="s">
        <v>13</v>
      </c>
      <c r="E759" s="226" t="s">
        <v>666</v>
      </c>
      <c r="F759" s="226">
        <v>0.35425020048115474</v>
      </c>
      <c r="G759" s="226">
        <v>0</v>
      </c>
    </row>
    <row r="760" spans="1:7">
      <c r="A760" s="226" t="s">
        <v>95</v>
      </c>
      <c r="B760" s="226" t="s">
        <v>1235</v>
      </c>
      <c r="C760" s="226" t="s">
        <v>627</v>
      </c>
      <c r="D760" s="226" t="s">
        <v>13</v>
      </c>
      <c r="E760" s="226" t="s">
        <v>667</v>
      </c>
      <c r="F760" s="226">
        <v>0.35425020048115474</v>
      </c>
      <c r="G760" s="226">
        <v>0</v>
      </c>
    </row>
    <row r="761" spans="1:7">
      <c r="A761" s="226" t="s">
        <v>95</v>
      </c>
      <c r="B761" s="226" t="s">
        <v>1235</v>
      </c>
      <c r="C761" s="226" t="s">
        <v>627</v>
      </c>
      <c r="D761" s="226" t="s">
        <v>15</v>
      </c>
      <c r="E761" s="226" t="s">
        <v>618</v>
      </c>
      <c r="F761" s="226">
        <v>0.45581623161592522</v>
      </c>
      <c r="G761" s="226">
        <v>0.31561000000000011</v>
      </c>
    </row>
    <row r="762" spans="1:7">
      <c r="A762" s="226" t="s">
        <v>95</v>
      </c>
      <c r="B762" s="226" t="s">
        <v>1235</v>
      </c>
      <c r="C762" s="226" t="s">
        <v>627</v>
      </c>
      <c r="D762" s="226" t="s">
        <v>15</v>
      </c>
      <c r="E762" s="226" t="s">
        <v>619</v>
      </c>
      <c r="F762" s="226">
        <v>3.9860992974238875E-2</v>
      </c>
      <c r="G762" s="226">
        <v>2.7600000000000003E-2</v>
      </c>
    </row>
    <row r="763" spans="1:7">
      <c r="A763" s="226" t="s">
        <v>95</v>
      </c>
      <c r="B763" s="226" t="s">
        <v>1235</v>
      </c>
      <c r="C763" s="226" t="s">
        <v>627</v>
      </c>
      <c r="D763" s="226" t="s">
        <v>15</v>
      </c>
      <c r="E763" s="226" t="s">
        <v>620</v>
      </c>
      <c r="F763" s="226">
        <v>0.20459101844426625</v>
      </c>
      <c r="G763" s="226">
        <v>4.1399999999999999E-2</v>
      </c>
    </row>
    <row r="764" spans="1:7">
      <c r="A764" s="226" t="s">
        <v>95</v>
      </c>
      <c r="B764" s="226" t="s">
        <v>1235</v>
      </c>
      <c r="C764" s="226" t="s">
        <v>627</v>
      </c>
      <c r="D764" s="226" t="s">
        <v>15</v>
      </c>
      <c r="E764" s="226" t="s">
        <v>660</v>
      </c>
      <c r="F764" s="226">
        <v>0.27278802459235496</v>
      </c>
      <c r="G764" s="226">
        <v>6.9000000000000006E-2</v>
      </c>
    </row>
    <row r="765" spans="1:7">
      <c r="A765" s="226" t="s">
        <v>95</v>
      </c>
      <c r="B765" s="226" t="s">
        <v>1235</v>
      </c>
      <c r="C765" s="226" t="s">
        <v>627</v>
      </c>
      <c r="D765" s="226" t="s">
        <v>15</v>
      </c>
      <c r="E765" s="226" t="s">
        <v>661</v>
      </c>
      <c r="F765" s="226">
        <v>0.34098503074044373</v>
      </c>
      <c r="G765" s="226">
        <v>0</v>
      </c>
    </row>
    <row r="766" spans="1:7">
      <c r="A766" s="226" t="s">
        <v>95</v>
      </c>
      <c r="B766" s="226" t="s">
        <v>1235</v>
      </c>
      <c r="C766" s="226" t="s">
        <v>627</v>
      </c>
      <c r="D766" s="226" t="s">
        <v>15</v>
      </c>
      <c r="E766" s="226" t="s">
        <v>662</v>
      </c>
      <c r="F766" s="226">
        <v>0.4091820368885325</v>
      </c>
      <c r="G766" s="226">
        <v>0</v>
      </c>
    </row>
    <row r="767" spans="1:7">
      <c r="A767" s="226" t="s">
        <v>95</v>
      </c>
      <c r="B767" s="226" t="s">
        <v>1235</v>
      </c>
      <c r="C767" s="226" t="s">
        <v>627</v>
      </c>
      <c r="D767" s="226" t="s">
        <v>15</v>
      </c>
      <c r="E767" s="226" t="s">
        <v>663</v>
      </c>
      <c r="F767" s="226">
        <v>0.4091820368885325</v>
      </c>
      <c r="G767" s="226">
        <v>0</v>
      </c>
    </row>
    <row r="768" spans="1:7">
      <c r="A768" s="226" t="s">
        <v>95</v>
      </c>
      <c r="B768" s="226" t="s">
        <v>1235</v>
      </c>
      <c r="C768" s="226" t="s">
        <v>627</v>
      </c>
      <c r="D768" s="226" t="s">
        <v>15</v>
      </c>
      <c r="E768" s="226" t="s">
        <v>664</v>
      </c>
      <c r="F768" s="226">
        <v>0.4091820368885325</v>
      </c>
      <c r="G768" s="226">
        <v>0</v>
      </c>
    </row>
    <row r="769" spans="1:7">
      <c r="A769" s="226" t="s">
        <v>95</v>
      </c>
      <c r="B769" s="226" t="s">
        <v>1235</v>
      </c>
      <c r="C769" s="226" t="s">
        <v>627</v>
      </c>
      <c r="D769" s="226" t="s">
        <v>15</v>
      </c>
      <c r="E769" s="226" t="s">
        <v>665</v>
      </c>
      <c r="F769" s="226">
        <v>0.4091820368885325</v>
      </c>
      <c r="G769" s="226">
        <v>0</v>
      </c>
    </row>
    <row r="770" spans="1:7">
      <c r="A770" s="226" t="s">
        <v>95</v>
      </c>
      <c r="B770" s="226" t="s">
        <v>1235</v>
      </c>
      <c r="C770" s="226" t="s">
        <v>627</v>
      </c>
      <c r="D770" s="226" t="s">
        <v>15</v>
      </c>
      <c r="E770" s="226" t="s">
        <v>666</v>
      </c>
      <c r="F770" s="226">
        <v>0.4091820368885325</v>
      </c>
      <c r="G770" s="226">
        <v>0</v>
      </c>
    </row>
    <row r="771" spans="1:7">
      <c r="A771" s="226" t="s">
        <v>95</v>
      </c>
      <c r="B771" s="226" t="s">
        <v>1235</v>
      </c>
      <c r="C771" s="226" t="s">
        <v>627</v>
      </c>
      <c r="D771" s="226" t="s">
        <v>15</v>
      </c>
      <c r="E771" s="226" t="s">
        <v>667</v>
      </c>
      <c r="F771" s="226">
        <v>0.4091820368885325</v>
      </c>
      <c r="G771" s="226">
        <v>0</v>
      </c>
    </row>
    <row r="772" spans="1:7">
      <c r="A772" s="226" t="s">
        <v>95</v>
      </c>
      <c r="B772" s="226" t="s">
        <v>1235</v>
      </c>
      <c r="C772" s="226" t="s">
        <v>625</v>
      </c>
      <c r="D772" s="226" t="s">
        <v>0</v>
      </c>
      <c r="E772" s="226" t="s">
        <v>618</v>
      </c>
      <c r="F772" s="226">
        <v>0.57240000000000013</v>
      </c>
      <c r="G772" s="226">
        <v>0.57240000000000013</v>
      </c>
    </row>
    <row r="773" spans="1:7">
      <c r="A773" s="226" t="s">
        <v>95</v>
      </c>
      <c r="B773" s="226" t="s">
        <v>1235</v>
      </c>
      <c r="C773" s="226" t="s">
        <v>625</v>
      </c>
      <c r="D773" s="226" t="s">
        <v>0</v>
      </c>
      <c r="E773" s="226" t="s">
        <v>619</v>
      </c>
      <c r="F773" s="226">
        <v>0.28899999999999998</v>
      </c>
      <c r="G773" s="226">
        <v>0.28899999999999998</v>
      </c>
    </row>
    <row r="774" spans="1:7">
      <c r="A774" s="226" t="s">
        <v>95</v>
      </c>
      <c r="B774" s="226" t="s">
        <v>1235</v>
      </c>
      <c r="C774" s="226" t="s">
        <v>625</v>
      </c>
      <c r="D774" s="226" t="s">
        <v>0</v>
      </c>
      <c r="E774" s="226" t="s">
        <v>620</v>
      </c>
      <c r="F774" s="226">
        <v>0.53349999999999997</v>
      </c>
      <c r="G774" s="226">
        <v>0.53349999999999997</v>
      </c>
    </row>
    <row r="775" spans="1:7">
      <c r="A775" s="226" t="s">
        <v>95</v>
      </c>
      <c r="B775" s="226" t="s">
        <v>1235</v>
      </c>
      <c r="C775" s="226" t="s">
        <v>625</v>
      </c>
      <c r="D775" s="226" t="s">
        <v>0</v>
      </c>
      <c r="E775" s="226" t="s">
        <v>660</v>
      </c>
      <c r="F775" s="226">
        <v>0.72250000000000003</v>
      </c>
      <c r="G775" s="226">
        <v>0.72250000000000003</v>
      </c>
    </row>
    <row r="776" spans="1:7">
      <c r="A776" s="226" t="s">
        <v>95</v>
      </c>
      <c r="B776" s="226" t="s">
        <v>1235</v>
      </c>
      <c r="C776" s="226" t="s">
        <v>625</v>
      </c>
      <c r="D776" s="226" t="s">
        <v>0</v>
      </c>
      <c r="E776" s="226" t="s">
        <v>661</v>
      </c>
      <c r="F776" s="226">
        <v>0.38141539695268645</v>
      </c>
      <c r="G776" s="226">
        <v>0</v>
      </c>
    </row>
    <row r="777" spans="1:7">
      <c r="A777" s="226" t="s">
        <v>95</v>
      </c>
      <c r="B777" s="226" t="s">
        <v>1235</v>
      </c>
      <c r="C777" s="226" t="s">
        <v>625</v>
      </c>
      <c r="D777" s="226" t="s">
        <v>0</v>
      </c>
      <c r="E777" s="226" t="s">
        <v>662</v>
      </c>
      <c r="F777" s="226">
        <v>0.45769847634322369</v>
      </c>
      <c r="G777" s="226">
        <v>0</v>
      </c>
    </row>
    <row r="778" spans="1:7">
      <c r="A778" s="226" t="s">
        <v>95</v>
      </c>
      <c r="B778" s="226" t="s">
        <v>1235</v>
      </c>
      <c r="C778" s="226" t="s">
        <v>625</v>
      </c>
      <c r="D778" s="226" t="s">
        <v>0</v>
      </c>
      <c r="E778" s="226" t="s">
        <v>663</v>
      </c>
      <c r="F778" s="226">
        <v>0.45769847634322369</v>
      </c>
      <c r="G778" s="226">
        <v>0</v>
      </c>
    </row>
    <row r="779" spans="1:7">
      <c r="A779" s="226" t="s">
        <v>95</v>
      </c>
      <c r="B779" s="226" t="s">
        <v>1235</v>
      </c>
      <c r="C779" s="226" t="s">
        <v>625</v>
      </c>
      <c r="D779" s="226" t="s">
        <v>0</v>
      </c>
      <c r="E779" s="226" t="s">
        <v>664</v>
      </c>
      <c r="F779" s="226">
        <v>0.45769847634322369</v>
      </c>
      <c r="G779" s="226">
        <v>0</v>
      </c>
    </row>
    <row r="780" spans="1:7">
      <c r="A780" s="226" t="s">
        <v>95</v>
      </c>
      <c r="B780" s="226" t="s">
        <v>1235</v>
      </c>
      <c r="C780" s="226" t="s">
        <v>625</v>
      </c>
      <c r="D780" s="226" t="s">
        <v>0</v>
      </c>
      <c r="E780" s="226" t="s">
        <v>665</v>
      </c>
      <c r="F780" s="226">
        <v>0.45769847634322369</v>
      </c>
      <c r="G780" s="226">
        <v>0</v>
      </c>
    </row>
    <row r="781" spans="1:7">
      <c r="A781" s="226" t="s">
        <v>95</v>
      </c>
      <c r="B781" s="226" t="s">
        <v>1235</v>
      </c>
      <c r="C781" s="226" t="s">
        <v>625</v>
      </c>
      <c r="D781" s="226" t="s">
        <v>0</v>
      </c>
      <c r="E781" s="226" t="s">
        <v>666</v>
      </c>
      <c r="F781" s="226">
        <v>0.45769847634322369</v>
      </c>
      <c r="G781" s="226">
        <v>0</v>
      </c>
    </row>
    <row r="782" spans="1:7">
      <c r="A782" s="226" t="s">
        <v>95</v>
      </c>
      <c r="B782" s="226" t="s">
        <v>1235</v>
      </c>
      <c r="C782" s="226" t="s">
        <v>625</v>
      </c>
      <c r="D782" s="226" t="s">
        <v>0</v>
      </c>
      <c r="E782" s="226" t="s">
        <v>667</v>
      </c>
      <c r="F782" s="226">
        <v>0.45769847634322369</v>
      </c>
      <c r="G782" s="226">
        <v>0</v>
      </c>
    </row>
    <row r="783" spans="1:7">
      <c r="A783" s="226" t="s">
        <v>95</v>
      </c>
      <c r="B783" s="226" t="s">
        <v>1235</v>
      </c>
      <c r="C783" s="226" t="s">
        <v>625</v>
      </c>
      <c r="D783" s="226" t="s">
        <v>4</v>
      </c>
      <c r="E783" s="226" t="s">
        <v>618</v>
      </c>
      <c r="F783" s="226">
        <v>3.7509999999999988E-2</v>
      </c>
      <c r="G783" s="226">
        <v>3.7509999999999988E-2</v>
      </c>
    </row>
    <row r="784" spans="1:7">
      <c r="A784" s="226" t="s">
        <v>95</v>
      </c>
      <c r="B784" s="226" t="s">
        <v>1235</v>
      </c>
      <c r="C784" s="226" t="s">
        <v>625</v>
      </c>
      <c r="D784" s="226" t="s">
        <v>4</v>
      </c>
      <c r="E784" s="226" t="s">
        <v>619</v>
      </c>
      <c r="F784" s="226">
        <v>0</v>
      </c>
      <c r="G784" s="226">
        <v>0</v>
      </c>
    </row>
    <row r="785" spans="1:7">
      <c r="A785" s="226" t="s">
        <v>95</v>
      </c>
      <c r="B785" s="226" t="s">
        <v>1235</v>
      </c>
      <c r="C785" s="226" t="s">
        <v>625</v>
      </c>
      <c r="D785" s="226" t="s">
        <v>4</v>
      </c>
      <c r="E785" s="226" t="s">
        <v>620</v>
      </c>
      <c r="F785" s="226">
        <v>0.16840417000801924</v>
      </c>
      <c r="G785" s="226">
        <v>0</v>
      </c>
    </row>
    <row r="786" spans="1:7">
      <c r="A786" s="226" t="s">
        <v>95</v>
      </c>
      <c r="B786" s="226" t="s">
        <v>1235</v>
      </c>
      <c r="C786" s="226" t="s">
        <v>625</v>
      </c>
      <c r="D786" s="226" t="s">
        <v>4</v>
      </c>
      <c r="E786" s="226" t="s">
        <v>660</v>
      </c>
      <c r="F786" s="226">
        <v>0.22453889334402566</v>
      </c>
      <c r="G786" s="226">
        <v>0</v>
      </c>
    </row>
    <row r="787" spans="1:7">
      <c r="A787" s="226" t="s">
        <v>95</v>
      </c>
      <c r="B787" s="226" t="s">
        <v>1235</v>
      </c>
      <c r="C787" s="226" t="s">
        <v>625</v>
      </c>
      <c r="D787" s="226" t="s">
        <v>4</v>
      </c>
      <c r="E787" s="226" t="s">
        <v>661</v>
      </c>
      <c r="F787" s="226">
        <v>0.28067361668003205</v>
      </c>
      <c r="G787" s="226">
        <v>0</v>
      </c>
    </row>
    <row r="788" spans="1:7">
      <c r="A788" s="226" t="s">
        <v>95</v>
      </c>
      <c r="B788" s="226" t="s">
        <v>1235</v>
      </c>
      <c r="C788" s="226" t="s">
        <v>625</v>
      </c>
      <c r="D788" s="226" t="s">
        <v>4</v>
      </c>
      <c r="E788" s="226" t="s">
        <v>662</v>
      </c>
      <c r="F788" s="226">
        <v>0.33680834001603849</v>
      </c>
      <c r="G788" s="226">
        <v>0</v>
      </c>
    </row>
    <row r="789" spans="1:7">
      <c r="A789" s="226" t="s">
        <v>95</v>
      </c>
      <c r="B789" s="226" t="s">
        <v>1235</v>
      </c>
      <c r="C789" s="226" t="s">
        <v>625</v>
      </c>
      <c r="D789" s="226" t="s">
        <v>4</v>
      </c>
      <c r="E789" s="226" t="s">
        <v>663</v>
      </c>
      <c r="F789" s="226">
        <v>0.33680834001603849</v>
      </c>
      <c r="G789" s="226">
        <v>0</v>
      </c>
    </row>
    <row r="790" spans="1:7">
      <c r="A790" s="226" t="s">
        <v>95</v>
      </c>
      <c r="B790" s="226" t="s">
        <v>1235</v>
      </c>
      <c r="C790" s="226" t="s">
        <v>625</v>
      </c>
      <c r="D790" s="226" t="s">
        <v>4</v>
      </c>
      <c r="E790" s="226" t="s">
        <v>664</v>
      </c>
      <c r="F790" s="226">
        <v>0.33680834001603849</v>
      </c>
      <c r="G790" s="226">
        <v>0</v>
      </c>
    </row>
    <row r="791" spans="1:7">
      <c r="A791" s="226" t="s">
        <v>95</v>
      </c>
      <c r="B791" s="226" t="s">
        <v>1235</v>
      </c>
      <c r="C791" s="226" t="s">
        <v>625</v>
      </c>
      <c r="D791" s="226" t="s">
        <v>4</v>
      </c>
      <c r="E791" s="226" t="s">
        <v>665</v>
      </c>
      <c r="F791" s="226">
        <v>0.33680834001603849</v>
      </c>
      <c r="G791" s="226">
        <v>0</v>
      </c>
    </row>
    <row r="792" spans="1:7">
      <c r="A792" s="226" t="s">
        <v>95</v>
      </c>
      <c r="B792" s="226" t="s">
        <v>1235</v>
      </c>
      <c r="C792" s="226" t="s">
        <v>625</v>
      </c>
      <c r="D792" s="226" t="s">
        <v>4</v>
      </c>
      <c r="E792" s="226" t="s">
        <v>666</v>
      </c>
      <c r="F792" s="226">
        <v>0.33680834001603849</v>
      </c>
      <c r="G792" s="226">
        <v>0</v>
      </c>
    </row>
    <row r="793" spans="1:7">
      <c r="A793" s="226" t="s">
        <v>95</v>
      </c>
      <c r="B793" s="226" t="s">
        <v>1235</v>
      </c>
      <c r="C793" s="226" t="s">
        <v>625</v>
      </c>
      <c r="D793" s="226" t="s">
        <v>4</v>
      </c>
      <c r="E793" s="226" t="s">
        <v>667</v>
      </c>
      <c r="F793" s="226">
        <v>0.33680834001603849</v>
      </c>
      <c r="G793" s="226">
        <v>0</v>
      </c>
    </row>
    <row r="794" spans="1:7">
      <c r="A794" s="226" t="s">
        <v>95</v>
      </c>
      <c r="B794" s="226" t="s">
        <v>1235</v>
      </c>
      <c r="C794" s="226" t="s">
        <v>963</v>
      </c>
      <c r="D794" s="226" t="s">
        <v>17</v>
      </c>
      <c r="E794" s="226" t="s">
        <v>618</v>
      </c>
      <c r="F794" s="226">
        <v>3.5379999999999995E-2</v>
      </c>
      <c r="G794" s="226">
        <v>3.5379999999999995E-2</v>
      </c>
    </row>
    <row r="795" spans="1:7">
      <c r="A795" s="226" t="s">
        <v>95</v>
      </c>
      <c r="B795" s="226" t="s">
        <v>1235</v>
      </c>
      <c r="C795" s="226" t="s">
        <v>963</v>
      </c>
      <c r="D795" s="226" t="s">
        <v>17</v>
      </c>
      <c r="E795" s="226" t="s">
        <v>619</v>
      </c>
      <c r="F795" s="226">
        <v>6.1079999999999988E-3</v>
      </c>
      <c r="G795" s="226">
        <v>6.1079999999999988E-3</v>
      </c>
    </row>
    <row r="796" spans="1:7">
      <c r="A796" s="226" t="s">
        <v>95</v>
      </c>
      <c r="B796" s="226" t="s">
        <v>1235</v>
      </c>
      <c r="C796" s="226" t="s">
        <v>963</v>
      </c>
      <c r="D796" s="226" t="s">
        <v>17</v>
      </c>
      <c r="E796" s="226" t="s">
        <v>620</v>
      </c>
      <c r="F796" s="226">
        <v>6.275060144346431E-2</v>
      </c>
      <c r="G796" s="226">
        <v>9.1619999999999965E-3</v>
      </c>
    </row>
    <row r="797" spans="1:7">
      <c r="A797" s="226" t="s">
        <v>95</v>
      </c>
      <c r="B797" s="226" t="s">
        <v>1235</v>
      </c>
      <c r="C797" s="226" t="s">
        <v>963</v>
      </c>
      <c r="D797" s="226" t="s">
        <v>17</v>
      </c>
      <c r="E797" s="226" t="s">
        <v>660</v>
      </c>
      <c r="F797" s="226">
        <v>8.3667468591285751E-2</v>
      </c>
      <c r="G797" s="226">
        <v>1.5269999999999995E-2</v>
      </c>
    </row>
    <row r="798" spans="1:7">
      <c r="A798" s="226" t="s">
        <v>95</v>
      </c>
      <c r="B798" s="226" t="s">
        <v>1235</v>
      </c>
      <c r="C798" s="226" t="s">
        <v>963</v>
      </c>
      <c r="D798" s="226" t="s">
        <v>17</v>
      </c>
      <c r="E798" s="226" t="s">
        <v>661</v>
      </c>
      <c r="F798" s="226">
        <v>0.10458433573910719</v>
      </c>
      <c r="G798" s="226">
        <v>0</v>
      </c>
    </row>
    <row r="799" spans="1:7">
      <c r="A799" s="226" t="s">
        <v>95</v>
      </c>
      <c r="B799" s="226" t="s">
        <v>1235</v>
      </c>
      <c r="C799" s="226" t="s">
        <v>963</v>
      </c>
      <c r="D799" s="226" t="s">
        <v>17</v>
      </c>
      <c r="E799" s="226" t="s">
        <v>662</v>
      </c>
      <c r="F799" s="226">
        <v>0.12550120288692862</v>
      </c>
      <c r="G799" s="226">
        <v>0</v>
      </c>
    </row>
    <row r="800" spans="1:7">
      <c r="A800" s="226" t="s">
        <v>95</v>
      </c>
      <c r="B800" s="226" t="s">
        <v>1235</v>
      </c>
      <c r="C800" s="226" t="s">
        <v>963</v>
      </c>
      <c r="D800" s="226" t="s">
        <v>17</v>
      </c>
      <c r="E800" s="226" t="s">
        <v>663</v>
      </c>
      <c r="F800" s="226">
        <v>0.12550120288692862</v>
      </c>
      <c r="G800" s="226">
        <v>0</v>
      </c>
    </row>
    <row r="801" spans="1:7">
      <c r="A801" s="226" t="s">
        <v>95</v>
      </c>
      <c r="B801" s="226" t="s">
        <v>1235</v>
      </c>
      <c r="C801" s="226" t="s">
        <v>963</v>
      </c>
      <c r="D801" s="226" t="s">
        <v>17</v>
      </c>
      <c r="E801" s="226" t="s">
        <v>664</v>
      </c>
      <c r="F801" s="226">
        <v>0.12550120288692862</v>
      </c>
      <c r="G801" s="226">
        <v>0</v>
      </c>
    </row>
    <row r="802" spans="1:7">
      <c r="A802" s="226" t="s">
        <v>95</v>
      </c>
      <c r="B802" s="226" t="s">
        <v>1235</v>
      </c>
      <c r="C802" s="226" t="s">
        <v>963</v>
      </c>
      <c r="D802" s="226" t="s">
        <v>17</v>
      </c>
      <c r="E802" s="226" t="s">
        <v>665</v>
      </c>
      <c r="F802" s="226">
        <v>0.12550120288692862</v>
      </c>
      <c r="G802" s="226">
        <v>0</v>
      </c>
    </row>
    <row r="803" spans="1:7">
      <c r="A803" s="226" t="s">
        <v>95</v>
      </c>
      <c r="B803" s="226" t="s">
        <v>1235</v>
      </c>
      <c r="C803" s="226" t="s">
        <v>963</v>
      </c>
      <c r="D803" s="226" t="s">
        <v>17</v>
      </c>
      <c r="E803" s="226" t="s">
        <v>666</v>
      </c>
      <c r="F803" s="226">
        <v>0.12550120288692862</v>
      </c>
      <c r="G803" s="226">
        <v>0</v>
      </c>
    </row>
    <row r="804" spans="1:7">
      <c r="A804" s="226" t="s">
        <v>95</v>
      </c>
      <c r="B804" s="226" t="s">
        <v>1235</v>
      </c>
      <c r="C804" s="226" t="s">
        <v>963</v>
      </c>
      <c r="D804" s="226" t="s">
        <v>17</v>
      </c>
      <c r="E804" s="226" t="s">
        <v>667</v>
      </c>
      <c r="F804" s="226">
        <v>0.12550120288692862</v>
      </c>
      <c r="G804" s="226">
        <v>0</v>
      </c>
    </row>
    <row r="805" spans="1:7">
      <c r="A805" s="226" t="s">
        <v>95</v>
      </c>
      <c r="B805" s="226" t="s">
        <v>1235</v>
      </c>
      <c r="C805" s="226" t="s">
        <v>626</v>
      </c>
      <c r="D805" s="226" t="s">
        <v>92</v>
      </c>
      <c r="E805" s="226" t="s">
        <v>618</v>
      </c>
      <c r="F805" s="226">
        <v>2.9119999999999997E-2</v>
      </c>
      <c r="G805" s="226">
        <v>2.9119999999999997E-2</v>
      </c>
    </row>
    <row r="806" spans="1:7">
      <c r="A806" s="226" t="s">
        <v>95</v>
      </c>
      <c r="B806" s="226" t="s">
        <v>1235</v>
      </c>
      <c r="C806" s="226" t="s">
        <v>626</v>
      </c>
      <c r="D806" s="226" t="s">
        <v>92</v>
      </c>
      <c r="E806" s="226" t="s">
        <v>619</v>
      </c>
      <c r="F806" s="226">
        <v>0</v>
      </c>
      <c r="G806" s="226">
        <v>0</v>
      </c>
    </row>
    <row r="807" spans="1:7">
      <c r="A807" s="226" t="s">
        <v>95</v>
      </c>
      <c r="B807" s="226" t="s">
        <v>1235</v>
      </c>
      <c r="C807" s="226" t="s">
        <v>626</v>
      </c>
      <c r="D807" s="226" t="s">
        <v>92</v>
      </c>
      <c r="E807" s="226" t="s">
        <v>620</v>
      </c>
      <c r="F807" s="226">
        <v>0</v>
      </c>
      <c r="G807" s="226">
        <v>0</v>
      </c>
    </row>
    <row r="808" spans="1:7">
      <c r="A808" s="226" t="s">
        <v>95</v>
      </c>
      <c r="B808" s="226" t="s">
        <v>1235</v>
      </c>
      <c r="C808" s="226" t="s">
        <v>626</v>
      </c>
      <c r="D808" s="226" t="s">
        <v>92</v>
      </c>
      <c r="E808" s="226" t="s">
        <v>660</v>
      </c>
      <c r="F808" s="226">
        <v>0</v>
      </c>
      <c r="G808" s="226">
        <v>0</v>
      </c>
    </row>
    <row r="809" spans="1:7">
      <c r="A809" s="226" t="s">
        <v>95</v>
      </c>
      <c r="B809" s="226" t="s">
        <v>1235</v>
      </c>
      <c r="C809" s="226" t="s">
        <v>626</v>
      </c>
      <c r="D809" s="226" t="s">
        <v>92</v>
      </c>
      <c r="E809" s="226" t="s">
        <v>661</v>
      </c>
      <c r="F809" s="226">
        <v>0</v>
      </c>
      <c r="G809" s="226">
        <v>0</v>
      </c>
    </row>
    <row r="810" spans="1:7">
      <c r="A810" s="226" t="s">
        <v>95</v>
      </c>
      <c r="B810" s="226" t="s">
        <v>1235</v>
      </c>
      <c r="C810" s="226" t="s">
        <v>626</v>
      </c>
      <c r="D810" s="226" t="s">
        <v>92</v>
      </c>
      <c r="E810" s="226" t="s">
        <v>662</v>
      </c>
      <c r="F810" s="226">
        <v>0</v>
      </c>
      <c r="G810" s="226">
        <v>0</v>
      </c>
    </row>
    <row r="811" spans="1:7">
      <c r="A811" s="226" t="s">
        <v>95</v>
      </c>
      <c r="B811" s="226" t="s">
        <v>1235</v>
      </c>
      <c r="C811" s="226" t="s">
        <v>626</v>
      </c>
      <c r="D811" s="226" t="s">
        <v>92</v>
      </c>
      <c r="E811" s="226" t="s">
        <v>663</v>
      </c>
      <c r="F811" s="226">
        <v>0</v>
      </c>
      <c r="G811" s="226">
        <v>0</v>
      </c>
    </row>
    <row r="812" spans="1:7">
      <c r="A812" s="226" t="s">
        <v>95</v>
      </c>
      <c r="B812" s="226" t="s">
        <v>1235</v>
      </c>
      <c r="C812" s="226" t="s">
        <v>626</v>
      </c>
      <c r="D812" s="226" t="s">
        <v>92</v>
      </c>
      <c r="E812" s="226" t="s">
        <v>664</v>
      </c>
      <c r="F812" s="226">
        <v>0</v>
      </c>
      <c r="G812" s="226">
        <v>0</v>
      </c>
    </row>
    <row r="813" spans="1:7">
      <c r="A813" s="226" t="s">
        <v>95</v>
      </c>
      <c r="B813" s="226" t="s">
        <v>1235</v>
      </c>
      <c r="C813" s="226" t="s">
        <v>626</v>
      </c>
      <c r="D813" s="226" t="s">
        <v>92</v>
      </c>
      <c r="E813" s="226" t="s">
        <v>665</v>
      </c>
      <c r="F813" s="226">
        <v>0</v>
      </c>
      <c r="G813" s="226">
        <v>0</v>
      </c>
    </row>
    <row r="814" spans="1:7">
      <c r="A814" s="226" t="s">
        <v>95</v>
      </c>
      <c r="B814" s="226" t="s">
        <v>1235</v>
      </c>
      <c r="C814" s="226" t="s">
        <v>626</v>
      </c>
      <c r="D814" s="226" t="s">
        <v>92</v>
      </c>
      <c r="E814" s="226" t="s">
        <v>666</v>
      </c>
      <c r="F814" s="226">
        <v>0</v>
      </c>
      <c r="G814" s="226">
        <v>0</v>
      </c>
    </row>
    <row r="815" spans="1:7">
      <c r="A815" s="226" t="s">
        <v>95</v>
      </c>
      <c r="B815" s="226" t="s">
        <v>1235</v>
      </c>
      <c r="C815" s="226" t="s">
        <v>626</v>
      </c>
      <c r="D815" s="226" t="s">
        <v>92</v>
      </c>
      <c r="E815" s="226" t="s">
        <v>667</v>
      </c>
      <c r="F815" s="226">
        <v>0</v>
      </c>
      <c r="G815" s="226">
        <v>0</v>
      </c>
    </row>
    <row r="816" spans="1:7">
      <c r="A816" s="226" t="s">
        <v>95</v>
      </c>
      <c r="B816" s="226" t="s">
        <v>1235</v>
      </c>
      <c r="C816" s="226" t="s">
        <v>625</v>
      </c>
      <c r="D816" s="226" t="s">
        <v>93</v>
      </c>
      <c r="E816" s="226" t="s">
        <v>618</v>
      </c>
      <c r="F816" s="226">
        <v>2.7810000000000001E-2</v>
      </c>
      <c r="G816" s="226">
        <v>2.7810000000000001E-2</v>
      </c>
    </row>
    <row r="817" spans="1:7">
      <c r="A817" s="226" t="s">
        <v>95</v>
      </c>
      <c r="B817" s="226" t="s">
        <v>1235</v>
      </c>
      <c r="C817" s="226" t="s">
        <v>625</v>
      </c>
      <c r="D817" s="226" t="s">
        <v>93</v>
      </c>
      <c r="E817" s="226" t="s">
        <v>619</v>
      </c>
      <c r="F817" s="226">
        <v>3.0000000000000001E-3</v>
      </c>
      <c r="G817" s="226">
        <v>3.0000000000000001E-3</v>
      </c>
    </row>
    <row r="818" spans="1:7">
      <c r="A818" s="226" t="s">
        <v>95</v>
      </c>
      <c r="B818" s="226" t="s">
        <v>1235</v>
      </c>
      <c r="C818" s="226" t="s">
        <v>625</v>
      </c>
      <c r="D818" s="226" t="s">
        <v>93</v>
      </c>
      <c r="E818" s="226" t="s">
        <v>620</v>
      </c>
      <c r="F818" s="226">
        <v>2.0549318364073779E-2</v>
      </c>
      <c r="G818" s="226">
        <v>0</v>
      </c>
    </row>
    <row r="819" spans="1:7">
      <c r="A819" s="226" t="s">
        <v>95</v>
      </c>
      <c r="B819" s="226" t="s">
        <v>1235</v>
      </c>
      <c r="C819" s="226" t="s">
        <v>625</v>
      </c>
      <c r="D819" s="226" t="s">
        <v>93</v>
      </c>
      <c r="E819" s="226" t="s">
        <v>660</v>
      </c>
      <c r="F819" s="226">
        <v>2.7399091152098369E-2</v>
      </c>
      <c r="G819" s="226">
        <v>0</v>
      </c>
    </row>
    <row r="820" spans="1:7">
      <c r="A820" s="226" t="s">
        <v>95</v>
      </c>
      <c r="B820" s="226" t="s">
        <v>1235</v>
      </c>
      <c r="C820" s="226" t="s">
        <v>625</v>
      </c>
      <c r="D820" s="226" t="s">
        <v>93</v>
      </c>
      <c r="E820" s="226" t="s">
        <v>661</v>
      </c>
      <c r="F820" s="226">
        <v>3.4248863940122956E-2</v>
      </c>
      <c r="G820" s="226">
        <v>0</v>
      </c>
    </row>
    <row r="821" spans="1:7">
      <c r="A821" s="226" t="s">
        <v>95</v>
      </c>
      <c r="B821" s="226" t="s">
        <v>1235</v>
      </c>
      <c r="C821" s="226" t="s">
        <v>625</v>
      </c>
      <c r="D821" s="226" t="s">
        <v>93</v>
      </c>
      <c r="E821" s="226" t="s">
        <v>662</v>
      </c>
      <c r="F821" s="226">
        <v>4.1098636728147557E-2</v>
      </c>
      <c r="G821" s="226">
        <v>0</v>
      </c>
    </row>
    <row r="822" spans="1:7">
      <c r="A822" s="226" t="s">
        <v>95</v>
      </c>
      <c r="B822" s="226" t="s">
        <v>1235</v>
      </c>
      <c r="C822" s="226" t="s">
        <v>625</v>
      </c>
      <c r="D822" s="226" t="s">
        <v>93</v>
      </c>
      <c r="E822" s="226" t="s">
        <v>663</v>
      </c>
      <c r="F822" s="226">
        <v>4.1098636728147557E-2</v>
      </c>
      <c r="G822" s="226">
        <v>0</v>
      </c>
    </row>
    <row r="823" spans="1:7">
      <c r="A823" s="226" t="s">
        <v>95</v>
      </c>
      <c r="B823" s="226" t="s">
        <v>1235</v>
      </c>
      <c r="C823" s="226" t="s">
        <v>625</v>
      </c>
      <c r="D823" s="226" t="s">
        <v>93</v>
      </c>
      <c r="E823" s="226" t="s">
        <v>664</v>
      </c>
      <c r="F823" s="226">
        <v>4.1098636728147557E-2</v>
      </c>
      <c r="G823" s="226">
        <v>0</v>
      </c>
    </row>
    <row r="824" spans="1:7">
      <c r="A824" s="226" t="s">
        <v>95</v>
      </c>
      <c r="B824" s="226" t="s">
        <v>1235</v>
      </c>
      <c r="C824" s="226" t="s">
        <v>625</v>
      </c>
      <c r="D824" s="226" t="s">
        <v>93</v>
      </c>
      <c r="E824" s="226" t="s">
        <v>665</v>
      </c>
      <c r="F824" s="226">
        <v>4.1098636728147557E-2</v>
      </c>
      <c r="G824" s="226">
        <v>0</v>
      </c>
    </row>
    <row r="825" spans="1:7">
      <c r="A825" s="226" t="s">
        <v>95</v>
      </c>
      <c r="B825" s="226" t="s">
        <v>1235</v>
      </c>
      <c r="C825" s="226" t="s">
        <v>625</v>
      </c>
      <c r="D825" s="226" t="s">
        <v>93</v>
      </c>
      <c r="E825" s="226" t="s">
        <v>666</v>
      </c>
      <c r="F825" s="226">
        <v>4.1098636728147557E-2</v>
      </c>
      <c r="G825" s="226">
        <v>0</v>
      </c>
    </row>
    <row r="826" spans="1:7">
      <c r="A826" s="226" t="s">
        <v>95</v>
      </c>
      <c r="B826" s="226" t="s">
        <v>1235</v>
      </c>
      <c r="C826" s="226" t="s">
        <v>625</v>
      </c>
      <c r="D826" s="226" t="s">
        <v>93</v>
      </c>
      <c r="E826" s="226" t="s">
        <v>667</v>
      </c>
      <c r="F826" s="226">
        <v>4.1098636728147557E-2</v>
      </c>
      <c r="G826" s="226">
        <v>0</v>
      </c>
    </row>
    <row r="827" spans="1:7">
      <c r="A827" s="226" t="s">
        <v>96</v>
      </c>
      <c r="B827" s="226" t="s">
        <v>1235</v>
      </c>
      <c r="C827" s="226" t="s">
        <v>627</v>
      </c>
      <c r="D827" s="226" t="s">
        <v>14</v>
      </c>
      <c r="E827" s="226" t="s">
        <v>618</v>
      </c>
      <c r="F827" s="226">
        <v>4.22193062642294E-3</v>
      </c>
      <c r="G827" s="226">
        <v>4.1999999999998185E-3</v>
      </c>
    </row>
    <row r="828" spans="1:7">
      <c r="A828" s="226" t="s">
        <v>96</v>
      </c>
      <c r="B828" s="226" t="s">
        <v>1235</v>
      </c>
      <c r="C828" s="226" t="s">
        <v>627</v>
      </c>
      <c r="D828" s="226" t="s">
        <v>14</v>
      </c>
      <c r="E828" s="226" t="s">
        <v>619</v>
      </c>
      <c r="F828" s="226">
        <v>0</v>
      </c>
      <c r="G828" s="226">
        <v>0</v>
      </c>
    </row>
    <row r="829" spans="1:7">
      <c r="A829" s="226" t="s">
        <v>96</v>
      </c>
      <c r="B829" s="226" t="s">
        <v>1235</v>
      </c>
      <c r="C829" s="226" t="s">
        <v>627</v>
      </c>
      <c r="D829" s="226" t="s">
        <v>14</v>
      </c>
      <c r="E829" s="226" t="s">
        <v>620</v>
      </c>
      <c r="F829" s="226">
        <v>0</v>
      </c>
      <c r="G829" s="226">
        <v>0</v>
      </c>
    </row>
    <row r="830" spans="1:7">
      <c r="A830" s="226" t="s">
        <v>96</v>
      </c>
      <c r="B830" s="226" t="s">
        <v>1235</v>
      </c>
      <c r="C830" s="226" t="s">
        <v>627</v>
      </c>
      <c r="D830" s="226" t="s">
        <v>14</v>
      </c>
      <c r="E830" s="226" t="s">
        <v>660</v>
      </c>
      <c r="F830" s="226">
        <v>0.32370739886574634</v>
      </c>
      <c r="G830" s="226">
        <v>0</v>
      </c>
    </row>
    <row r="831" spans="1:7">
      <c r="A831" s="226" t="s">
        <v>96</v>
      </c>
      <c r="B831" s="226" t="s">
        <v>1235</v>
      </c>
      <c r="C831" s="226" t="s">
        <v>627</v>
      </c>
      <c r="D831" s="226" t="s">
        <v>14</v>
      </c>
      <c r="E831" s="226" t="s">
        <v>661</v>
      </c>
      <c r="F831" s="226">
        <v>0.53951233144291066</v>
      </c>
      <c r="G831" s="226">
        <v>0</v>
      </c>
    </row>
    <row r="832" spans="1:7">
      <c r="A832" s="226" t="s">
        <v>96</v>
      </c>
      <c r="B832" s="226" t="s">
        <v>1235</v>
      </c>
      <c r="C832" s="226" t="s">
        <v>627</v>
      </c>
      <c r="D832" s="226" t="s">
        <v>14</v>
      </c>
      <c r="E832" s="226" t="s">
        <v>662</v>
      </c>
      <c r="F832" s="226">
        <v>0.75531726402007482</v>
      </c>
      <c r="G832" s="226">
        <v>0</v>
      </c>
    </row>
    <row r="833" spans="1:7">
      <c r="A833" s="226" t="s">
        <v>96</v>
      </c>
      <c r="B833" s="226" t="s">
        <v>1235</v>
      </c>
      <c r="C833" s="226" t="s">
        <v>627</v>
      </c>
      <c r="D833" s="226" t="s">
        <v>14</v>
      </c>
      <c r="E833" s="226" t="s">
        <v>663</v>
      </c>
      <c r="F833" s="226">
        <v>0.75531726402007482</v>
      </c>
      <c r="G833" s="226">
        <v>0</v>
      </c>
    </row>
    <row r="834" spans="1:7">
      <c r="A834" s="226" t="s">
        <v>96</v>
      </c>
      <c r="B834" s="226" t="s">
        <v>1235</v>
      </c>
      <c r="C834" s="226" t="s">
        <v>627</v>
      </c>
      <c r="D834" s="226" t="s">
        <v>14</v>
      </c>
      <c r="E834" s="226" t="s">
        <v>664</v>
      </c>
      <c r="F834" s="226">
        <v>0.75531726402007482</v>
      </c>
      <c r="G834" s="226">
        <v>0</v>
      </c>
    </row>
    <row r="835" spans="1:7">
      <c r="A835" s="226" t="s">
        <v>96</v>
      </c>
      <c r="B835" s="226" t="s">
        <v>1235</v>
      </c>
      <c r="C835" s="226" t="s">
        <v>627</v>
      </c>
      <c r="D835" s="226" t="s">
        <v>14</v>
      </c>
      <c r="E835" s="226" t="s">
        <v>665</v>
      </c>
      <c r="F835" s="226">
        <v>0.75531726402007482</v>
      </c>
      <c r="G835" s="226">
        <v>0</v>
      </c>
    </row>
    <row r="836" spans="1:7">
      <c r="A836" s="226" t="s">
        <v>96</v>
      </c>
      <c r="B836" s="226" t="s">
        <v>1235</v>
      </c>
      <c r="C836" s="226" t="s">
        <v>627</v>
      </c>
      <c r="D836" s="226" t="s">
        <v>14</v>
      </c>
      <c r="E836" s="226" t="s">
        <v>666</v>
      </c>
      <c r="F836" s="226">
        <v>0.75531726402007482</v>
      </c>
      <c r="G836" s="226">
        <v>0</v>
      </c>
    </row>
    <row r="837" spans="1:7">
      <c r="A837" s="226" t="s">
        <v>96</v>
      </c>
      <c r="B837" s="226" t="s">
        <v>1235</v>
      </c>
      <c r="C837" s="226" t="s">
        <v>627</v>
      </c>
      <c r="D837" s="226" t="s">
        <v>14</v>
      </c>
      <c r="E837" s="226" t="s">
        <v>667</v>
      </c>
      <c r="F837" s="226">
        <v>0.75531726402007482</v>
      </c>
      <c r="G837" s="226">
        <v>0</v>
      </c>
    </row>
    <row r="838" spans="1:7">
      <c r="A838" s="226" t="s">
        <v>96</v>
      </c>
      <c r="B838" s="226" t="s">
        <v>1235</v>
      </c>
      <c r="C838" s="226" t="s">
        <v>630</v>
      </c>
      <c r="D838" s="226" t="s">
        <v>29</v>
      </c>
      <c r="E838" s="226" t="s">
        <v>618</v>
      </c>
      <c r="F838" s="226">
        <v>0</v>
      </c>
      <c r="G838" s="226">
        <v>0</v>
      </c>
    </row>
    <row r="839" spans="1:7">
      <c r="A839" s="226" t="s">
        <v>96</v>
      </c>
      <c r="B839" s="226" t="s">
        <v>1235</v>
      </c>
      <c r="C839" s="226" t="s">
        <v>630</v>
      </c>
      <c r="D839" s="226" t="s">
        <v>29</v>
      </c>
      <c r="E839" s="226" t="s">
        <v>619</v>
      </c>
      <c r="F839" s="226">
        <v>0</v>
      </c>
      <c r="G839" s="226">
        <v>0</v>
      </c>
    </row>
    <row r="840" spans="1:7">
      <c r="A840" s="226" t="s">
        <v>96</v>
      </c>
      <c r="B840" s="226" t="s">
        <v>1235</v>
      </c>
      <c r="C840" s="226" t="s">
        <v>630</v>
      </c>
      <c r="D840" s="226" t="s">
        <v>29</v>
      </c>
      <c r="E840" s="226" t="s">
        <v>620</v>
      </c>
      <c r="F840" s="226">
        <v>0</v>
      </c>
      <c r="G840" s="226">
        <v>0</v>
      </c>
    </row>
    <row r="841" spans="1:7">
      <c r="A841" s="226" t="s">
        <v>96</v>
      </c>
      <c r="B841" s="226" t="s">
        <v>1235</v>
      </c>
      <c r="C841" s="226" t="s">
        <v>630</v>
      </c>
      <c r="D841" s="226" t="s">
        <v>29</v>
      </c>
      <c r="E841" s="226" t="s">
        <v>660</v>
      </c>
      <c r="F841" s="226">
        <v>1.0630926777691187E-3</v>
      </c>
      <c r="G841" s="226">
        <v>0</v>
      </c>
    </row>
    <row r="842" spans="1:7">
      <c r="A842" s="226" t="s">
        <v>96</v>
      </c>
      <c r="B842" s="226" t="s">
        <v>1235</v>
      </c>
      <c r="C842" s="226" t="s">
        <v>630</v>
      </c>
      <c r="D842" s="226" t="s">
        <v>90</v>
      </c>
      <c r="E842" s="226" t="s">
        <v>618</v>
      </c>
      <c r="F842" s="226">
        <v>0</v>
      </c>
      <c r="G842" s="226">
        <v>0</v>
      </c>
    </row>
    <row r="843" spans="1:7">
      <c r="A843" s="226" t="s">
        <v>96</v>
      </c>
      <c r="B843" s="226" t="s">
        <v>1235</v>
      </c>
      <c r="C843" s="226" t="s">
        <v>630</v>
      </c>
      <c r="D843" s="226" t="s">
        <v>90</v>
      </c>
      <c r="E843" s="226" t="s">
        <v>619</v>
      </c>
      <c r="F843" s="226">
        <v>0</v>
      </c>
      <c r="G843" s="226">
        <v>0</v>
      </c>
    </row>
    <row r="844" spans="1:7">
      <c r="A844" s="226" t="s">
        <v>96</v>
      </c>
      <c r="B844" s="226" t="s">
        <v>1235</v>
      </c>
      <c r="C844" s="226" t="s">
        <v>630</v>
      </c>
      <c r="D844" s="226" t="s">
        <v>90</v>
      </c>
      <c r="E844" s="226" t="s">
        <v>620</v>
      </c>
      <c r="F844" s="226">
        <v>0</v>
      </c>
      <c r="G844" s="226">
        <v>0</v>
      </c>
    </row>
    <row r="845" spans="1:7">
      <c r="A845" s="226" t="s">
        <v>96</v>
      </c>
      <c r="B845" s="226" t="s">
        <v>1235</v>
      </c>
      <c r="C845" s="226" t="s">
        <v>630</v>
      </c>
      <c r="D845" s="226" t="s">
        <v>90</v>
      </c>
      <c r="E845" s="226" t="s">
        <v>660</v>
      </c>
      <c r="F845" s="226">
        <v>1.1884166113272667E-3</v>
      </c>
      <c r="G845" s="226">
        <v>0</v>
      </c>
    </row>
    <row r="846" spans="1:7">
      <c r="A846" s="226" t="s">
        <v>96</v>
      </c>
      <c r="B846" s="226" t="s">
        <v>1235</v>
      </c>
      <c r="C846" s="226" t="s">
        <v>630</v>
      </c>
      <c r="D846" s="226" t="s">
        <v>90</v>
      </c>
      <c r="E846" s="226" t="s">
        <v>661</v>
      </c>
      <c r="F846" s="226">
        <v>1.9806943522121113E-3</v>
      </c>
      <c r="G846" s="226">
        <v>0</v>
      </c>
    </row>
    <row r="847" spans="1:7">
      <c r="A847" s="226" t="s">
        <v>96</v>
      </c>
      <c r="B847" s="226" t="s">
        <v>1235</v>
      </c>
      <c r="C847" s="226" t="s">
        <v>630</v>
      </c>
      <c r="D847" s="226" t="s">
        <v>90</v>
      </c>
      <c r="E847" s="226" t="s">
        <v>662</v>
      </c>
      <c r="F847" s="226">
        <v>2.7729720930969562E-3</v>
      </c>
      <c r="G847" s="226">
        <v>0</v>
      </c>
    </row>
    <row r="848" spans="1:7">
      <c r="A848" s="226" t="s">
        <v>96</v>
      </c>
      <c r="B848" s="226" t="s">
        <v>1235</v>
      </c>
      <c r="C848" s="226" t="s">
        <v>630</v>
      </c>
      <c r="D848" s="226" t="s">
        <v>90</v>
      </c>
      <c r="E848" s="226" t="s">
        <v>663</v>
      </c>
      <c r="F848" s="226">
        <v>2.7729720930969562E-3</v>
      </c>
      <c r="G848" s="226">
        <v>0</v>
      </c>
    </row>
    <row r="849" spans="1:7">
      <c r="A849" s="226" t="s">
        <v>96</v>
      </c>
      <c r="B849" s="226" t="s">
        <v>1235</v>
      </c>
      <c r="C849" s="226" t="s">
        <v>630</v>
      </c>
      <c r="D849" s="226" t="s">
        <v>90</v>
      </c>
      <c r="E849" s="226" t="s">
        <v>664</v>
      </c>
      <c r="F849" s="226">
        <v>2.7729720930969562E-3</v>
      </c>
      <c r="G849" s="226">
        <v>0</v>
      </c>
    </row>
    <row r="850" spans="1:7">
      <c r="A850" s="226" t="s">
        <v>96</v>
      </c>
      <c r="B850" s="226" t="s">
        <v>1235</v>
      </c>
      <c r="C850" s="226" t="s">
        <v>630</v>
      </c>
      <c r="D850" s="226" t="s">
        <v>90</v>
      </c>
      <c r="E850" s="226" t="s">
        <v>665</v>
      </c>
      <c r="F850" s="226">
        <v>2.7729720930969562E-3</v>
      </c>
      <c r="G850" s="226">
        <v>0</v>
      </c>
    </row>
    <row r="851" spans="1:7">
      <c r="A851" s="226" t="s">
        <v>96</v>
      </c>
      <c r="B851" s="226" t="s">
        <v>1235</v>
      </c>
      <c r="C851" s="226" t="s">
        <v>630</v>
      </c>
      <c r="D851" s="226" t="s">
        <v>90</v>
      </c>
      <c r="E851" s="226" t="s">
        <v>666</v>
      </c>
      <c r="F851" s="226">
        <v>2.7729720930969562E-3</v>
      </c>
      <c r="G851" s="226">
        <v>0</v>
      </c>
    </row>
    <row r="852" spans="1:7">
      <c r="A852" s="226" t="s">
        <v>96</v>
      </c>
      <c r="B852" s="226" t="s">
        <v>1235</v>
      </c>
      <c r="C852" s="226" t="s">
        <v>630</v>
      </c>
      <c r="D852" s="226" t="s">
        <v>90</v>
      </c>
      <c r="E852" s="226" t="s">
        <v>667</v>
      </c>
      <c r="F852" s="226">
        <v>2.7729720930969562E-3</v>
      </c>
      <c r="G852" s="226">
        <v>0</v>
      </c>
    </row>
    <row r="853" spans="1:7">
      <c r="A853" s="226" t="s">
        <v>96</v>
      </c>
      <c r="B853" s="226" t="s">
        <v>1235</v>
      </c>
      <c r="C853" s="226" t="s">
        <v>630</v>
      </c>
      <c r="D853" s="226" t="s">
        <v>29</v>
      </c>
      <c r="E853" s="226" t="s">
        <v>661</v>
      </c>
      <c r="F853" s="226">
        <v>1.7718211296151979E-3</v>
      </c>
      <c r="G853" s="226">
        <v>0</v>
      </c>
    </row>
    <row r="854" spans="1:7">
      <c r="A854" s="226" t="s">
        <v>96</v>
      </c>
      <c r="B854" s="226" t="s">
        <v>1235</v>
      </c>
      <c r="C854" s="226" t="s">
        <v>630</v>
      </c>
      <c r="D854" s="226" t="s">
        <v>29</v>
      </c>
      <c r="E854" s="226" t="s">
        <v>662</v>
      </c>
      <c r="F854" s="226">
        <v>2.4805495814612774E-3</v>
      </c>
      <c r="G854" s="226">
        <v>0</v>
      </c>
    </row>
    <row r="855" spans="1:7">
      <c r="A855" s="226" t="s">
        <v>96</v>
      </c>
      <c r="B855" s="226" t="s">
        <v>1235</v>
      </c>
      <c r="C855" s="226" t="s">
        <v>630</v>
      </c>
      <c r="D855" s="226" t="s">
        <v>29</v>
      </c>
      <c r="E855" s="226" t="s">
        <v>663</v>
      </c>
      <c r="F855" s="226">
        <v>2.4805495814612774E-3</v>
      </c>
      <c r="G855" s="226">
        <v>0</v>
      </c>
    </row>
    <row r="856" spans="1:7">
      <c r="A856" s="226" t="s">
        <v>96</v>
      </c>
      <c r="B856" s="226" t="s">
        <v>1235</v>
      </c>
      <c r="C856" s="226" t="s">
        <v>630</v>
      </c>
      <c r="D856" s="226" t="s">
        <v>29</v>
      </c>
      <c r="E856" s="226" t="s">
        <v>664</v>
      </c>
      <c r="F856" s="226">
        <v>2.4805495814612774E-3</v>
      </c>
      <c r="G856" s="226">
        <v>0</v>
      </c>
    </row>
    <row r="857" spans="1:7">
      <c r="A857" s="226" t="s">
        <v>96</v>
      </c>
      <c r="B857" s="226" t="s">
        <v>1235</v>
      </c>
      <c r="C857" s="226" t="s">
        <v>630</v>
      </c>
      <c r="D857" s="226" t="s">
        <v>29</v>
      </c>
      <c r="E857" s="226" t="s">
        <v>665</v>
      </c>
      <c r="F857" s="226">
        <v>2.4805495814612774E-3</v>
      </c>
      <c r="G857" s="226">
        <v>0</v>
      </c>
    </row>
    <row r="858" spans="1:7">
      <c r="A858" s="226" t="s">
        <v>96</v>
      </c>
      <c r="B858" s="226" t="s">
        <v>1235</v>
      </c>
      <c r="C858" s="226" t="s">
        <v>630</v>
      </c>
      <c r="D858" s="226" t="s">
        <v>29</v>
      </c>
      <c r="E858" s="226" t="s">
        <v>666</v>
      </c>
      <c r="F858" s="226">
        <v>2.4805495814612774E-3</v>
      </c>
      <c r="G858" s="226">
        <v>0</v>
      </c>
    </row>
    <row r="859" spans="1:7">
      <c r="A859" s="226" t="s">
        <v>96</v>
      </c>
      <c r="B859" s="226" t="s">
        <v>1235</v>
      </c>
      <c r="C859" s="226" t="s">
        <v>630</v>
      </c>
      <c r="D859" s="226" t="s">
        <v>29</v>
      </c>
      <c r="E859" s="226" t="s">
        <v>667</v>
      </c>
      <c r="F859" s="226">
        <v>2.4805495814612774E-3</v>
      </c>
      <c r="G859" s="226">
        <v>0</v>
      </c>
    </row>
    <row r="860" spans="1:7">
      <c r="A860" s="226" t="s">
        <v>96</v>
      </c>
      <c r="B860" s="226" t="s">
        <v>1235</v>
      </c>
      <c r="C860" s="226" t="s">
        <v>963</v>
      </c>
      <c r="D860" s="226" t="s">
        <v>19</v>
      </c>
      <c r="E860" s="226" t="s">
        <v>618</v>
      </c>
      <c r="F860" s="226">
        <v>0</v>
      </c>
      <c r="G860" s="226">
        <v>0</v>
      </c>
    </row>
    <row r="861" spans="1:7">
      <c r="A861" s="226" t="s">
        <v>96</v>
      </c>
      <c r="B861" s="226" t="s">
        <v>1235</v>
      </c>
      <c r="C861" s="226" t="s">
        <v>963</v>
      </c>
      <c r="D861" s="226" t="s">
        <v>19</v>
      </c>
      <c r="E861" s="226" t="s">
        <v>619</v>
      </c>
      <c r="F861" s="226">
        <v>0</v>
      </c>
      <c r="G861" s="226">
        <v>0</v>
      </c>
    </row>
    <row r="862" spans="1:7">
      <c r="A862" s="226" t="s">
        <v>96</v>
      </c>
      <c r="B862" s="226" t="s">
        <v>1235</v>
      </c>
      <c r="C862" s="226" t="s">
        <v>963</v>
      </c>
      <c r="D862" s="226" t="s">
        <v>19</v>
      </c>
      <c r="E862" s="226" t="s">
        <v>620</v>
      </c>
      <c r="F862" s="226">
        <v>0</v>
      </c>
      <c r="G862" s="226">
        <v>0</v>
      </c>
    </row>
    <row r="863" spans="1:7">
      <c r="A863" s="226" t="s">
        <v>96</v>
      </c>
      <c r="B863" s="226" t="s">
        <v>1235</v>
      </c>
      <c r="C863" s="226" t="s">
        <v>963</v>
      </c>
      <c r="D863" s="226" t="s">
        <v>19</v>
      </c>
      <c r="E863" s="226" t="s">
        <v>660</v>
      </c>
      <c r="F863" s="226">
        <v>1.5773529568525541E-2</v>
      </c>
      <c r="G863" s="226">
        <v>0</v>
      </c>
    </row>
    <row r="864" spans="1:7">
      <c r="A864" s="226" t="s">
        <v>96</v>
      </c>
      <c r="B864" s="226" t="s">
        <v>1235</v>
      </c>
      <c r="C864" s="226" t="s">
        <v>963</v>
      </c>
      <c r="D864" s="226" t="s">
        <v>19</v>
      </c>
      <c r="E864" s="226" t="s">
        <v>661</v>
      </c>
      <c r="F864" s="226">
        <v>2.628921594754257E-2</v>
      </c>
      <c r="G864" s="226">
        <v>0</v>
      </c>
    </row>
    <row r="865" spans="1:7">
      <c r="A865" s="226" t="s">
        <v>96</v>
      </c>
      <c r="B865" s="226" t="s">
        <v>1235</v>
      </c>
      <c r="C865" s="226" t="s">
        <v>963</v>
      </c>
      <c r="D865" s="226" t="s">
        <v>19</v>
      </c>
      <c r="E865" s="226" t="s">
        <v>662</v>
      </c>
      <c r="F865" s="226">
        <v>3.6804902326559599E-2</v>
      </c>
      <c r="G865" s="226">
        <v>0</v>
      </c>
    </row>
    <row r="866" spans="1:7">
      <c r="A866" s="226" t="s">
        <v>96</v>
      </c>
      <c r="B866" s="226" t="s">
        <v>1235</v>
      </c>
      <c r="C866" s="226" t="s">
        <v>963</v>
      </c>
      <c r="D866" s="226" t="s">
        <v>19</v>
      </c>
      <c r="E866" s="226" t="s">
        <v>663</v>
      </c>
      <c r="F866" s="226">
        <v>3.6804902326559599E-2</v>
      </c>
      <c r="G866" s="226">
        <v>0</v>
      </c>
    </row>
    <row r="867" spans="1:7">
      <c r="A867" s="226" t="s">
        <v>96</v>
      </c>
      <c r="B867" s="226" t="s">
        <v>1235</v>
      </c>
      <c r="C867" s="226" t="s">
        <v>963</v>
      </c>
      <c r="D867" s="226" t="s">
        <v>19</v>
      </c>
      <c r="E867" s="226" t="s">
        <v>664</v>
      </c>
      <c r="F867" s="226">
        <v>3.6804902326559599E-2</v>
      </c>
      <c r="G867" s="226">
        <v>0</v>
      </c>
    </row>
    <row r="868" spans="1:7">
      <c r="A868" s="226" t="s">
        <v>96</v>
      </c>
      <c r="B868" s="226" t="s">
        <v>1235</v>
      </c>
      <c r="C868" s="226" t="s">
        <v>963</v>
      </c>
      <c r="D868" s="226" t="s">
        <v>19</v>
      </c>
      <c r="E868" s="226" t="s">
        <v>665</v>
      </c>
      <c r="F868" s="226">
        <v>3.6804902326559599E-2</v>
      </c>
      <c r="G868" s="226">
        <v>0</v>
      </c>
    </row>
    <row r="869" spans="1:7">
      <c r="A869" s="226" t="s">
        <v>96</v>
      </c>
      <c r="B869" s="226" t="s">
        <v>1235</v>
      </c>
      <c r="C869" s="226" t="s">
        <v>963</v>
      </c>
      <c r="D869" s="226" t="s">
        <v>19</v>
      </c>
      <c r="E869" s="226" t="s">
        <v>666</v>
      </c>
      <c r="F869" s="226">
        <v>3.6804902326559599E-2</v>
      </c>
      <c r="G869" s="226">
        <v>0</v>
      </c>
    </row>
    <row r="870" spans="1:7">
      <c r="A870" s="226" t="s">
        <v>96</v>
      </c>
      <c r="B870" s="226" t="s">
        <v>1235</v>
      </c>
      <c r="C870" s="226" t="s">
        <v>963</v>
      </c>
      <c r="D870" s="226" t="s">
        <v>19</v>
      </c>
      <c r="E870" s="226" t="s">
        <v>667</v>
      </c>
      <c r="F870" s="226">
        <v>3.6804902326559599E-2</v>
      </c>
      <c r="G870" s="226">
        <v>0</v>
      </c>
    </row>
    <row r="871" spans="1:7">
      <c r="A871" s="226" t="s">
        <v>96</v>
      </c>
      <c r="B871" s="226" t="s">
        <v>1235</v>
      </c>
      <c r="C871" s="226" t="s">
        <v>626</v>
      </c>
      <c r="D871" s="226" t="s">
        <v>18</v>
      </c>
      <c r="E871" s="226" t="s">
        <v>618</v>
      </c>
      <c r="F871" s="226">
        <v>0</v>
      </c>
      <c r="G871" s="226">
        <v>0</v>
      </c>
    </row>
    <row r="872" spans="1:7">
      <c r="A872" s="226" t="s">
        <v>96</v>
      </c>
      <c r="B872" s="226" t="s">
        <v>1235</v>
      </c>
      <c r="C872" s="226" t="s">
        <v>626</v>
      </c>
      <c r="D872" s="226" t="s">
        <v>18</v>
      </c>
      <c r="E872" s="226" t="s">
        <v>619</v>
      </c>
      <c r="F872" s="226">
        <v>0</v>
      </c>
      <c r="G872" s="226">
        <v>0</v>
      </c>
    </row>
    <row r="873" spans="1:7">
      <c r="A873" s="226" t="s">
        <v>96</v>
      </c>
      <c r="B873" s="226" t="s">
        <v>1235</v>
      </c>
      <c r="C873" s="226" t="s">
        <v>626</v>
      </c>
      <c r="D873" s="226" t="s">
        <v>18</v>
      </c>
      <c r="E873" s="226" t="s">
        <v>620</v>
      </c>
      <c r="F873" s="226">
        <v>0</v>
      </c>
      <c r="G873" s="226">
        <v>0</v>
      </c>
    </row>
    <row r="874" spans="1:7">
      <c r="A874" s="226" t="s">
        <v>96</v>
      </c>
      <c r="B874" s="226" t="s">
        <v>1235</v>
      </c>
      <c r="C874" s="226" t="s">
        <v>626</v>
      </c>
      <c r="D874" s="226" t="s">
        <v>18</v>
      </c>
      <c r="E874" s="226" t="s">
        <v>660</v>
      </c>
      <c r="F874" s="226">
        <v>1.5038872026977778E-3</v>
      </c>
      <c r="G874" s="226">
        <v>0</v>
      </c>
    </row>
    <row r="875" spans="1:7">
      <c r="A875" s="226" t="s">
        <v>96</v>
      </c>
      <c r="B875" s="226" t="s">
        <v>1235</v>
      </c>
      <c r="C875" s="226" t="s">
        <v>626</v>
      </c>
      <c r="D875" s="226" t="s">
        <v>18</v>
      </c>
      <c r="E875" s="226" t="s">
        <v>661</v>
      </c>
      <c r="F875" s="226">
        <v>2.5064786711629628E-3</v>
      </c>
      <c r="G875" s="226">
        <v>0</v>
      </c>
    </row>
    <row r="876" spans="1:7">
      <c r="A876" s="226" t="s">
        <v>96</v>
      </c>
      <c r="B876" s="226" t="s">
        <v>1235</v>
      </c>
      <c r="C876" s="226" t="s">
        <v>626</v>
      </c>
      <c r="D876" s="226" t="s">
        <v>18</v>
      </c>
      <c r="E876" s="226" t="s">
        <v>662</v>
      </c>
      <c r="F876" s="226">
        <v>3.509070139628148E-3</v>
      </c>
      <c r="G876" s="226">
        <v>0</v>
      </c>
    </row>
    <row r="877" spans="1:7">
      <c r="A877" s="226" t="s">
        <v>96</v>
      </c>
      <c r="B877" s="226" t="s">
        <v>1235</v>
      </c>
      <c r="C877" s="226" t="s">
        <v>626</v>
      </c>
      <c r="D877" s="226" t="s">
        <v>18</v>
      </c>
      <c r="E877" s="226" t="s">
        <v>663</v>
      </c>
      <c r="F877" s="226">
        <v>3.509070139628148E-3</v>
      </c>
      <c r="G877" s="226">
        <v>0</v>
      </c>
    </row>
    <row r="878" spans="1:7">
      <c r="A878" s="226" t="s">
        <v>96</v>
      </c>
      <c r="B878" s="226" t="s">
        <v>1235</v>
      </c>
      <c r="C878" s="226" t="s">
        <v>626</v>
      </c>
      <c r="D878" s="226" t="s">
        <v>18</v>
      </c>
      <c r="E878" s="226" t="s">
        <v>664</v>
      </c>
      <c r="F878" s="226">
        <v>3.509070139628148E-3</v>
      </c>
      <c r="G878" s="226">
        <v>0</v>
      </c>
    </row>
    <row r="879" spans="1:7">
      <c r="A879" s="226" t="s">
        <v>96</v>
      </c>
      <c r="B879" s="226" t="s">
        <v>1235</v>
      </c>
      <c r="C879" s="226" t="s">
        <v>626</v>
      </c>
      <c r="D879" s="226" t="s">
        <v>18</v>
      </c>
      <c r="E879" s="226" t="s">
        <v>665</v>
      </c>
      <c r="F879" s="226">
        <v>3.509070139628148E-3</v>
      </c>
      <c r="G879" s="226">
        <v>0</v>
      </c>
    </row>
    <row r="880" spans="1:7">
      <c r="A880" s="226" t="s">
        <v>96</v>
      </c>
      <c r="B880" s="226" t="s">
        <v>1235</v>
      </c>
      <c r="C880" s="226" t="s">
        <v>626</v>
      </c>
      <c r="D880" s="226" t="s">
        <v>18</v>
      </c>
      <c r="E880" s="226" t="s">
        <v>666</v>
      </c>
      <c r="F880" s="226">
        <v>3.509070139628148E-3</v>
      </c>
      <c r="G880" s="226">
        <v>0</v>
      </c>
    </row>
    <row r="881" spans="1:7">
      <c r="A881" s="226" t="s">
        <v>96</v>
      </c>
      <c r="B881" s="226" t="s">
        <v>1235</v>
      </c>
      <c r="C881" s="226" t="s">
        <v>626</v>
      </c>
      <c r="D881" s="226" t="s">
        <v>18</v>
      </c>
      <c r="E881" s="226" t="s">
        <v>667</v>
      </c>
      <c r="F881" s="226">
        <v>3.509070139628148E-3</v>
      </c>
      <c r="G881" s="226">
        <v>0</v>
      </c>
    </row>
    <row r="882" spans="1:7">
      <c r="A882" s="226" t="s">
        <v>96</v>
      </c>
      <c r="B882" s="226" t="s">
        <v>1235</v>
      </c>
      <c r="C882" s="226" t="s">
        <v>626</v>
      </c>
      <c r="D882" s="226" t="s">
        <v>91</v>
      </c>
      <c r="E882" s="226" t="s">
        <v>618</v>
      </c>
      <c r="F882" s="226">
        <v>0</v>
      </c>
      <c r="G882" s="226">
        <v>0</v>
      </c>
    </row>
    <row r="883" spans="1:7">
      <c r="A883" s="226" t="s">
        <v>96</v>
      </c>
      <c r="B883" s="226" t="s">
        <v>1235</v>
      </c>
      <c r="C883" s="226" t="s">
        <v>626</v>
      </c>
      <c r="D883" s="226" t="s">
        <v>91</v>
      </c>
      <c r="E883" s="226" t="s">
        <v>619</v>
      </c>
      <c r="F883" s="226">
        <v>0</v>
      </c>
      <c r="G883" s="226">
        <v>0</v>
      </c>
    </row>
    <row r="884" spans="1:7">
      <c r="A884" s="226" t="s">
        <v>96</v>
      </c>
      <c r="B884" s="226" t="s">
        <v>1235</v>
      </c>
      <c r="C884" s="226" t="s">
        <v>626</v>
      </c>
      <c r="D884" s="226" t="s">
        <v>91</v>
      </c>
      <c r="E884" s="226" t="s">
        <v>620</v>
      </c>
      <c r="F884" s="226">
        <v>0</v>
      </c>
      <c r="G884" s="226">
        <v>0</v>
      </c>
    </row>
    <row r="885" spans="1:7">
      <c r="A885" s="226" t="s">
        <v>96</v>
      </c>
      <c r="B885" s="226" t="s">
        <v>1235</v>
      </c>
      <c r="C885" s="226" t="s">
        <v>626</v>
      </c>
      <c r="D885" s="226" t="s">
        <v>91</v>
      </c>
      <c r="E885" s="226" t="s">
        <v>660</v>
      </c>
      <c r="F885" s="226">
        <v>3.4572119602247763E-5</v>
      </c>
      <c r="G885" s="226">
        <v>0</v>
      </c>
    </row>
    <row r="886" spans="1:7">
      <c r="A886" s="226" t="s">
        <v>96</v>
      </c>
      <c r="B886" s="226" t="s">
        <v>1235</v>
      </c>
      <c r="C886" s="226" t="s">
        <v>626</v>
      </c>
      <c r="D886" s="226" t="s">
        <v>91</v>
      </c>
      <c r="E886" s="226" t="s">
        <v>661</v>
      </c>
      <c r="F886" s="226">
        <v>5.7620199337079606E-5</v>
      </c>
      <c r="G886" s="226">
        <v>0</v>
      </c>
    </row>
    <row r="887" spans="1:7">
      <c r="A887" s="226" t="s">
        <v>96</v>
      </c>
      <c r="B887" s="226" t="s">
        <v>1235</v>
      </c>
      <c r="C887" s="226" t="s">
        <v>626</v>
      </c>
      <c r="D887" s="226" t="s">
        <v>91</v>
      </c>
      <c r="E887" s="226" t="s">
        <v>662</v>
      </c>
      <c r="F887" s="226">
        <v>8.0668279071911448E-5</v>
      </c>
      <c r="G887" s="226">
        <v>0</v>
      </c>
    </row>
    <row r="888" spans="1:7">
      <c r="A888" s="226" t="s">
        <v>96</v>
      </c>
      <c r="B888" s="226" t="s">
        <v>1235</v>
      </c>
      <c r="C888" s="226" t="s">
        <v>626</v>
      </c>
      <c r="D888" s="226" t="s">
        <v>91</v>
      </c>
      <c r="E888" s="226" t="s">
        <v>663</v>
      </c>
      <c r="F888" s="226">
        <v>8.0668279071911448E-5</v>
      </c>
      <c r="G888" s="226">
        <v>0</v>
      </c>
    </row>
    <row r="889" spans="1:7">
      <c r="A889" s="226" t="s">
        <v>96</v>
      </c>
      <c r="B889" s="226" t="s">
        <v>1235</v>
      </c>
      <c r="C889" s="226" t="s">
        <v>626</v>
      </c>
      <c r="D889" s="226" t="s">
        <v>91</v>
      </c>
      <c r="E889" s="226" t="s">
        <v>664</v>
      </c>
      <c r="F889" s="226">
        <v>8.0668279071911448E-5</v>
      </c>
      <c r="G889" s="226">
        <v>0</v>
      </c>
    </row>
    <row r="890" spans="1:7">
      <c r="A890" s="226" t="s">
        <v>96</v>
      </c>
      <c r="B890" s="226" t="s">
        <v>1235</v>
      </c>
      <c r="C890" s="226" t="s">
        <v>626</v>
      </c>
      <c r="D890" s="226" t="s">
        <v>91</v>
      </c>
      <c r="E890" s="226" t="s">
        <v>665</v>
      </c>
      <c r="F890" s="226">
        <v>8.0668279071911448E-5</v>
      </c>
      <c r="G890" s="226">
        <v>0</v>
      </c>
    </row>
    <row r="891" spans="1:7">
      <c r="A891" s="226" t="s">
        <v>96</v>
      </c>
      <c r="B891" s="226" t="s">
        <v>1235</v>
      </c>
      <c r="C891" s="226" t="s">
        <v>626</v>
      </c>
      <c r="D891" s="226" t="s">
        <v>91</v>
      </c>
      <c r="E891" s="226" t="s">
        <v>666</v>
      </c>
      <c r="F891" s="226">
        <v>8.0668279071911448E-5</v>
      </c>
      <c r="G891" s="226">
        <v>0</v>
      </c>
    </row>
    <row r="892" spans="1:7">
      <c r="A892" s="226" t="s">
        <v>96</v>
      </c>
      <c r="B892" s="226" t="s">
        <v>1235</v>
      </c>
      <c r="C892" s="226" t="s">
        <v>626</v>
      </c>
      <c r="D892" s="226" t="s">
        <v>91</v>
      </c>
      <c r="E892" s="226" t="s">
        <v>667</v>
      </c>
      <c r="F892" s="226">
        <v>8.0668279071911448E-5</v>
      </c>
      <c r="G892" s="226">
        <v>0</v>
      </c>
    </row>
    <row r="893" spans="1:7">
      <c r="A893" s="226" t="s">
        <v>96</v>
      </c>
      <c r="B893" s="226" t="s">
        <v>1235</v>
      </c>
      <c r="C893" s="226" t="s">
        <v>626</v>
      </c>
      <c r="D893" s="226" t="s">
        <v>8</v>
      </c>
      <c r="E893" s="226" t="s">
        <v>618</v>
      </c>
      <c r="F893" s="226">
        <v>0.92991554533521881</v>
      </c>
      <c r="G893" s="226">
        <v>0.76489999999999969</v>
      </c>
    </row>
    <row r="894" spans="1:7">
      <c r="A894" s="226" t="s">
        <v>96</v>
      </c>
      <c r="B894" s="226" t="s">
        <v>1235</v>
      </c>
      <c r="C894" s="226" t="s">
        <v>626</v>
      </c>
      <c r="D894" s="226" t="s">
        <v>8</v>
      </c>
      <c r="E894" s="226" t="s">
        <v>619</v>
      </c>
      <c r="F894" s="226">
        <v>2.4209656430366606</v>
      </c>
      <c r="G894" s="226">
        <v>1.9913599999999998</v>
      </c>
    </row>
    <row r="895" spans="1:7">
      <c r="A895" s="226" t="s">
        <v>96</v>
      </c>
      <c r="B895" s="226" t="s">
        <v>1235</v>
      </c>
      <c r="C895" s="226" t="s">
        <v>626</v>
      </c>
      <c r="D895" s="226" t="s">
        <v>8</v>
      </c>
      <c r="E895" s="226" t="s">
        <v>620</v>
      </c>
      <c r="F895" s="226">
        <v>2.0979813798268196</v>
      </c>
      <c r="G895" s="226">
        <v>1.7256899999999999</v>
      </c>
    </row>
    <row r="896" spans="1:7">
      <c r="A896" s="226" t="s">
        <v>96</v>
      </c>
      <c r="B896" s="226" t="s">
        <v>1235</v>
      </c>
      <c r="C896" s="226" t="s">
        <v>626</v>
      </c>
      <c r="D896" s="226" t="s">
        <v>8</v>
      </c>
      <c r="E896" s="226" t="s">
        <v>660</v>
      </c>
      <c r="F896" s="226">
        <v>2.4219499999999998</v>
      </c>
      <c r="G896" s="226">
        <v>2.4219499999999998</v>
      </c>
    </row>
    <row r="897" spans="1:7">
      <c r="A897" s="226" t="s">
        <v>96</v>
      </c>
      <c r="B897" s="226" t="s">
        <v>1235</v>
      </c>
      <c r="C897" s="226" t="s">
        <v>626</v>
      </c>
      <c r="D897" s="226" t="s">
        <v>8</v>
      </c>
      <c r="E897" s="226" t="s">
        <v>661</v>
      </c>
      <c r="F897" s="226">
        <v>1.0267919521867586</v>
      </c>
      <c r="G897" s="226">
        <v>0</v>
      </c>
    </row>
    <row r="898" spans="1:7">
      <c r="A898" s="226" t="s">
        <v>96</v>
      </c>
      <c r="B898" s="226" t="s">
        <v>1235</v>
      </c>
      <c r="C898" s="226" t="s">
        <v>626</v>
      </c>
      <c r="D898" s="226" t="s">
        <v>8</v>
      </c>
      <c r="E898" s="226" t="s">
        <v>662</v>
      </c>
      <c r="F898" s="226">
        <v>1.437508733061462</v>
      </c>
      <c r="G898" s="226">
        <v>0</v>
      </c>
    </row>
    <row r="899" spans="1:7">
      <c r="A899" s="226" t="s">
        <v>96</v>
      </c>
      <c r="B899" s="226" t="s">
        <v>1235</v>
      </c>
      <c r="C899" s="226" t="s">
        <v>626</v>
      </c>
      <c r="D899" s="226" t="s">
        <v>8</v>
      </c>
      <c r="E899" s="226" t="s">
        <v>663</v>
      </c>
      <c r="F899" s="226">
        <v>1.437508733061462</v>
      </c>
      <c r="G899" s="226">
        <v>0</v>
      </c>
    </row>
    <row r="900" spans="1:7">
      <c r="A900" s="226" t="s">
        <v>96</v>
      </c>
      <c r="B900" s="226" t="s">
        <v>1235</v>
      </c>
      <c r="C900" s="226" t="s">
        <v>626</v>
      </c>
      <c r="D900" s="226" t="s">
        <v>8</v>
      </c>
      <c r="E900" s="226" t="s">
        <v>664</v>
      </c>
      <c r="F900" s="226">
        <v>1.437508733061462</v>
      </c>
      <c r="G900" s="226">
        <v>0</v>
      </c>
    </row>
    <row r="901" spans="1:7">
      <c r="A901" s="226" t="s">
        <v>96</v>
      </c>
      <c r="B901" s="226" t="s">
        <v>1235</v>
      </c>
      <c r="C901" s="226" t="s">
        <v>626</v>
      </c>
      <c r="D901" s="226" t="s">
        <v>8</v>
      </c>
      <c r="E901" s="226" t="s">
        <v>665</v>
      </c>
      <c r="F901" s="226">
        <v>1.437508733061462</v>
      </c>
      <c r="G901" s="226">
        <v>0</v>
      </c>
    </row>
    <row r="902" spans="1:7">
      <c r="A902" s="226" t="s">
        <v>96</v>
      </c>
      <c r="B902" s="226" t="s">
        <v>1235</v>
      </c>
      <c r="C902" s="226" t="s">
        <v>626</v>
      </c>
      <c r="D902" s="226" t="s">
        <v>8</v>
      </c>
      <c r="E902" s="226" t="s">
        <v>666</v>
      </c>
      <c r="F902" s="226">
        <v>1.437508733061462</v>
      </c>
      <c r="G902" s="226">
        <v>0</v>
      </c>
    </row>
    <row r="903" spans="1:7">
      <c r="A903" s="226" t="s">
        <v>96</v>
      </c>
      <c r="B903" s="226" t="s">
        <v>1235</v>
      </c>
      <c r="C903" s="226" t="s">
        <v>626</v>
      </c>
      <c r="D903" s="226" t="s">
        <v>8</v>
      </c>
      <c r="E903" s="226" t="s">
        <v>667</v>
      </c>
      <c r="F903" s="226">
        <v>1.437508733061462</v>
      </c>
      <c r="G903" s="226">
        <v>0</v>
      </c>
    </row>
    <row r="904" spans="1:7">
      <c r="A904" s="226" t="s">
        <v>96</v>
      </c>
      <c r="B904" s="226" t="s">
        <v>1235</v>
      </c>
      <c r="C904" s="226" t="s">
        <v>625</v>
      </c>
      <c r="D904" s="226" t="s">
        <v>5</v>
      </c>
      <c r="E904" s="226" t="s">
        <v>618</v>
      </c>
      <c r="F904" s="226">
        <v>0</v>
      </c>
      <c r="G904" s="226">
        <v>0</v>
      </c>
    </row>
    <row r="905" spans="1:7">
      <c r="A905" s="226" t="s">
        <v>96</v>
      </c>
      <c r="B905" s="226" t="s">
        <v>1235</v>
      </c>
      <c r="C905" s="226" t="s">
        <v>625</v>
      </c>
      <c r="D905" s="226" t="s">
        <v>5</v>
      </c>
      <c r="E905" s="226" t="s">
        <v>619</v>
      </c>
      <c r="F905" s="226">
        <v>0</v>
      </c>
      <c r="G905" s="226">
        <v>0</v>
      </c>
    </row>
    <row r="906" spans="1:7">
      <c r="A906" s="226" t="s">
        <v>96</v>
      </c>
      <c r="B906" s="226" t="s">
        <v>1235</v>
      </c>
      <c r="C906" s="226" t="s">
        <v>625</v>
      </c>
      <c r="D906" s="226" t="s">
        <v>5</v>
      </c>
      <c r="E906" s="226" t="s">
        <v>620</v>
      </c>
      <c r="F906" s="226">
        <v>0</v>
      </c>
      <c r="G906" s="226">
        <v>0</v>
      </c>
    </row>
    <row r="907" spans="1:7">
      <c r="A907" s="226" t="s">
        <v>96</v>
      </c>
      <c r="B907" s="226" t="s">
        <v>1235</v>
      </c>
      <c r="C907" s="226" t="s">
        <v>625</v>
      </c>
      <c r="D907" s="226" t="s">
        <v>5</v>
      </c>
      <c r="E907" s="226" t="s">
        <v>660</v>
      </c>
      <c r="F907" s="226">
        <v>1.8107147641677267E-3</v>
      </c>
      <c r="G907" s="226">
        <v>0</v>
      </c>
    </row>
    <row r="908" spans="1:7">
      <c r="A908" s="226" t="s">
        <v>96</v>
      </c>
      <c r="B908" s="226" t="s">
        <v>1235</v>
      </c>
      <c r="C908" s="226" t="s">
        <v>625</v>
      </c>
      <c r="D908" s="226" t="s">
        <v>5</v>
      </c>
      <c r="E908" s="226" t="s">
        <v>661</v>
      </c>
      <c r="F908" s="226">
        <v>3.0178579402795444E-3</v>
      </c>
      <c r="G908" s="226">
        <v>0</v>
      </c>
    </row>
    <row r="909" spans="1:7">
      <c r="A909" s="226" t="s">
        <v>96</v>
      </c>
      <c r="B909" s="226" t="s">
        <v>1235</v>
      </c>
      <c r="C909" s="226" t="s">
        <v>625</v>
      </c>
      <c r="D909" s="226" t="s">
        <v>5</v>
      </c>
      <c r="E909" s="226" t="s">
        <v>662</v>
      </c>
      <c r="F909" s="226">
        <v>4.2250011163913618E-3</v>
      </c>
      <c r="G909" s="226">
        <v>0</v>
      </c>
    </row>
    <row r="910" spans="1:7">
      <c r="A910" s="226" t="s">
        <v>96</v>
      </c>
      <c r="B910" s="226" t="s">
        <v>1235</v>
      </c>
      <c r="C910" s="226" t="s">
        <v>625</v>
      </c>
      <c r="D910" s="226" t="s">
        <v>5</v>
      </c>
      <c r="E910" s="226" t="s">
        <v>663</v>
      </c>
      <c r="F910" s="226">
        <v>4.2250011163913618E-3</v>
      </c>
      <c r="G910" s="226">
        <v>0</v>
      </c>
    </row>
    <row r="911" spans="1:7">
      <c r="A911" s="226" t="s">
        <v>96</v>
      </c>
      <c r="B911" s="226" t="s">
        <v>1235</v>
      </c>
      <c r="C911" s="226" t="s">
        <v>625</v>
      </c>
      <c r="D911" s="226" t="s">
        <v>5</v>
      </c>
      <c r="E911" s="226" t="s">
        <v>664</v>
      </c>
      <c r="F911" s="226">
        <v>4.2250011163913618E-3</v>
      </c>
      <c r="G911" s="226">
        <v>0</v>
      </c>
    </row>
    <row r="912" spans="1:7">
      <c r="A912" s="226" t="s">
        <v>96</v>
      </c>
      <c r="B912" s="226" t="s">
        <v>1235</v>
      </c>
      <c r="C912" s="226" t="s">
        <v>625</v>
      </c>
      <c r="D912" s="226" t="s">
        <v>5</v>
      </c>
      <c r="E912" s="226" t="s">
        <v>665</v>
      </c>
      <c r="F912" s="226">
        <v>4.2250011163913618E-3</v>
      </c>
      <c r="G912" s="226">
        <v>0</v>
      </c>
    </row>
    <row r="913" spans="1:7">
      <c r="A913" s="226" t="s">
        <v>96</v>
      </c>
      <c r="B913" s="226" t="s">
        <v>1235</v>
      </c>
      <c r="C913" s="226" t="s">
        <v>625</v>
      </c>
      <c r="D913" s="226" t="s">
        <v>5</v>
      </c>
      <c r="E913" s="226" t="s">
        <v>666</v>
      </c>
      <c r="F913" s="226">
        <v>4.2250011163913618E-3</v>
      </c>
      <c r="G913" s="226">
        <v>0</v>
      </c>
    </row>
    <row r="914" spans="1:7">
      <c r="A914" s="226" t="s">
        <v>96</v>
      </c>
      <c r="B914" s="226" t="s">
        <v>1235</v>
      </c>
      <c r="C914" s="226" t="s">
        <v>625</v>
      </c>
      <c r="D914" s="226" t="s">
        <v>5</v>
      </c>
      <c r="E914" s="226" t="s">
        <v>667</v>
      </c>
      <c r="F914" s="226">
        <v>4.2250011163913618E-3</v>
      </c>
      <c r="G914" s="226">
        <v>0</v>
      </c>
    </row>
    <row r="915" spans="1:7">
      <c r="A915" s="226" t="s">
        <v>96</v>
      </c>
      <c r="B915" s="226" t="s">
        <v>1235</v>
      </c>
      <c r="C915" s="226" t="s">
        <v>625</v>
      </c>
      <c r="D915" s="226" t="s">
        <v>88</v>
      </c>
      <c r="E915" s="226" t="s">
        <v>618</v>
      </c>
      <c r="F915" s="226">
        <v>0</v>
      </c>
      <c r="G915" s="226">
        <v>0</v>
      </c>
    </row>
    <row r="916" spans="1:7">
      <c r="A916" s="226" t="s">
        <v>96</v>
      </c>
      <c r="B916" s="226" t="s">
        <v>1235</v>
      </c>
      <c r="C916" s="226" t="s">
        <v>625</v>
      </c>
      <c r="D916" s="226" t="s">
        <v>88</v>
      </c>
      <c r="E916" s="226" t="s">
        <v>619</v>
      </c>
      <c r="F916" s="226">
        <v>0</v>
      </c>
      <c r="G916" s="226">
        <v>0</v>
      </c>
    </row>
    <row r="917" spans="1:7">
      <c r="A917" s="226" t="s">
        <v>96</v>
      </c>
      <c r="B917" s="226" t="s">
        <v>1235</v>
      </c>
      <c r="C917" s="226" t="s">
        <v>625</v>
      </c>
      <c r="D917" s="226" t="s">
        <v>88</v>
      </c>
      <c r="E917" s="226" t="s">
        <v>620</v>
      </c>
      <c r="F917" s="226">
        <v>0</v>
      </c>
      <c r="G917" s="226">
        <v>0</v>
      </c>
    </row>
    <row r="918" spans="1:7">
      <c r="A918" s="226" t="s">
        <v>96</v>
      </c>
      <c r="B918" s="226" t="s">
        <v>1235</v>
      </c>
      <c r="C918" s="226" t="s">
        <v>625</v>
      </c>
      <c r="D918" s="226" t="s">
        <v>88</v>
      </c>
      <c r="E918" s="226" t="s">
        <v>660</v>
      </c>
      <c r="F918" s="226">
        <v>6.5254875749242661E-4</v>
      </c>
      <c r="G918" s="226">
        <v>0</v>
      </c>
    </row>
    <row r="919" spans="1:7">
      <c r="A919" s="226" t="s">
        <v>96</v>
      </c>
      <c r="B919" s="226" t="s">
        <v>1235</v>
      </c>
      <c r="C919" s="226" t="s">
        <v>625</v>
      </c>
      <c r="D919" s="226" t="s">
        <v>88</v>
      </c>
      <c r="E919" s="226" t="s">
        <v>661</v>
      </c>
      <c r="F919" s="226">
        <v>1.0875812624873775E-3</v>
      </c>
      <c r="G919" s="226">
        <v>0</v>
      </c>
    </row>
    <row r="920" spans="1:7">
      <c r="A920" s="226" t="s">
        <v>96</v>
      </c>
      <c r="B920" s="226" t="s">
        <v>1235</v>
      </c>
      <c r="C920" s="226" t="s">
        <v>625</v>
      </c>
      <c r="D920" s="226" t="s">
        <v>88</v>
      </c>
      <c r="E920" s="226" t="s">
        <v>662</v>
      </c>
      <c r="F920" s="226">
        <v>1.5226137674823285E-3</v>
      </c>
      <c r="G920" s="226">
        <v>0</v>
      </c>
    </row>
    <row r="921" spans="1:7">
      <c r="A921" s="226" t="s">
        <v>96</v>
      </c>
      <c r="B921" s="226" t="s">
        <v>1235</v>
      </c>
      <c r="C921" s="226" t="s">
        <v>625</v>
      </c>
      <c r="D921" s="226" t="s">
        <v>88</v>
      </c>
      <c r="E921" s="226" t="s">
        <v>663</v>
      </c>
      <c r="F921" s="226">
        <v>1.5226137674823285E-3</v>
      </c>
      <c r="G921" s="226">
        <v>0</v>
      </c>
    </row>
    <row r="922" spans="1:7">
      <c r="A922" s="226" t="s">
        <v>96</v>
      </c>
      <c r="B922" s="226" t="s">
        <v>1235</v>
      </c>
      <c r="C922" s="226" t="s">
        <v>625</v>
      </c>
      <c r="D922" s="226" t="s">
        <v>88</v>
      </c>
      <c r="E922" s="226" t="s">
        <v>664</v>
      </c>
      <c r="F922" s="226">
        <v>1.5226137674823285E-3</v>
      </c>
      <c r="G922" s="226">
        <v>0</v>
      </c>
    </row>
    <row r="923" spans="1:7">
      <c r="A923" s="226" t="s">
        <v>96</v>
      </c>
      <c r="B923" s="226" t="s">
        <v>1235</v>
      </c>
      <c r="C923" s="226" t="s">
        <v>625</v>
      </c>
      <c r="D923" s="226" t="s">
        <v>88</v>
      </c>
      <c r="E923" s="226" t="s">
        <v>665</v>
      </c>
      <c r="F923" s="226">
        <v>1.5226137674823285E-3</v>
      </c>
      <c r="G923" s="226">
        <v>0</v>
      </c>
    </row>
    <row r="924" spans="1:7">
      <c r="A924" s="226" t="s">
        <v>96</v>
      </c>
      <c r="B924" s="226" t="s">
        <v>1235</v>
      </c>
      <c r="C924" s="226" t="s">
        <v>625</v>
      </c>
      <c r="D924" s="226" t="s">
        <v>88</v>
      </c>
      <c r="E924" s="226" t="s">
        <v>666</v>
      </c>
      <c r="F924" s="226">
        <v>1.5226137674823285E-3</v>
      </c>
      <c r="G924" s="226">
        <v>0</v>
      </c>
    </row>
    <row r="925" spans="1:7">
      <c r="A925" s="226" t="s">
        <v>96</v>
      </c>
      <c r="B925" s="226" t="s">
        <v>1235</v>
      </c>
      <c r="C925" s="226" t="s">
        <v>625</v>
      </c>
      <c r="D925" s="226" t="s">
        <v>88</v>
      </c>
      <c r="E925" s="226" t="s">
        <v>667</v>
      </c>
      <c r="F925" s="226">
        <v>1.5226137674823285E-3</v>
      </c>
      <c r="G925" s="226">
        <v>0</v>
      </c>
    </row>
    <row r="926" spans="1:7">
      <c r="A926" s="226" t="s">
        <v>96</v>
      </c>
      <c r="B926" s="226" t="s">
        <v>1235</v>
      </c>
      <c r="C926" s="226" t="s">
        <v>625</v>
      </c>
      <c r="D926" s="226" t="s">
        <v>89</v>
      </c>
      <c r="E926" s="226" t="s">
        <v>618</v>
      </c>
      <c r="F926" s="226">
        <v>0</v>
      </c>
      <c r="G926" s="226">
        <v>0</v>
      </c>
    </row>
    <row r="927" spans="1:7">
      <c r="A927" s="226" t="s">
        <v>96</v>
      </c>
      <c r="B927" s="226" t="s">
        <v>1235</v>
      </c>
      <c r="C927" s="226" t="s">
        <v>625</v>
      </c>
      <c r="D927" s="226" t="s">
        <v>89</v>
      </c>
      <c r="E927" s="226" t="s">
        <v>619</v>
      </c>
      <c r="F927" s="226">
        <v>0</v>
      </c>
      <c r="G927" s="226">
        <v>0</v>
      </c>
    </row>
    <row r="928" spans="1:7">
      <c r="A928" s="226" t="s">
        <v>96</v>
      </c>
      <c r="B928" s="226" t="s">
        <v>1235</v>
      </c>
      <c r="C928" s="226" t="s">
        <v>625</v>
      </c>
      <c r="D928" s="226" t="s">
        <v>89</v>
      </c>
      <c r="E928" s="226" t="s">
        <v>620</v>
      </c>
      <c r="F928" s="226">
        <v>0</v>
      </c>
      <c r="G928" s="226">
        <v>0</v>
      </c>
    </row>
    <row r="929" spans="1:7">
      <c r="A929" s="226" t="s">
        <v>96</v>
      </c>
      <c r="B929" s="226" t="s">
        <v>1235</v>
      </c>
      <c r="C929" s="226" t="s">
        <v>625</v>
      </c>
      <c r="D929" s="226" t="s">
        <v>89</v>
      </c>
      <c r="E929" s="226" t="s">
        <v>660</v>
      </c>
      <c r="F929" s="226">
        <v>1.2964544850842911E-5</v>
      </c>
      <c r="G929" s="226">
        <v>0</v>
      </c>
    </row>
    <row r="930" spans="1:7">
      <c r="A930" s="226" t="s">
        <v>96</v>
      </c>
      <c r="B930" s="226" t="s">
        <v>1235</v>
      </c>
      <c r="C930" s="226" t="s">
        <v>625</v>
      </c>
      <c r="D930" s="226" t="s">
        <v>89</v>
      </c>
      <c r="E930" s="226" t="s">
        <v>661</v>
      </c>
      <c r="F930" s="226">
        <v>2.1607574751404854E-5</v>
      </c>
      <c r="G930" s="226">
        <v>0</v>
      </c>
    </row>
    <row r="931" spans="1:7">
      <c r="A931" s="226" t="s">
        <v>96</v>
      </c>
      <c r="B931" s="226" t="s">
        <v>1235</v>
      </c>
      <c r="C931" s="226" t="s">
        <v>625</v>
      </c>
      <c r="D931" s="226" t="s">
        <v>89</v>
      </c>
      <c r="E931" s="226" t="s">
        <v>662</v>
      </c>
      <c r="F931" s="226">
        <v>3.0250604651966795E-5</v>
      </c>
      <c r="G931" s="226">
        <v>0</v>
      </c>
    </row>
    <row r="932" spans="1:7">
      <c r="A932" s="226" t="s">
        <v>96</v>
      </c>
      <c r="B932" s="226" t="s">
        <v>1235</v>
      </c>
      <c r="C932" s="226" t="s">
        <v>625</v>
      </c>
      <c r="D932" s="226" t="s">
        <v>89</v>
      </c>
      <c r="E932" s="226" t="s">
        <v>663</v>
      </c>
      <c r="F932" s="226">
        <v>3.0250604651966795E-5</v>
      </c>
      <c r="G932" s="226">
        <v>0</v>
      </c>
    </row>
    <row r="933" spans="1:7">
      <c r="A933" s="226" t="s">
        <v>96</v>
      </c>
      <c r="B933" s="226" t="s">
        <v>1235</v>
      </c>
      <c r="C933" s="226" t="s">
        <v>625</v>
      </c>
      <c r="D933" s="226" t="s">
        <v>89</v>
      </c>
      <c r="E933" s="226" t="s">
        <v>664</v>
      </c>
      <c r="F933" s="226">
        <v>3.0250604651966795E-5</v>
      </c>
      <c r="G933" s="226">
        <v>0</v>
      </c>
    </row>
    <row r="934" spans="1:7">
      <c r="A934" s="226" t="s">
        <v>96</v>
      </c>
      <c r="B934" s="226" t="s">
        <v>1235</v>
      </c>
      <c r="C934" s="226" t="s">
        <v>625</v>
      </c>
      <c r="D934" s="226" t="s">
        <v>89</v>
      </c>
      <c r="E934" s="226" t="s">
        <v>665</v>
      </c>
      <c r="F934" s="226">
        <v>3.0250604651966795E-5</v>
      </c>
      <c r="G934" s="226">
        <v>0</v>
      </c>
    </row>
    <row r="935" spans="1:7">
      <c r="A935" s="226" t="s">
        <v>96</v>
      </c>
      <c r="B935" s="226" t="s">
        <v>1235</v>
      </c>
      <c r="C935" s="226" t="s">
        <v>625</v>
      </c>
      <c r="D935" s="226" t="s">
        <v>89</v>
      </c>
      <c r="E935" s="226" t="s">
        <v>666</v>
      </c>
      <c r="F935" s="226">
        <v>3.0250604651966795E-5</v>
      </c>
      <c r="G935" s="226">
        <v>0</v>
      </c>
    </row>
    <row r="936" spans="1:7">
      <c r="A936" s="226" t="s">
        <v>96</v>
      </c>
      <c r="B936" s="226" t="s">
        <v>1235</v>
      </c>
      <c r="C936" s="226" t="s">
        <v>625</v>
      </c>
      <c r="D936" s="226" t="s">
        <v>89</v>
      </c>
      <c r="E936" s="226" t="s">
        <v>667</v>
      </c>
      <c r="F936" s="226">
        <v>3.0250604651966795E-5</v>
      </c>
      <c r="G936" s="226">
        <v>0</v>
      </c>
    </row>
    <row r="937" spans="1:7">
      <c r="A937" s="226" t="s">
        <v>96</v>
      </c>
      <c r="B937" s="226" t="s">
        <v>1235</v>
      </c>
      <c r="C937" s="226" t="s">
        <v>963</v>
      </c>
      <c r="D937" s="226" t="s">
        <v>20</v>
      </c>
      <c r="E937" s="226" t="s">
        <v>618</v>
      </c>
      <c r="F937" s="226">
        <v>0</v>
      </c>
      <c r="G937" s="226">
        <v>0</v>
      </c>
    </row>
    <row r="938" spans="1:7">
      <c r="A938" s="226" t="s">
        <v>96</v>
      </c>
      <c r="B938" s="226" t="s">
        <v>1235</v>
      </c>
      <c r="C938" s="226" t="s">
        <v>963</v>
      </c>
      <c r="D938" s="226" t="s">
        <v>20</v>
      </c>
      <c r="E938" s="226" t="s">
        <v>619</v>
      </c>
      <c r="F938" s="226">
        <v>0</v>
      </c>
      <c r="G938" s="226">
        <v>0</v>
      </c>
    </row>
    <row r="939" spans="1:7">
      <c r="A939" s="226" t="s">
        <v>96</v>
      </c>
      <c r="B939" s="226" t="s">
        <v>1235</v>
      </c>
      <c r="C939" s="226" t="s">
        <v>963</v>
      </c>
      <c r="D939" s="226" t="s">
        <v>20</v>
      </c>
      <c r="E939" s="226" t="s">
        <v>620</v>
      </c>
      <c r="F939" s="226">
        <v>0</v>
      </c>
      <c r="G939" s="226">
        <v>0</v>
      </c>
    </row>
    <row r="940" spans="1:7">
      <c r="A940" s="226" t="s">
        <v>96</v>
      </c>
      <c r="B940" s="226" t="s">
        <v>1235</v>
      </c>
      <c r="C940" s="226" t="s">
        <v>963</v>
      </c>
      <c r="D940" s="226" t="s">
        <v>20</v>
      </c>
      <c r="E940" s="226" t="s">
        <v>660</v>
      </c>
      <c r="F940" s="226">
        <v>0</v>
      </c>
      <c r="G940" s="226">
        <v>0</v>
      </c>
    </row>
    <row r="941" spans="1:7">
      <c r="A941" s="226" t="s">
        <v>96</v>
      </c>
      <c r="B941" s="226" t="s">
        <v>1235</v>
      </c>
      <c r="C941" s="226" t="s">
        <v>963</v>
      </c>
      <c r="D941" s="226" t="s">
        <v>20</v>
      </c>
      <c r="E941" s="226" t="s">
        <v>661</v>
      </c>
      <c r="F941" s="226">
        <v>0</v>
      </c>
      <c r="G941" s="226">
        <v>0</v>
      </c>
    </row>
    <row r="942" spans="1:7">
      <c r="A942" s="226" t="s">
        <v>96</v>
      </c>
      <c r="B942" s="226" t="s">
        <v>1235</v>
      </c>
      <c r="C942" s="226" t="s">
        <v>963</v>
      </c>
      <c r="D942" s="226" t="s">
        <v>20</v>
      </c>
      <c r="E942" s="226" t="s">
        <v>662</v>
      </c>
      <c r="F942" s="226">
        <v>0</v>
      </c>
      <c r="G942" s="226">
        <v>0</v>
      </c>
    </row>
    <row r="943" spans="1:7">
      <c r="A943" s="226" t="s">
        <v>96</v>
      </c>
      <c r="B943" s="226" t="s">
        <v>1235</v>
      </c>
      <c r="C943" s="226" t="s">
        <v>963</v>
      </c>
      <c r="D943" s="226" t="s">
        <v>20</v>
      </c>
      <c r="E943" s="226" t="s">
        <v>663</v>
      </c>
      <c r="F943" s="226">
        <v>0</v>
      </c>
      <c r="G943" s="226">
        <v>0</v>
      </c>
    </row>
    <row r="944" spans="1:7">
      <c r="A944" s="226" t="s">
        <v>96</v>
      </c>
      <c r="B944" s="226" t="s">
        <v>1235</v>
      </c>
      <c r="C944" s="226" t="s">
        <v>963</v>
      </c>
      <c r="D944" s="226" t="s">
        <v>20</v>
      </c>
      <c r="E944" s="226" t="s">
        <v>664</v>
      </c>
      <c r="F944" s="226">
        <v>0</v>
      </c>
      <c r="G944" s="226">
        <v>0</v>
      </c>
    </row>
    <row r="945" spans="1:7">
      <c r="A945" s="226" t="s">
        <v>96</v>
      </c>
      <c r="B945" s="226" t="s">
        <v>1235</v>
      </c>
      <c r="C945" s="226" t="s">
        <v>963</v>
      </c>
      <c r="D945" s="226" t="s">
        <v>20</v>
      </c>
      <c r="E945" s="226" t="s">
        <v>665</v>
      </c>
      <c r="F945" s="226">
        <v>0</v>
      </c>
      <c r="G945" s="226">
        <v>0</v>
      </c>
    </row>
    <row r="946" spans="1:7">
      <c r="A946" s="226" t="s">
        <v>96</v>
      </c>
      <c r="B946" s="226" t="s">
        <v>1235</v>
      </c>
      <c r="C946" s="226" t="s">
        <v>963</v>
      </c>
      <c r="D946" s="226" t="s">
        <v>20</v>
      </c>
      <c r="E946" s="226" t="s">
        <v>666</v>
      </c>
      <c r="F946" s="226">
        <v>0</v>
      </c>
      <c r="G946" s="226">
        <v>0</v>
      </c>
    </row>
    <row r="947" spans="1:7">
      <c r="A947" s="226" t="s">
        <v>96</v>
      </c>
      <c r="B947" s="226" t="s">
        <v>1235</v>
      </c>
      <c r="C947" s="226" t="s">
        <v>963</v>
      </c>
      <c r="D947" s="226" t="s">
        <v>20</v>
      </c>
      <c r="E947" s="226" t="s">
        <v>667</v>
      </c>
      <c r="F947" s="226">
        <v>0</v>
      </c>
      <c r="G947" s="226">
        <v>0</v>
      </c>
    </row>
    <row r="948" spans="1:7">
      <c r="A948" s="226" t="s">
        <v>96</v>
      </c>
      <c r="B948" s="226" t="s">
        <v>1235</v>
      </c>
      <c r="C948" s="226" t="s">
        <v>627</v>
      </c>
      <c r="D948" s="226" t="s">
        <v>11</v>
      </c>
      <c r="E948" s="226" t="s">
        <v>618</v>
      </c>
      <c r="F948" s="226">
        <v>0.12459198013720935</v>
      </c>
      <c r="G948" s="226">
        <v>0.122</v>
      </c>
    </row>
    <row r="949" spans="1:7">
      <c r="A949" s="226" t="s">
        <v>96</v>
      </c>
      <c r="B949" s="226" t="s">
        <v>1235</v>
      </c>
      <c r="C949" s="226" t="s">
        <v>627</v>
      </c>
      <c r="D949" s="226" t="s">
        <v>11</v>
      </c>
      <c r="E949" s="226" t="s">
        <v>619</v>
      </c>
      <c r="F949" s="226">
        <v>0.24375093294384526</v>
      </c>
      <c r="G949" s="226">
        <v>0.23867999999999995</v>
      </c>
    </row>
    <row r="950" spans="1:7">
      <c r="A950" s="226" t="s">
        <v>96</v>
      </c>
      <c r="B950" s="226" t="s">
        <v>1235</v>
      </c>
      <c r="C950" s="226" t="s">
        <v>627</v>
      </c>
      <c r="D950" s="226" t="s">
        <v>11</v>
      </c>
      <c r="E950" s="226" t="s">
        <v>620</v>
      </c>
      <c r="F950" s="226">
        <v>0.67200012106464324</v>
      </c>
      <c r="G950" s="226">
        <v>0.65801999999999983</v>
      </c>
    </row>
    <row r="951" spans="1:7">
      <c r="A951" s="226" t="s">
        <v>96</v>
      </c>
      <c r="B951" s="226" t="s">
        <v>1235</v>
      </c>
      <c r="C951" s="226" t="s">
        <v>627</v>
      </c>
      <c r="D951" s="226" t="s">
        <v>11</v>
      </c>
      <c r="E951" s="226" t="s">
        <v>660</v>
      </c>
      <c r="F951" s="226">
        <v>0.60901920226317696</v>
      </c>
      <c r="G951" s="226">
        <v>0.59669999999999979</v>
      </c>
    </row>
    <row r="952" spans="1:7">
      <c r="A952" s="226" t="s">
        <v>96</v>
      </c>
      <c r="B952" s="226" t="s">
        <v>1235</v>
      </c>
      <c r="C952" s="226" t="s">
        <v>627</v>
      </c>
      <c r="D952" s="226" t="s">
        <v>11</v>
      </c>
      <c r="E952" s="226" t="s">
        <v>661</v>
      </c>
      <c r="F952" s="226">
        <v>0.89422948108688982</v>
      </c>
      <c r="G952" s="226">
        <v>0</v>
      </c>
    </row>
    <row r="953" spans="1:7">
      <c r="A953" s="226" t="s">
        <v>96</v>
      </c>
      <c r="B953" s="226" t="s">
        <v>1235</v>
      </c>
      <c r="C953" s="226" t="s">
        <v>627</v>
      </c>
      <c r="D953" s="226" t="s">
        <v>11</v>
      </c>
      <c r="E953" s="226" t="s">
        <v>662</v>
      </c>
      <c r="F953" s="226">
        <v>1.2519212735216456</v>
      </c>
      <c r="G953" s="226">
        <v>0</v>
      </c>
    </row>
    <row r="954" spans="1:7">
      <c r="A954" s="226" t="s">
        <v>96</v>
      </c>
      <c r="B954" s="226" t="s">
        <v>1235</v>
      </c>
      <c r="C954" s="226" t="s">
        <v>627</v>
      </c>
      <c r="D954" s="226" t="s">
        <v>11</v>
      </c>
      <c r="E954" s="226" t="s">
        <v>663</v>
      </c>
      <c r="F954" s="226">
        <v>1.2519212735216456</v>
      </c>
      <c r="G954" s="226">
        <v>0</v>
      </c>
    </row>
    <row r="955" spans="1:7">
      <c r="A955" s="226" t="s">
        <v>96</v>
      </c>
      <c r="B955" s="226" t="s">
        <v>1235</v>
      </c>
      <c r="C955" s="226" t="s">
        <v>627</v>
      </c>
      <c r="D955" s="226" t="s">
        <v>11</v>
      </c>
      <c r="E955" s="226" t="s">
        <v>664</v>
      </c>
      <c r="F955" s="226">
        <v>1.2519212735216456</v>
      </c>
      <c r="G955" s="226">
        <v>0</v>
      </c>
    </row>
    <row r="956" spans="1:7">
      <c r="A956" s="226" t="s">
        <v>96</v>
      </c>
      <c r="B956" s="226" t="s">
        <v>1235</v>
      </c>
      <c r="C956" s="226" t="s">
        <v>627</v>
      </c>
      <c r="D956" s="226" t="s">
        <v>11</v>
      </c>
      <c r="E956" s="226" t="s">
        <v>665</v>
      </c>
      <c r="F956" s="226">
        <v>1.2519212735216456</v>
      </c>
      <c r="G956" s="226">
        <v>0</v>
      </c>
    </row>
    <row r="957" spans="1:7">
      <c r="A957" s="226" t="s">
        <v>96</v>
      </c>
      <c r="B957" s="226" t="s">
        <v>1235</v>
      </c>
      <c r="C957" s="226" t="s">
        <v>627</v>
      </c>
      <c r="D957" s="226" t="s">
        <v>11</v>
      </c>
      <c r="E957" s="226" t="s">
        <v>666</v>
      </c>
      <c r="F957" s="226">
        <v>1.2519212735216456</v>
      </c>
      <c r="G957" s="226">
        <v>0</v>
      </c>
    </row>
    <row r="958" spans="1:7">
      <c r="A958" s="226" t="s">
        <v>96</v>
      </c>
      <c r="B958" s="226" t="s">
        <v>1235</v>
      </c>
      <c r="C958" s="226" t="s">
        <v>627</v>
      </c>
      <c r="D958" s="226" t="s">
        <v>11</v>
      </c>
      <c r="E958" s="226" t="s">
        <v>667</v>
      </c>
      <c r="F958" s="226">
        <v>1.2519212735216456</v>
      </c>
      <c r="G958" s="226">
        <v>0</v>
      </c>
    </row>
    <row r="959" spans="1:7">
      <c r="A959" s="226" t="s">
        <v>96</v>
      </c>
      <c r="B959" s="226" t="s">
        <v>1235</v>
      </c>
      <c r="C959" s="226" t="s">
        <v>627</v>
      </c>
      <c r="D959" s="226" t="s">
        <v>12</v>
      </c>
      <c r="E959" s="226" t="s">
        <v>618</v>
      </c>
      <c r="F959" s="226">
        <v>0</v>
      </c>
      <c r="G959" s="226">
        <v>0</v>
      </c>
    </row>
    <row r="960" spans="1:7">
      <c r="A960" s="226" t="s">
        <v>96</v>
      </c>
      <c r="B960" s="226" t="s">
        <v>1235</v>
      </c>
      <c r="C960" s="226" t="s">
        <v>627</v>
      </c>
      <c r="D960" s="226" t="s">
        <v>12</v>
      </c>
      <c r="E960" s="226" t="s">
        <v>619</v>
      </c>
      <c r="F960" s="226">
        <v>0.3</v>
      </c>
      <c r="G960" s="226">
        <v>0.3</v>
      </c>
    </row>
    <row r="961" spans="1:7">
      <c r="A961" s="226" t="s">
        <v>96</v>
      </c>
      <c r="B961" s="226" t="s">
        <v>1235</v>
      </c>
      <c r="C961" s="226" t="s">
        <v>627</v>
      </c>
      <c r="D961" s="226" t="s">
        <v>12</v>
      </c>
      <c r="E961" s="226" t="s">
        <v>620</v>
      </c>
      <c r="F961" s="226">
        <v>0</v>
      </c>
      <c r="G961" s="226">
        <v>0</v>
      </c>
    </row>
    <row r="962" spans="1:7">
      <c r="A962" s="226" t="s">
        <v>96</v>
      </c>
      <c r="B962" s="226" t="s">
        <v>1235</v>
      </c>
      <c r="C962" s="226" t="s">
        <v>627</v>
      </c>
      <c r="D962" s="226" t="s">
        <v>12</v>
      </c>
      <c r="E962" s="226" t="s">
        <v>660</v>
      </c>
      <c r="F962" s="226">
        <v>9.9870210500993227E-3</v>
      </c>
      <c r="G962" s="226">
        <v>0</v>
      </c>
    </row>
    <row r="963" spans="1:7">
      <c r="A963" s="226" t="s">
        <v>96</v>
      </c>
      <c r="B963" s="226" t="s">
        <v>1235</v>
      </c>
      <c r="C963" s="226" t="s">
        <v>627</v>
      </c>
      <c r="D963" s="226" t="s">
        <v>12</v>
      </c>
      <c r="E963" s="226" t="s">
        <v>661</v>
      </c>
      <c r="F963" s="226">
        <v>1.6645035083498873E-2</v>
      </c>
      <c r="G963" s="226">
        <v>0</v>
      </c>
    </row>
    <row r="964" spans="1:7">
      <c r="A964" s="226" t="s">
        <v>96</v>
      </c>
      <c r="B964" s="226" t="s">
        <v>1235</v>
      </c>
      <c r="C964" s="226" t="s">
        <v>627</v>
      </c>
      <c r="D964" s="226" t="s">
        <v>12</v>
      </c>
      <c r="E964" s="226" t="s">
        <v>662</v>
      </c>
      <c r="F964" s="226">
        <v>2.3303049116898417E-2</v>
      </c>
      <c r="G964" s="226">
        <v>0</v>
      </c>
    </row>
    <row r="965" spans="1:7">
      <c r="A965" s="226" t="s">
        <v>96</v>
      </c>
      <c r="B965" s="226" t="s">
        <v>1235</v>
      </c>
      <c r="C965" s="226" t="s">
        <v>627</v>
      </c>
      <c r="D965" s="226" t="s">
        <v>12</v>
      </c>
      <c r="E965" s="226" t="s">
        <v>663</v>
      </c>
      <c r="F965" s="226">
        <v>2.3303049116898417E-2</v>
      </c>
      <c r="G965" s="226">
        <v>0</v>
      </c>
    </row>
    <row r="966" spans="1:7">
      <c r="A966" s="226" t="s">
        <v>96</v>
      </c>
      <c r="B966" s="226" t="s">
        <v>1235</v>
      </c>
      <c r="C966" s="226" t="s">
        <v>627</v>
      </c>
      <c r="D966" s="226" t="s">
        <v>12</v>
      </c>
      <c r="E966" s="226" t="s">
        <v>664</v>
      </c>
      <c r="F966" s="226">
        <v>2.3303049116898417E-2</v>
      </c>
      <c r="G966" s="226">
        <v>0</v>
      </c>
    </row>
    <row r="967" spans="1:7">
      <c r="A967" s="226" t="s">
        <v>96</v>
      </c>
      <c r="B967" s="226" t="s">
        <v>1235</v>
      </c>
      <c r="C967" s="226" t="s">
        <v>627</v>
      </c>
      <c r="D967" s="226" t="s">
        <v>12</v>
      </c>
      <c r="E967" s="226" t="s">
        <v>665</v>
      </c>
      <c r="F967" s="226">
        <v>2.3303049116898417E-2</v>
      </c>
      <c r="G967" s="226">
        <v>0</v>
      </c>
    </row>
    <row r="968" spans="1:7">
      <c r="A968" s="226" t="s">
        <v>96</v>
      </c>
      <c r="B968" s="226" t="s">
        <v>1235</v>
      </c>
      <c r="C968" s="226" t="s">
        <v>627</v>
      </c>
      <c r="D968" s="226" t="s">
        <v>12</v>
      </c>
      <c r="E968" s="226" t="s">
        <v>666</v>
      </c>
      <c r="F968" s="226">
        <v>2.3303049116898417E-2</v>
      </c>
      <c r="G968" s="226">
        <v>0</v>
      </c>
    </row>
    <row r="969" spans="1:7">
      <c r="A969" s="226" t="s">
        <v>96</v>
      </c>
      <c r="B969" s="226" t="s">
        <v>1235</v>
      </c>
      <c r="C969" s="226" t="s">
        <v>627</v>
      </c>
      <c r="D969" s="226" t="s">
        <v>12</v>
      </c>
      <c r="E969" s="226" t="s">
        <v>667</v>
      </c>
      <c r="F969" s="226">
        <v>2.3303049116898417E-2</v>
      </c>
      <c r="G969" s="226">
        <v>0</v>
      </c>
    </row>
    <row r="970" spans="1:7">
      <c r="A970" s="226" t="s">
        <v>96</v>
      </c>
      <c r="B970" s="226" t="s">
        <v>1235</v>
      </c>
      <c r="C970" s="226" t="s">
        <v>626</v>
      </c>
      <c r="D970" s="226" t="s">
        <v>9</v>
      </c>
      <c r="E970" s="226" t="s">
        <v>618</v>
      </c>
      <c r="F970" s="226">
        <v>0</v>
      </c>
      <c r="G970" s="226">
        <v>0</v>
      </c>
    </row>
    <row r="971" spans="1:7">
      <c r="A971" s="226" t="s">
        <v>96</v>
      </c>
      <c r="B971" s="226" t="s">
        <v>1235</v>
      </c>
      <c r="C971" s="226" t="s">
        <v>626</v>
      </c>
      <c r="D971" s="226" t="s">
        <v>9</v>
      </c>
      <c r="E971" s="226" t="s">
        <v>619</v>
      </c>
      <c r="F971" s="226">
        <v>4.9099566961557886E-2</v>
      </c>
      <c r="G971" s="226">
        <v>4.4800000000000006E-2</v>
      </c>
    </row>
    <row r="972" spans="1:7">
      <c r="A972" s="226" t="s">
        <v>96</v>
      </c>
      <c r="B972" s="226" t="s">
        <v>1235</v>
      </c>
      <c r="C972" s="226" t="s">
        <v>626</v>
      </c>
      <c r="D972" s="226" t="s">
        <v>9</v>
      </c>
      <c r="E972" s="226" t="s">
        <v>620</v>
      </c>
      <c r="F972" s="226">
        <v>0.40244109348848334</v>
      </c>
      <c r="G972" s="226">
        <v>0.36719999999999997</v>
      </c>
    </row>
    <row r="973" spans="1:7">
      <c r="A973" s="226" t="s">
        <v>96</v>
      </c>
      <c r="B973" s="226" t="s">
        <v>1235</v>
      </c>
      <c r="C973" s="226" t="s">
        <v>626</v>
      </c>
      <c r="D973" s="226" t="s">
        <v>9</v>
      </c>
      <c r="E973" s="226" t="s">
        <v>660</v>
      </c>
      <c r="F973" s="226">
        <v>0.21205322322723194</v>
      </c>
      <c r="G973" s="226">
        <v>0.21199999999999999</v>
      </c>
    </row>
    <row r="974" spans="1:7">
      <c r="A974" s="226" t="s">
        <v>96</v>
      </c>
      <c r="B974" s="226" t="s">
        <v>1235</v>
      </c>
      <c r="C974" s="226" t="s">
        <v>626</v>
      </c>
      <c r="D974" s="226" t="s">
        <v>9</v>
      </c>
      <c r="E974" s="226" t="s">
        <v>661</v>
      </c>
      <c r="F974" s="226">
        <v>0.11094769382354679</v>
      </c>
      <c r="G974" s="226">
        <v>0</v>
      </c>
    </row>
    <row r="975" spans="1:7">
      <c r="A975" s="226" t="s">
        <v>96</v>
      </c>
      <c r="B975" s="226" t="s">
        <v>1235</v>
      </c>
      <c r="C975" s="226" t="s">
        <v>626</v>
      </c>
      <c r="D975" s="226" t="s">
        <v>9</v>
      </c>
      <c r="E975" s="226" t="s">
        <v>662</v>
      </c>
      <c r="F975" s="226">
        <v>0.15532677135296549</v>
      </c>
      <c r="G975" s="226">
        <v>0</v>
      </c>
    </row>
    <row r="976" spans="1:7">
      <c r="A976" s="226" t="s">
        <v>96</v>
      </c>
      <c r="B976" s="226" t="s">
        <v>1235</v>
      </c>
      <c r="C976" s="226" t="s">
        <v>626</v>
      </c>
      <c r="D976" s="226" t="s">
        <v>9</v>
      </c>
      <c r="E976" s="226" t="s">
        <v>663</v>
      </c>
      <c r="F976" s="226">
        <v>0.15532677135296549</v>
      </c>
      <c r="G976" s="226">
        <v>0</v>
      </c>
    </row>
    <row r="977" spans="1:7">
      <c r="A977" s="226" t="s">
        <v>96</v>
      </c>
      <c r="B977" s="226" t="s">
        <v>1235</v>
      </c>
      <c r="C977" s="226" t="s">
        <v>626</v>
      </c>
      <c r="D977" s="226" t="s">
        <v>9</v>
      </c>
      <c r="E977" s="226" t="s">
        <v>664</v>
      </c>
      <c r="F977" s="226">
        <v>0.15532677135296549</v>
      </c>
      <c r="G977" s="226">
        <v>0</v>
      </c>
    </row>
    <row r="978" spans="1:7">
      <c r="A978" s="226" t="s">
        <v>96</v>
      </c>
      <c r="B978" s="226" t="s">
        <v>1235</v>
      </c>
      <c r="C978" s="226" t="s">
        <v>626</v>
      </c>
      <c r="D978" s="226" t="s">
        <v>9</v>
      </c>
      <c r="E978" s="226" t="s">
        <v>665</v>
      </c>
      <c r="F978" s="226">
        <v>0.15532677135296549</v>
      </c>
      <c r="G978" s="226">
        <v>0</v>
      </c>
    </row>
    <row r="979" spans="1:7">
      <c r="A979" s="226" t="s">
        <v>96</v>
      </c>
      <c r="B979" s="226" t="s">
        <v>1235</v>
      </c>
      <c r="C979" s="226" t="s">
        <v>626</v>
      </c>
      <c r="D979" s="226" t="s">
        <v>9</v>
      </c>
      <c r="E979" s="226" t="s">
        <v>666</v>
      </c>
      <c r="F979" s="226">
        <v>0.15532677135296549</v>
      </c>
      <c r="G979" s="226">
        <v>0</v>
      </c>
    </row>
    <row r="980" spans="1:7">
      <c r="A980" s="226" t="s">
        <v>96</v>
      </c>
      <c r="B980" s="226" t="s">
        <v>1235</v>
      </c>
      <c r="C980" s="226" t="s">
        <v>626</v>
      </c>
      <c r="D980" s="226" t="s">
        <v>9</v>
      </c>
      <c r="E980" s="226" t="s">
        <v>667</v>
      </c>
      <c r="F980" s="226">
        <v>0.15532677135296549</v>
      </c>
      <c r="G980" s="226">
        <v>0</v>
      </c>
    </row>
    <row r="981" spans="1:7">
      <c r="A981" s="226" t="s">
        <v>96</v>
      </c>
      <c r="B981" s="226" t="s">
        <v>1235</v>
      </c>
      <c r="C981" s="226" t="s">
        <v>626</v>
      </c>
      <c r="D981" s="226" t="s">
        <v>10</v>
      </c>
      <c r="E981" s="226" t="s">
        <v>618</v>
      </c>
      <c r="F981" s="226">
        <v>0</v>
      </c>
      <c r="G981" s="226">
        <v>0</v>
      </c>
    </row>
    <row r="982" spans="1:7">
      <c r="A982" s="226" t="s">
        <v>96</v>
      </c>
      <c r="B982" s="226" t="s">
        <v>1235</v>
      </c>
      <c r="C982" s="226" t="s">
        <v>626</v>
      </c>
      <c r="D982" s="226" t="s">
        <v>10</v>
      </c>
      <c r="E982" s="226" t="s">
        <v>619</v>
      </c>
      <c r="F982" s="226">
        <v>2.4637661890331918E-2</v>
      </c>
      <c r="G982" s="226">
        <v>2.0854000000000022E-2</v>
      </c>
    </row>
    <row r="983" spans="1:7">
      <c r="A983" s="226" t="s">
        <v>96</v>
      </c>
      <c r="B983" s="226" t="s">
        <v>1235</v>
      </c>
      <c r="C983" s="226" t="s">
        <v>626</v>
      </c>
      <c r="D983" s="226" t="s">
        <v>10</v>
      </c>
      <c r="E983" s="226" t="s">
        <v>620</v>
      </c>
      <c r="F983" s="226">
        <v>0.42021426195526695</v>
      </c>
      <c r="G983" s="226">
        <v>0.35568099999999997</v>
      </c>
    </row>
    <row r="984" spans="1:7">
      <c r="A984" s="226" t="s">
        <v>96</v>
      </c>
      <c r="B984" s="226" t="s">
        <v>1235</v>
      </c>
      <c r="C984" s="226" t="s">
        <v>626</v>
      </c>
      <c r="D984" s="226" t="s">
        <v>10</v>
      </c>
      <c r="E984" s="226" t="s">
        <v>660</v>
      </c>
      <c r="F984" s="226">
        <v>0.42442894781194496</v>
      </c>
      <c r="G984" s="226">
        <v>5.2135000000000049E-2</v>
      </c>
    </row>
    <row r="985" spans="1:7">
      <c r="A985" s="226" t="s">
        <v>96</v>
      </c>
      <c r="B985" s="226" t="s">
        <v>1235</v>
      </c>
      <c r="C985" s="226" t="s">
        <v>626</v>
      </c>
      <c r="D985" s="226" t="s">
        <v>10</v>
      </c>
      <c r="E985" s="226" t="s">
        <v>661</v>
      </c>
      <c r="F985" s="226">
        <v>0.70738157968657489</v>
      </c>
      <c r="G985" s="226">
        <v>0</v>
      </c>
    </row>
    <row r="986" spans="1:7">
      <c r="A986" s="226" t="s">
        <v>96</v>
      </c>
      <c r="B986" s="226" t="s">
        <v>1235</v>
      </c>
      <c r="C986" s="226" t="s">
        <v>626</v>
      </c>
      <c r="D986" s="226" t="s">
        <v>10</v>
      </c>
      <c r="E986" s="226" t="s">
        <v>662</v>
      </c>
      <c r="F986" s="226">
        <v>0.99033421156120494</v>
      </c>
      <c r="G986" s="226">
        <v>0</v>
      </c>
    </row>
    <row r="987" spans="1:7">
      <c r="A987" s="226" t="s">
        <v>96</v>
      </c>
      <c r="B987" s="226" t="s">
        <v>1235</v>
      </c>
      <c r="C987" s="226" t="s">
        <v>626</v>
      </c>
      <c r="D987" s="226" t="s">
        <v>10</v>
      </c>
      <c r="E987" s="226" t="s">
        <v>663</v>
      </c>
      <c r="F987" s="226">
        <v>0.99033421156120494</v>
      </c>
      <c r="G987" s="226">
        <v>0</v>
      </c>
    </row>
    <row r="988" spans="1:7">
      <c r="A988" s="226" t="s">
        <v>96</v>
      </c>
      <c r="B988" s="226" t="s">
        <v>1235</v>
      </c>
      <c r="C988" s="226" t="s">
        <v>626</v>
      </c>
      <c r="D988" s="226" t="s">
        <v>10</v>
      </c>
      <c r="E988" s="226" t="s">
        <v>664</v>
      </c>
      <c r="F988" s="226">
        <v>0.99033421156120494</v>
      </c>
      <c r="G988" s="226">
        <v>0</v>
      </c>
    </row>
    <row r="989" spans="1:7">
      <c r="A989" s="226" t="s">
        <v>96</v>
      </c>
      <c r="B989" s="226" t="s">
        <v>1235</v>
      </c>
      <c r="C989" s="226" t="s">
        <v>626</v>
      </c>
      <c r="D989" s="226" t="s">
        <v>10</v>
      </c>
      <c r="E989" s="226" t="s">
        <v>665</v>
      </c>
      <c r="F989" s="226">
        <v>0.99033421156120494</v>
      </c>
      <c r="G989" s="226">
        <v>0</v>
      </c>
    </row>
    <row r="990" spans="1:7">
      <c r="A990" s="226" t="s">
        <v>96</v>
      </c>
      <c r="B990" s="226" t="s">
        <v>1235</v>
      </c>
      <c r="C990" s="226" t="s">
        <v>626</v>
      </c>
      <c r="D990" s="226" t="s">
        <v>10</v>
      </c>
      <c r="E990" s="226" t="s">
        <v>666</v>
      </c>
      <c r="F990" s="226">
        <v>0.99033421156120494</v>
      </c>
      <c r="G990" s="226">
        <v>0</v>
      </c>
    </row>
    <row r="991" spans="1:7">
      <c r="A991" s="226" t="s">
        <v>96</v>
      </c>
      <c r="B991" s="226" t="s">
        <v>1235</v>
      </c>
      <c r="C991" s="226" t="s">
        <v>626</v>
      </c>
      <c r="D991" s="226" t="s">
        <v>10</v>
      </c>
      <c r="E991" s="226" t="s">
        <v>667</v>
      </c>
      <c r="F991" s="226">
        <v>0.99033421156120494</v>
      </c>
      <c r="G991" s="226">
        <v>0</v>
      </c>
    </row>
    <row r="992" spans="1:7">
      <c r="A992" s="226" t="s">
        <v>96</v>
      </c>
      <c r="B992" s="226" t="s">
        <v>1235</v>
      </c>
      <c r="C992" s="226" t="s">
        <v>963</v>
      </c>
      <c r="D992" s="226" t="s">
        <v>16</v>
      </c>
      <c r="E992" s="226" t="s">
        <v>618</v>
      </c>
      <c r="F992" s="226">
        <v>0</v>
      </c>
      <c r="G992" s="226">
        <v>0</v>
      </c>
    </row>
    <row r="993" spans="1:7">
      <c r="A993" s="226" t="s">
        <v>96</v>
      </c>
      <c r="B993" s="226" t="s">
        <v>1235</v>
      </c>
      <c r="C993" s="226" t="s">
        <v>963</v>
      </c>
      <c r="D993" s="226" t="s">
        <v>16</v>
      </c>
      <c r="E993" s="226" t="s">
        <v>619</v>
      </c>
      <c r="F993" s="226">
        <v>0</v>
      </c>
      <c r="G993" s="226">
        <v>0</v>
      </c>
    </row>
    <row r="994" spans="1:7">
      <c r="A994" s="226" t="s">
        <v>96</v>
      </c>
      <c r="B994" s="226" t="s">
        <v>1235</v>
      </c>
      <c r="C994" s="226" t="s">
        <v>963</v>
      </c>
      <c r="D994" s="226" t="s">
        <v>16</v>
      </c>
      <c r="E994" s="226" t="s">
        <v>620</v>
      </c>
      <c r="F994" s="226">
        <v>0</v>
      </c>
      <c r="G994" s="226">
        <v>0</v>
      </c>
    </row>
    <row r="995" spans="1:7">
      <c r="A995" s="226" t="s">
        <v>96</v>
      </c>
      <c r="B995" s="226" t="s">
        <v>1235</v>
      </c>
      <c r="C995" s="226" t="s">
        <v>963</v>
      </c>
      <c r="D995" s="226" t="s">
        <v>16</v>
      </c>
      <c r="E995" s="226" t="s">
        <v>660</v>
      </c>
      <c r="F995" s="226">
        <v>3.6067363775044985E-2</v>
      </c>
      <c r="G995" s="226">
        <v>0</v>
      </c>
    </row>
    <row r="996" spans="1:7">
      <c r="A996" s="226" t="s">
        <v>96</v>
      </c>
      <c r="B996" s="226" t="s">
        <v>1235</v>
      </c>
      <c r="C996" s="226" t="s">
        <v>963</v>
      </c>
      <c r="D996" s="226" t="s">
        <v>16</v>
      </c>
      <c r="E996" s="226" t="s">
        <v>661</v>
      </c>
      <c r="F996" s="226">
        <v>6.0112272958408305E-2</v>
      </c>
      <c r="G996" s="226">
        <v>0</v>
      </c>
    </row>
    <row r="997" spans="1:7">
      <c r="A997" s="226" t="s">
        <v>96</v>
      </c>
      <c r="B997" s="226" t="s">
        <v>1235</v>
      </c>
      <c r="C997" s="226" t="s">
        <v>963</v>
      </c>
      <c r="D997" s="226" t="s">
        <v>16</v>
      </c>
      <c r="E997" s="226" t="s">
        <v>662</v>
      </c>
      <c r="F997" s="226">
        <v>8.4157182141771633E-2</v>
      </c>
      <c r="G997" s="226">
        <v>0</v>
      </c>
    </row>
    <row r="998" spans="1:7">
      <c r="A998" s="226" t="s">
        <v>96</v>
      </c>
      <c r="B998" s="226" t="s">
        <v>1235</v>
      </c>
      <c r="C998" s="226" t="s">
        <v>963</v>
      </c>
      <c r="D998" s="226" t="s">
        <v>16</v>
      </c>
      <c r="E998" s="226" t="s">
        <v>663</v>
      </c>
      <c r="F998" s="226">
        <v>8.4157182141771633E-2</v>
      </c>
      <c r="G998" s="226">
        <v>0</v>
      </c>
    </row>
    <row r="999" spans="1:7">
      <c r="A999" s="226" t="s">
        <v>96</v>
      </c>
      <c r="B999" s="226" t="s">
        <v>1235</v>
      </c>
      <c r="C999" s="226" t="s">
        <v>963</v>
      </c>
      <c r="D999" s="226" t="s">
        <v>16</v>
      </c>
      <c r="E999" s="226" t="s">
        <v>664</v>
      </c>
      <c r="F999" s="226">
        <v>8.4157182141771633E-2</v>
      </c>
      <c r="G999" s="226">
        <v>0</v>
      </c>
    </row>
    <row r="1000" spans="1:7">
      <c r="A1000" s="226" t="s">
        <v>96</v>
      </c>
      <c r="B1000" s="226" t="s">
        <v>1235</v>
      </c>
      <c r="C1000" s="226" t="s">
        <v>963</v>
      </c>
      <c r="D1000" s="226" t="s">
        <v>16</v>
      </c>
      <c r="E1000" s="226" t="s">
        <v>665</v>
      </c>
      <c r="F1000" s="226">
        <v>8.4157182141771633E-2</v>
      </c>
      <c r="G1000" s="226">
        <v>0</v>
      </c>
    </row>
    <row r="1001" spans="1:7">
      <c r="A1001" s="226" t="s">
        <v>96</v>
      </c>
      <c r="B1001" s="226" t="s">
        <v>1235</v>
      </c>
      <c r="C1001" s="226" t="s">
        <v>963</v>
      </c>
      <c r="D1001" s="226" t="s">
        <v>16</v>
      </c>
      <c r="E1001" s="226" t="s">
        <v>666</v>
      </c>
      <c r="F1001" s="226">
        <v>8.4157182141771633E-2</v>
      </c>
      <c r="G1001" s="226">
        <v>0</v>
      </c>
    </row>
    <row r="1002" spans="1:7">
      <c r="A1002" s="226" t="s">
        <v>96</v>
      </c>
      <c r="B1002" s="226" t="s">
        <v>1235</v>
      </c>
      <c r="C1002" s="226" t="s">
        <v>963</v>
      </c>
      <c r="D1002" s="226" t="s">
        <v>16</v>
      </c>
      <c r="E1002" s="226" t="s">
        <v>667</v>
      </c>
      <c r="F1002" s="226">
        <v>8.4157182141771633E-2</v>
      </c>
      <c r="G1002" s="226">
        <v>0</v>
      </c>
    </row>
    <row r="1003" spans="1:7">
      <c r="A1003" s="226" t="s">
        <v>96</v>
      </c>
      <c r="B1003" s="226" t="s">
        <v>1235</v>
      </c>
      <c r="C1003" s="226" t="s">
        <v>625</v>
      </c>
      <c r="D1003" s="226" t="s">
        <v>1</v>
      </c>
      <c r="E1003" s="226" t="s">
        <v>618</v>
      </c>
      <c r="F1003" s="226">
        <v>0</v>
      </c>
      <c r="G1003" s="226">
        <v>0</v>
      </c>
    </row>
    <row r="1004" spans="1:7">
      <c r="A1004" s="226" t="s">
        <v>96</v>
      </c>
      <c r="B1004" s="226" t="s">
        <v>1235</v>
      </c>
      <c r="C1004" s="226" t="s">
        <v>625</v>
      </c>
      <c r="D1004" s="226" t="s">
        <v>1</v>
      </c>
      <c r="E1004" s="226" t="s">
        <v>619</v>
      </c>
      <c r="F1004" s="226">
        <v>0</v>
      </c>
      <c r="G1004" s="226">
        <v>0</v>
      </c>
    </row>
    <row r="1005" spans="1:7">
      <c r="A1005" s="226" t="s">
        <v>96</v>
      </c>
      <c r="B1005" s="226" t="s">
        <v>1235</v>
      </c>
      <c r="C1005" s="226" t="s">
        <v>625</v>
      </c>
      <c r="D1005" s="226" t="s">
        <v>1</v>
      </c>
      <c r="E1005" s="226" t="s">
        <v>620</v>
      </c>
      <c r="F1005" s="226">
        <v>0</v>
      </c>
      <c r="G1005" s="226">
        <v>0</v>
      </c>
    </row>
    <row r="1006" spans="1:7">
      <c r="A1006" s="226" t="s">
        <v>96</v>
      </c>
      <c r="B1006" s="226" t="s">
        <v>1235</v>
      </c>
      <c r="C1006" s="226" t="s">
        <v>625</v>
      </c>
      <c r="D1006" s="226" t="s">
        <v>1</v>
      </c>
      <c r="E1006" s="226" t="s">
        <v>660</v>
      </c>
      <c r="F1006" s="226">
        <v>1.2013811561781098E-3</v>
      </c>
      <c r="G1006" s="226">
        <v>0</v>
      </c>
    </row>
    <row r="1007" spans="1:7">
      <c r="A1007" s="226" t="s">
        <v>96</v>
      </c>
      <c r="B1007" s="226" t="s">
        <v>1235</v>
      </c>
      <c r="C1007" s="226" t="s">
        <v>625</v>
      </c>
      <c r="D1007" s="226" t="s">
        <v>1</v>
      </c>
      <c r="E1007" s="226" t="s">
        <v>661</v>
      </c>
      <c r="F1007" s="226">
        <v>2.0023019269635161E-3</v>
      </c>
      <c r="G1007" s="226">
        <v>0</v>
      </c>
    </row>
    <row r="1008" spans="1:7">
      <c r="A1008" s="226" t="s">
        <v>96</v>
      </c>
      <c r="B1008" s="226" t="s">
        <v>1235</v>
      </c>
      <c r="C1008" s="226" t="s">
        <v>625</v>
      </c>
      <c r="D1008" s="226" t="s">
        <v>1</v>
      </c>
      <c r="E1008" s="226" t="s">
        <v>662</v>
      </c>
      <c r="F1008" s="226">
        <v>2.8032226977489231E-3</v>
      </c>
      <c r="G1008" s="226">
        <v>0</v>
      </c>
    </row>
    <row r="1009" spans="1:7">
      <c r="A1009" s="226" t="s">
        <v>96</v>
      </c>
      <c r="B1009" s="226" t="s">
        <v>1235</v>
      </c>
      <c r="C1009" s="226" t="s">
        <v>625</v>
      </c>
      <c r="D1009" s="226" t="s">
        <v>1</v>
      </c>
      <c r="E1009" s="226" t="s">
        <v>663</v>
      </c>
      <c r="F1009" s="226">
        <v>2.8032226977489231E-3</v>
      </c>
      <c r="G1009" s="226">
        <v>0</v>
      </c>
    </row>
    <row r="1010" spans="1:7">
      <c r="A1010" s="226" t="s">
        <v>96</v>
      </c>
      <c r="B1010" s="226" t="s">
        <v>1235</v>
      </c>
      <c r="C1010" s="226" t="s">
        <v>625</v>
      </c>
      <c r="D1010" s="226" t="s">
        <v>1</v>
      </c>
      <c r="E1010" s="226" t="s">
        <v>664</v>
      </c>
      <c r="F1010" s="226">
        <v>2.8032226977489231E-3</v>
      </c>
      <c r="G1010" s="226">
        <v>0</v>
      </c>
    </row>
    <row r="1011" spans="1:7">
      <c r="A1011" s="226" t="s">
        <v>96</v>
      </c>
      <c r="B1011" s="226" t="s">
        <v>1235</v>
      </c>
      <c r="C1011" s="226" t="s">
        <v>625</v>
      </c>
      <c r="D1011" s="226" t="s">
        <v>1</v>
      </c>
      <c r="E1011" s="226" t="s">
        <v>665</v>
      </c>
      <c r="F1011" s="226">
        <v>2.8032226977489231E-3</v>
      </c>
      <c r="G1011" s="226">
        <v>0</v>
      </c>
    </row>
    <row r="1012" spans="1:7">
      <c r="A1012" s="226" t="s">
        <v>96</v>
      </c>
      <c r="B1012" s="226" t="s">
        <v>1235</v>
      </c>
      <c r="C1012" s="226" t="s">
        <v>625</v>
      </c>
      <c r="D1012" s="226" t="s">
        <v>1</v>
      </c>
      <c r="E1012" s="226" t="s">
        <v>666</v>
      </c>
      <c r="F1012" s="226">
        <v>2.8032226977489231E-3</v>
      </c>
      <c r="G1012" s="226">
        <v>0</v>
      </c>
    </row>
    <row r="1013" spans="1:7">
      <c r="A1013" s="226" t="s">
        <v>96</v>
      </c>
      <c r="B1013" s="226" t="s">
        <v>1235</v>
      </c>
      <c r="C1013" s="226" t="s">
        <v>625</v>
      </c>
      <c r="D1013" s="226" t="s">
        <v>1</v>
      </c>
      <c r="E1013" s="226" t="s">
        <v>667</v>
      </c>
      <c r="F1013" s="226">
        <v>2.8032226977489231E-3</v>
      </c>
      <c r="G1013" s="226">
        <v>0</v>
      </c>
    </row>
    <row r="1014" spans="1:7">
      <c r="A1014" s="226" t="s">
        <v>96</v>
      </c>
      <c r="B1014" s="226" t="s">
        <v>1235</v>
      </c>
      <c r="C1014" s="226" t="s">
        <v>625</v>
      </c>
      <c r="D1014" s="226" t="s">
        <v>6</v>
      </c>
      <c r="E1014" s="226" t="s">
        <v>618</v>
      </c>
      <c r="F1014" s="226">
        <v>2.7659494522091113E-2</v>
      </c>
      <c r="G1014" s="226">
        <v>2.7099999999999454E-2</v>
      </c>
    </row>
    <row r="1015" spans="1:7">
      <c r="A1015" s="226" t="s">
        <v>96</v>
      </c>
      <c r="B1015" s="226" t="s">
        <v>1235</v>
      </c>
      <c r="C1015" s="226" t="s">
        <v>625</v>
      </c>
      <c r="D1015" s="226" t="s">
        <v>6</v>
      </c>
      <c r="E1015" s="226" t="s">
        <v>619</v>
      </c>
      <c r="F1015" s="226">
        <v>2.3025763705475052E-3</v>
      </c>
      <c r="G1015" s="226">
        <v>2.255999999999949E-3</v>
      </c>
    </row>
    <row r="1016" spans="1:7">
      <c r="A1016" s="226" t="s">
        <v>96</v>
      </c>
      <c r="B1016" s="226" t="s">
        <v>1235</v>
      </c>
      <c r="C1016" s="226" t="s">
        <v>625</v>
      </c>
      <c r="D1016" s="226" t="s">
        <v>6</v>
      </c>
      <c r="E1016" s="226" t="s">
        <v>620</v>
      </c>
      <c r="F1016" s="226">
        <v>3.453864555821258E-3</v>
      </c>
      <c r="G1016" s="226">
        <v>3.3839999999999235E-3</v>
      </c>
    </row>
    <row r="1017" spans="1:7">
      <c r="A1017" s="226" t="s">
        <v>96</v>
      </c>
      <c r="B1017" s="226" t="s">
        <v>1235</v>
      </c>
      <c r="C1017" s="226" t="s">
        <v>625</v>
      </c>
      <c r="D1017" s="226" t="s">
        <v>6</v>
      </c>
      <c r="E1017" s="226" t="s">
        <v>660</v>
      </c>
      <c r="F1017" s="226">
        <v>0.55209946398809573</v>
      </c>
      <c r="G1017" s="226">
        <v>5.6399999999998725E-3</v>
      </c>
    </row>
    <row r="1018" spans="1:7">
      <c r="A1018" s="226" t="s">
        <v>96</v>
      </c>
      <c r="B1018" s="226" t="s">
        <v>1235</v>
      </c>
      <c r="C1018" s="226" t="s">
        <v>625</v>
      </c>
      <c r="D1018" s="226" t="s">
        <v>6</v>
      </c>
      <c r="E1018" s="226" t="s">
        <v>661</v>
      </c>
      <c r="F1018" s="226">
        <v>0.92016577331349292</v>
      </c>
      <c r="G1018" s="226">
        <v>0</v>
      </c>
    </row>
    <row r="1019" spans="1:7">
      <c r="A1019" s="226" t="s">
        <v>96</v>
      </c>
      <c r="B1019" s="226" t="s">
        <v>1235</v>
      </c>
      <c r="C1019" s="226" t="s">
        <v>625</v>
      </c>
      <c r="D1019" s="226" t="s">
        <v>6</v>
      </c>
      <c r="E1019" s="226" t="s">
        <v>662</v>
      </c>
      <c r="F1019" s="226">
        <v>1.28823208263889</v>
      </c>
      <c r="G1019" s="226">
        <v>0</v>
      </c>
    </row>
    <row r="1020" spans="1:7">
      <c r="A1020" s="226" t="s">
        <v>96</v>
      </c>
      <c r="B1020" s="226" t="s">
        <v>1235</v>
      </c>
      <c r="C1020" s="226" t="s">
        <v>625</v>
      </c>
      <c r="D1020" s="226" t="s">
        <v>6</v>
      </c>
      <c r="E1020" s="226" t="s">
        <v>663</v>
      </c>
      <c r="F1020" s="226">
        <v>1.28823208263889</v>
      </c>
      <c r="G1020" s="226">
        <v>0</v>
      </c>
    </row>
    <row r="1021" spans="1:7">
      <c r="A1021" s="226" t="s">
        <v>96</v>
      </c>
      <c r="B1021" s="226" t="s">
        <v>1235</v>
      </c>
      <c r="C1021" s="226" t="s">
        <v>625</v>
      </c>
      <c r="D1021" s="226" t="s">
        <v>6</v>
      </c>
      <c r="E1021" s="226" t="s">
        <v>664</v>
      </c>
      <c r="F1021" s="226">
        <v>1.28823208263889</v>
      </c>
      <c r="G1021" s="226">
        <v>0</v>
      </c>
    </row>
    <row r="1022" spans="1:7">
      <c r="A1022" s="226" t="s">
        <v>96</v>
      </c>
      <c r="B1022" s="226" t="s">
        <v>1235</v>
      </c>
      <c r="C1022" s="226" t="s">
        <v>625</v>
      </c>
      <c r="D1022" s="226" t="s">
        <v>6</v>
      </c>
      <c r="E1022" s="226" t="s">
        <v>665</v>
      </c>
      <c r="F1022" s="226">
        <v>1.28823208263889</v>
      </c>
      <c r="G1022" s="226">
        <v>0</v>
      </c>
    </row>
    <row r="1023" spans="1:7">
      <c r="A1023" s="226" t="s">
        <v>96</v>
      </c>
      <c r="B1023" s="226" t="s">
        <v>1235</v>
      </c>
      <c r="C1023" s="226" t="s">
        <v>625</v>
      </c>
      <c r="D1023" s="226" t="s">
        <v>6</v>
      </c>
      <c r="E1023" s="226" t="s">
        <v>666</v>
      </c>
      <c r="F1023" s="226">
        <v>1.28823208263889</v>
      </c>
      <c r="G1023" s="226">
        <v>0</v>
      </c>
    </row>
    <row r="1024" spans="1:7">
      <c r="A1024" s="226" t="s">
        <v>96</v>
      </c>
      <c r="B1024" s="226" t="s">
        <v>1235</v>
      </c>
      <c r="C1024" s="226" t="s">
        <v>625</v>
      </c>
      <c r="D1024" s="226" t="s">
        <v>6</v>
      </c>
      <c r="E1024" s="226" t="s">
        <v>667</v>
      </c>
      <c r="F1024" s="226">
        <v>1.28823208263889</v>
      </c>
      <c r="G1024" s="226">
        <v>0</v>
      </c>
    </row>
    <row r="1025" spans="1:7">
      <c r="A1025" s="226" t="s">
        <v>96</v>
      </c>
      <c r="B1025" s="226" t="s">
        <v>1235</v>
      </c>
      <c r="C1025" s="226" t="s">
        <v>627</v>
      </c>
      <c r="D1025" s="226" t="s">
        <v>13</v>
      </c>
      <c r="E1025" s="226" t="s">
        <v>618</v>
      </c>
      <c r="F1025" s="226">
        <v>0.17560342196390183</v>
      </c>
      <c r="G1025" s="226">
        <v>0.12720000000000073</v>
      </c>
    </row>
    <row r="1026" spans="1:7">
      <c r="A1026" s="226" t="s">
        <v>96</v>
      </c>
      <c r="B1026" s="226" t="s">
        <v>1235</v>
      </c>
      <c r="C1026" s="226" t="s">
        <v>627</v>
      </c>
      <c r="D1026" s="226" t="s">
        <v>13</v>
      </c>
      <c r="E1026" s="226" t="s">
        <v>619</v>
      </c>
      <c r="F1026" s="226">
        <v>8.2831802813160771E-2</v>
      </c>
      <c r="G1026" s="226">
        <v>0.06</v>
      </c>
    </row>
    <row r="1027" spans="1:7">
      <c r="A1027" s="226" t="s">
        <v>96</v>
      </c>
      <c r="B1027" s="226" t="s">
        <v>1235</v>
      </c>
      <c r="C1027" s="226" t="s">
        <v>627</v>
      </c>
      <c r="D1027" s="226" t="s">
        <v>13</v>
      </c>
      <c r="E1027" s="226" t="s">
        <v>620</v>
      </c>
      <c r="F1027" s="226">
        <v>0.81451272766274763</v>
      </c>
      <c r="G1027" s="226">
        <v>0.59</v>
      </c>
    </row>
    <row r="1028" spans="1:7">
      <c r="A1028" s="226" t="s">
        <v>96</v>
      </c>
      <c r="B1028" s="226" t="s">
        <v>1235</v>
      </c>
      <c r="C1028" s="226" t="s">
        <v>627</v>
      </c>
      <c r="D1028" s="226" t="s">
        <v>13</v>
      </c>
      <c r="E1028" s="226" t="s">
        <v>660</v>
      </c>
      <c r="F1028" s="226">
        <v>0.29710415283181674</v>
      </c>
      <c r="G1028" s="226">
        <v>0.15</v>
      </c>
    </row>
    <row r="1029" spans="1:7">
      <c r="A1029" s="226" t="s">
        <v>96</v>
      </c>
      <c r="B1029" s="226" t="s">
        <v>1235</v>
      </c>
      <c r="C1029" s="226" t="s">
        <v>627</v>
      </c>
      <c r="D1029" s="226" t="s">
        <v>13</v>
      </c>
      <c r="E1029" s="226" t="s">
        <v>661</v>
      </c>
      <c r="F1029" s="226">
        <v>0.49517358805302786</v>
      </c>
      <c r="G1029" s="226">
        <v>0</v>
      </c>
    </row>
    <row r="1030" spans="1:7">
      <c r="A1030" s="226" t="s">
        <v>96</v>
      </c>
      <c r="B1030" s="226" t="s">
        <v>1235</v>
      </c>
      <c r="C1030" s="226" t="s">
        <v>627</v>
      </c>
      <c r="D1030" s="226" t="s">
        <v>13</v>
      </c>
      <c r="E1030" s="226" t="s">
        <v>662</v>
      </c>
      <c r="F1030" s="226">
        <v>0.69324302327423903</v>
      </c>
      <c r="G1030" s="226">
        <v>0</v>
      </c>
    </row>
    <row r="1031" spans="1:7">
      <c r="A1031" s="226" t="s">
        <v>96</v>
      </c>
      <c r="B1031" s="226" t="s">
        <v>1235</v>
      </c>
      <c r="C1031" s="226" t="s">
        <v>627</v>
      </c>
      <c r="D1031" s="226" t="s">
        <v>13</v>
      </c>
      <c r="E1031" s="226" t="s">
        <v>663</v>
      </c>
      <c r="F1031" s="226">
        <v>0.69324302327423903</v>
      </c>
      <c r="G1031" s="226">
        <v>0</v>
      </c>
    </row>
    <row r="1032" spans="1:7">
      <c r="A1032" s="226" t="s">
        <v>96</v>
      </c>
      <c r="B1032" s="226" t="s">
        <v>1235</v>
      </c>
      <c r="C1032" s="226" t="s">
        <v>627</v>
      </c>
      <c r="D1032" s="226" t="s">
        <v>13</v>
      </c>
      <c r="E1032" s="226" t="s">
        <v>664</v>
      </c>
      <c r="F1032" s="226">
        <v>0.69324302327423903</v>
      </c>
      <c r="G1032" s="226">
        <v>0</v>
      </c>
    </row>
    <row r="1033" spans="1:7">
      <c r="A1033" s="226" t="s">
        <v>96</v>
      </c>
      <c r="B1033" s="226" t="s">
        <v>1235</v>
      </c>
      <c r="C1033" s="226" t="s">
        <v>627</v>
      </c>
      <c r="D1033" s="226" t="s">
        <v>13</v>
      </c>
      <c r="E1033" s="226" t="s">
        <v>665</v>
      </c>
      <c r="F1033" s="226">
        <v>0.69324302327423903</v>
      </c>
      <c r="G1033" s="226">
        <v>0</v>
      </c>
    </row>
    <row r="1034" spans="1:7">
      <c r="A1034" s="226" t="s">
        <v>96</v>
      </c>
      <c r="B1034" s="226" t="s">
        <v>1235</v>
      </c>
      <c r="C1034" s="226" t="s">
        <v>627</v>
      </c>
      <c r="D1034" s="226" t="s">
        <v>13</v>
      </c>
      <c r="E1034" s="226" t="s">
        <v>666</v>
      </c>
      <c r="F1034" s="226">
        <v>0.69324302327423903</v>
      </c>
      <c r="G1034" s="226">
        <v>0</v>
      </c>
    </row>
    <row r="1035" spans="1:7">
      <c r="A1035" s="226" t="s">
        <v>96</v>
      </c>
      <c r="B1035" s="226" t="s">
        <v>1235</v>
      </c>
      <c r="C1035" s="226" t="s">
        <v>627</v>
      </c>
      <c r="D1035" s="226" t="s">
        <v>13</v>
      </c>
      <c r="E1035" s="226" t="s">
        <v>667</v>
      </c>
      <c r="F1035" s="226">
        <v>0.69324302327423903</v>
      </c>
      <c r="G1035" s="226">
        <v>0</v>
      </c>
    </row>
    <row r="1036" spans="1:7">
      <c r="A1036" s="226" t="s">
        <v>96</v>
      </c>
      <c r="B1036" s="226" t="s">
        <v>1235</v>
      </c>
      <c r="C1036" s="226" t="s">
        <v>627</v>
      </c>
      <c r="D1036" s="226" t="s">
        <v>15</v>
      </c>
      <c r="E1036" s="226" t="s">
        <v>618</v>
      </c>
      <c r="F1036" s="226">
        <v>0</v>
      </c>
      <c r="G1036" s="226">
        <v>0</v>
      </c>
    </row>
    <row r="1037" spans="1:7">
      <c r="A1037" s="226" t="s">
        <v>96</v>
      </c>
      <c r="B1037" s="226" t="s">
        <v>1235</v>
      </c>
      <c r="C1037" s="226" t="s">
        <v>627</v>
      </c>
      <c r="D1037" s="226" t="s">
        <v>15</v>
      </c>
      <c r="E1037" s="226" t="s">
        <v>619</v>
      </c>
      <c r="F1037" s="226">
        <v>0</v>
      </c>
      <c r="G1037" s="226">
        <v>0</v>
      </c>
    </row>
    <row r="1038" spans="1:7">
      <c r="A1038" s="226" t="s">
        <v>96</v>
      </c>
      <c r="B1038" s="226" t="s">
        <v>1235</v>
      </c>
      <c r="C1038" s="226" t="s">
        <v>627</v>
      </c>
      <c r="D1038" s="226" t="s">
        <v>15</v>
      </c>
      <c r="E1038" s="226" t="s">
        <v>620</v>
      </c>
      <c r="F1038" s="226">
        <v>0</v>
      </c>
      <c r="G1038" s="226">
        <v>0</v>
      </c>
    </row>
    <row r="1039" spans="1:7">
      <c r="A1039" s="226" t="s">
        <v>96</v>
      </c>
      <c r="B1039" s="226" t="s">
        <v>1235</v>
      </c>
      <c r="C1039" s="226" t="s">
        <v>627</v>
      </c>
      <c r="D1039" s="226" t="s">
        <v>15</v>
      </c>
      <c r="E1039" s="226" t="s">
        <v>660</v>
      </c>
      <c r="F1039" s="226">
        <v>0.1073248237902279</v>
      </c>
      <c r="G1039" s="226">
        <v>0</v>
      </c>
    </row>
    <row r="1040" spans="1:7">
      <c r="A1040" s="226" t="s">
        <v>96</v>
      </c>
      <c r="B1040" s="226" t="s">
        <v>1235</v>
      </c>
      <c r="C1040" s="226" t="s">
        <v>627</v>
      </c>
      <c r="D1040" s="226" t="s">
        <v>15</v>
      </c>
      <c r="E1040" s="226" t="s">
        <v>661</v>
      </c>
      <c r="F1040" s="226">
        <v>0.17887470631704649</v>
      </c>
      <c r="G1040" s="226">
        <v>0</v>
      </c>
    </row>
    <row r="1041" spans="1:7">
      <c r="A1041" s="226" t="s">
        <v>96</v>
      </c>
      <c r="B1041" s="226" t="s">
        <v>1235</v>
      </c>
      <c r="C1041" s="226" t="s">
        <v>627</v>
      </c>
      <c r="D1041" s="226" t="s">
        <v>15</v>
      </c>
      <c r="E1041" s="226" t="s">
        <v>662</v>
      </c>
      <c r="F1041" s="226">
        <v>0.25042458884386509</v>
      </c>
      <c r="G1041" s="226">
        <v>0</v>
      </c>
    </row>
    <row r="1042" spans="1:7">
      <c r="A1042" s="226" t="s">
        <v>96</v>
      </c>
      <c r="B1042" s="226" t="s">
        <v>1235</v>
      </c>
      <c r="C1042" s="226" t="s">
        <v>627</v>
      </c>
      <c r="D1042" s="226" t="s">
        <v>15</v>
      </c>
      <c r="E1042" s="226" t="s">
        <v>663</v>
      </c>
      <c r="F1042" s="226">
        <v>0.25042458884386509</v>
      </c>
      <c r="G1042" s="226">
        <v>0</v>
      </c>
    </row>
    <row r="1043" spans="1:7">
      <c r="A1043" s="226" t="s">
        <v>96</v>
      </c>
      <c r="B1043" s="226" t="s">
        <v>1235</v>
      </c>
      <c r="C1043" s="226" t="s">
        <v>627</v>
      </c>
      <c r="D1043" s="226" t="s">
        <v>15</v>
      </c>
      <c r="E1043" s="226" t="s">
        <v>664</v>
      </c>
      <c r="F1043" s="226">
        <v>0.25042458884386509</v>
      </c>
      <c r="G1043" s="226">
        <v>0</v>
      </c>
    </row>
    <row r="1044" spans="1:7">
      <c r="A1044" s="226" t="s">
        <v>96</v>
      </c>
      <c r="B1044" s="226" t="s">
        <v>1235</v>
      </c>
      <c r="C1044" s="226" t="s">
        <v>627</v>
      </c>
      <c r="D1044" s="226" t="s">
        <v>15</v>
      </c>
      <c r="E1044" s="226" t="s">
        <v>665</v>
      </c>
      <c r="F1044" s="226">
        <v>0.25042458884386509</v>
      </c>
      <c r="G1044" s="226">
        <v>0</v>
      </c>
    </row>
    <row r="1045" spans="1:7">
      <c r="A1045" s="226" t="s">
        <v>96</v>
      </c>
      <c r="B1045" s="226" t="s">
        <v>1235</v>
      </c>
      <c r="C1045" s="226" t="s">
        <v>627</v>
      </c>
      <c r="D1045" s="226" t="s">
        <v>15</v>
      </c>
      <c r="E1045" s="226" t="s">
        <v>666</v>
      </c>
      <c r="F1045" s="226">
        <v>0.25042458884386509</v>
      </c>
      <c r="G1045" s="226">
        <v>0</v>
      </c>
    </row>
    <row r="1046" spans="1:7">
      <c r="A1046" s="226" t="s">
        <v>96</v>
      </c>
      <c r="B1046" s="226" t="s">
        <v>1235</v>
      </c>
      <c r="C1046" s="226" t="s">
        <v>627</v>
      </c>
      <c r="D1046" s="226" t="s">
        <v>15</v>
      </c>
      <c r="E1046" s="226" t="s">
        <v>667</v>
      </c>
      <c r="F1046" s="226">
        <v>0.25042458884386509</v>
      </c>
      <c r="G1046" s="226">
        <v>0</v>
      </c>
    </row>
    <row r="1047" spans="1:7">
      <c r="A1047" s="226" t="s">
        <v>96</v>
      </c>
      <c r="B1047" s="226" t="s">
        <v>1235</v>
      </c>
      <c r="C1047" s="226" t="s">
        <v>625</v>
      </c>
      <c r="D1047" s="226" t="s">
        <v>0</v>
      </c>
      <c r="E1047" s="226" t="s">
        <v>618</v>
      </c>
      <c r="F1047" s="226">
        <v>0</v>
      </c>
      <c r="G1047" s="226">
        <v>0</v>
      </c>
    </row>
    <row r="1048" spans="1:7">
      <c r="A1048" s="226" t="s">
        <v>96</v>
      </c>
      <c r="B1048" s="226" t="s">
        <v>1235</v>
      </c>
      <c r="C1048" s="226" t="s">
        <v>625</v>
      </c>
      <c r="D1048" s="226" t="s">
        <v>0</v>
      </c>
      <c r="E1048" s="226" t="s">
        <v>619</v>
      </c>
      <c r="F1048" s="226">
        <v>0</v>
      </c>
      <c r="G1048" s="226">
        <v>0</v>
      </c>
    </row>
    <row r="1049" spans="1:7">
      <c r="A1049" s="226" t="s">
        <v>96</v>
      </c>
      <c r="B1049" s="226" t="s">
        <v>1235</v>
      </c>
      <c r="C1049" s="226" t="s">
        <v>625</v>
      </c>
      <c r="D1049" s="226" t="s">
        <v>0</v>
      </c>
      <c r="E1049" s="226" t="s">
        <v>620</v>
      </c>
      <c r="F1049" s="226">
        <v>0</v>
      </c>
      <c r="G1049" s="226">
        <v>0</v>
      </c>
    </row>
    <row r="1050" spans="1:7">
      <c r="A1050" s="226" t="s">
        <v>96</v>
      </c>
      <c r="B1050" s="226" t="s">
        <v>1235</v>
      </c>
      <c r="C1050" s="226" t="s">
        <v>625</v>
      </c>
      <c r="D1050" s="226" t="s">
        <v>0</v>
      </c>
      <c r="E1050" s="226" t="s">
        <v>660</v>
      </c>
      <c r="F1050" s="226">
        <v>4.3647300997837803E-4</v>
      </c>
      <c r="G1050" s="226">
        <v>0</v>
      </c>
    </row>
    <row r="1051" spans="1:7">
      <c r="A1051" s="226" t="s">
        <v>96</v>
      </c>
      <c r="B1051" s="226" t="s">
        <v>1235</v>
      </c>
      <c r="C1051" s="226" t="s">
        <v>625</v>
      </c>
      <c r="D1051" s="226" t="s">
        <v>0</v>
      </c>
      <c r="E1051" s="226" t="s">
        <v>661</v>
      </c>
      <c r="F1051" s="226">
        <v>7.2745501663063004E-4</v>
      </c>
      <c r="G1051" s="226">
        <v>0</v>
      </c>
    </row>
    <row r="1052" spans="1:7">
      <c r="A1052" s="226" t="s">
        <v>96</v>
      </c>
      <c r="B1052" s="226" t="s">
        <v>1235</v>
      </c>
      <c r="C1052" s="226" t="s">
        <v>625</v>
      </c>
      <c r="D1052" s="226" t="s">
        <v>0</v>
      </c>
      <c r="E1052" s="226" t="s">
        <v>662</v>
      </c>
      <c r="F1052" s="226">
        <v>1.0184370232828822E-3</v>
      </c>
      <c r="G1052" s="226">
        <v>0</v>
      </c>
    </row>
    <row r="1053" spans="1:7">
      <c r="A1053" s="226" t="s">
        <v>96</v>
      </c>
      <c r="B1053" s="226" t="s">
        <v>1235</v>
      </c>
      <c r="C1053" s="226" t="s">
        <v>625</v>
      </c>
      <c r="D1053" s="226" t="s">
        <v>0</v>
      </c>
      <c r="E1053" s="226" t="s">
        <v>663</v>
      </c>
      <c r="F1053" s="226">
        <v>1.0184370232828822E-3</v>
      </c>
      <c r="G1053" s="226">
        <v>0</v>
      </c>
    </row>
    <row r="1054" spans="1:7">
      <c r="A1054" s="226" t="s">
        <v>96</v>
      </c>
      <c r="B1054" s="226" t="s">
        <v>1235</v>
      </c>
      <c r="C1054" s="226" t="s">
        <v>625</v>
      </c>
      <c r="D1054" s="226" t="s">
        <v>0</v>
      </c>
      <c r="E1054" s="226" t="s">
        <v>664</v>
      </c>
      <c r="F1054" s="226">
        <v>1.0184370232828822E-3</v>
      </c>
      <c r="G1054" s="226">
        <v>0</v>
      </c>
    </row>
    <row r="1055" spans="1:7">
      <c r="A1055" s="226" t="s">
        <v>96</v>
      </c>
      <c r="B1055" s="226" t="s">
        <v>1235</v>
      </c>
      <c r="C1055" s="226" t="s">
        <v>625</v>
      </c>
      <c r="D1055" s="226" t="s">
        <v>0</v>
      </c>
      <c r="E1055" s="226" t="s">
        <v>665</v>
      </c>
      <c r="F1055" s="226">
        <v>1.0184370232828822E-3</v>
      </c>
      <c r="G1055" s="226">
        <v>0</v>
      </c>
    </row>
    <row r="1056" spans="1:7">
      <c r="A1056" s="226" t="s">
        <v>96</v>
      </c>
      <c r="B1056" s="226" t="s">
        <v>1235</v>
      </c>
      <c r="C1056" s="226" t="s">
        <v>625</v>
      </c>
      <c r="D1056" s="226" t="s">
        <v>0</v>
      </c>
      <c r="E1056" s="226" t="s">
        <v>666</v>
      </c>
      <c r="F1056" s="226">
        <v>1.0184370232828822E-3</v>
      </c>
      <c r="G1056" s="226">
        <v>0</v>
      </c>
    </row>
    <row r="1057" spans="1:7">
      <c r="A1057" s="226" t="s">
        <v>96</v>
      </c>
      <c r="B1057" s="226" t="s">
        <v>1235</v>
      </c>
      <c r="C1057" s="226" t="s">
        <v>625</v>
      </c>
      <c r="D1057" s="226" t="s">
        <v>0</v>
      </c>
      <c r="E1057" s="226" t="s">
        <v>667</v>
      </c>
      <c r="F1057" s="226">
        <v>1.0184370232828822E-3</v>
      </c>
      <c r="G1057" s="226">
        <v>0</v>
      </c>
    </row>
    <row r="1058" spans="1:7">
      <c r="A1058" s="226" t="s">
        <v>96</v>
      </c>
      <c r="B1058" s="226" t="s">
        <v>1235</v>
      </c>
      <c r="C1058" s="226" t="s">
        <v>625</v>
      </c>
      <c r="D1058" s="226" t="s">
        <v>4</v>
      </c>
      <c r="E1058" s="226" t="s">
        <v>618</v>
      </c>
      <c r="F1058" s="226">
        <v>0</v>
      </c>
      <c r="G1058" s="226">
        <v>0</v>
      </c>
    </row>
    <row r="1059" spans="1:7">
      <c r="A1059" s="226" t="s">
        <v>96</v>
      </c>
      <c r="B1059" s="226" t="s">
        <v>1235</v>
      </c>
      <c r="C1059" s="226" t="s">
        <v>625</v>
      </c>
      <c r="D1059" s="226" t="s">
        <v>4</v>
      </c>
      <c r="E1059" s="226" t="s">
        <v>619</v>
      </c>
      <c r="F1059" s="226">
        <v>0</v>
      </c>
      <c r="G1059" s="226">
        <v>0</v>
      </c>
    </row>
    <row r="1060" spans="1:7">
      <c r="A1060" s="226" t="s">
        <v>96</v>
      </c>
      <c r="B1060" s="226" t="s">
        <v>1235</v>
      </c>
      <c r="C1060" s="226" t="s">
        <v>625</v>
      </c>
      <c r="D1060" s="226" t="s">
        <v>4</v>
      </c>
      <c r="E1060" s="226" t="s">
        <v>620</v>
      </c>
      <c r="F1060" s="226">
        <v>0</v>
      </c>
      <c r="G1060" s="226">
        <v>0</v>
      </c>
    </row>
    <row r="1061" spans="1:7">
      <c r="A1061" s="226" t="s">
        <v>96</v>
      </c>
      <c r="B1061" s="226" t="s">
        <v>1235</v>
      </c>
      <c r="C1061" s="226" t="s">
        <v>625</v>
      </c>
      <c r="D1061" s="226" t="s">
        <v>4</v>
      </c>
      <c r="E1061" s="226" t="s">
        <v>660</v>
      </c>
      <c r="F1061" s="226">
        <v>2.3336180731517241E-4</v>
      </c>
      <c r="G1061" s="226">
        <v>0</v>
      </c>
    </row>
    <row r="1062" spans="1:7">
      <c r="A1062" s="226" t="s">
        <v>96</v>
      </c>
      <c r="B1062" s="226" t="s">
        <v>1235</v>
      </c>
      <c r="C1062" s="226" t="s">
        <v>625</v>
      </c>
      <c r="D1062" s="226" t="s">
        <v>4</v>
      </c>
      <c r="E1062" s="226" t="s">
        <v>661</v>
      </c>
      <c r="F1062" s="226">
        <v>3.8893634552528736E-4</v>
      </c>
      <c r="G1062" s="226">
        <v>0</v>
      </c>
    </row>
    <row r="1063" spans="1:7">
      <c r="A1063" s="226" t="s">
        <v>96</v>
      </c>
      <c r="B1063" s="226" t="s">
        <v>1235</v>
      </c>
      <c r="C1063" s="226" t="s">
        <v>625</v>
      </c>
      <c r="D1063" s="226" t="s">
        <v>4</v>
      </c>
      <c r="E1063" s="226" t="s">
        <v>662</v>
      </c>
      <c r="F1063" s="226">
        <v>5.4451088373540235E-4</v>
      </c>
      <c r="G1063" s="226">
        <v>0</v>
      </c>
    </row>
    <row r="1064" spans="1:7">
      <c r="A1064" s="226" t="s">
        <v>96</v>
      </c>
      <c r="B1064" s="226" t="s">
        <v>1235</v>
      </c>
      <c r="C1064" s="226" t="s">
        <v>625</v>
      </c>
      <c r="D1064" s="226" t="s">
        <v>4</v>
      </c>
      <c r="E1064" s="226" t="s">
        <v>663</v>
      </c>
      <c r="F1064" s="226">
        <v>5.4451088373540235E-4</v>
      </c>
      <c r="G1064" s="226">
        <v>0</v>
      </c>
    </row>
    <row r="1065" spans="1:7">
      <c r="A1065" s="226" t="s">
        <v>96</v>
      </c>
      <c r="B1065" s="226" t="s">
        <v>1235</v>
      </c>
      <c r="C1065" s="226" t="s">
        <v>625</v>
      </c>
      <c r="D1065" s="226" t="s">
        <v>4</v>
      </c>
      <c r="E1065" s="226" t="s">
        <v>664</v>
      </c>
      <c r="F1065" s="226">
        <v>5.4451088373540235E-4</v>
      </c>
      <c r="G1065" s="226">
        <v>0</v>
      </c>
    </row>
    <row r="1066" spans="1:7">
      <c r="A1066" s="226" t="s">
        <v>96</v>
      </c>
      <c r="B1066" s="226" t="s">
        <v>1235</v>
      </c>
      <c r="C1066" s="226" t="s">
        <v>625</v>
      </c>
      <c r="D1066" s="226" t="s">
        <v>4</v>
      </c>
      <c r="E1066" s="226" t="s">
        <v>665</v>
      </c>
      <c r="F1066" s="226">
        <v>5.4451088373540235E-4</v>
      </c>
      <c r="G1066" s="226">
        <v>0</v>
      </c>
    </row>
    <row r="1067" spans="1:7">
      <c r="A1067" s="226" t="s">
        <v>96</v>
      </c>
      <c r="B1067" s="226" t="s">
        <v>1235</v>
      </c>
      <c r="C1067" s="226" t="s">
        <v>625</v>
      </c>
      <c r="D1067" s="226" t="s">
        <v>4</v>
      </c>
      <c r="E1067" s="226" t="s">
        <v>666</v>
      </c>
      <c r="F1067" s="226">
        <v>5.4451088373540235E-4</v>
      </c>
      <c r="G1067" s="226">
        <v>0</v>
      </c>
    </row>
    <row r="1068" spans="1:7">
      <c r="A1068" s="226" t="s">
        <v>96</v>
      </c>
      <c r="B1068" s="226" t="s">
        <v>1235</v>
      </c>
      <c r="C1068" s="226" t="s">
        <v>625</v>
      </c>
      <c r="D1068" s="226" t="s">
        <v>4</v>
      </c>
      <c r="E1068" s="226" t="s">
        <v>667</v>
      </c>
      <c r="F1068" s="226">
        <v>5.4451088373540235E-4</v>
      </c>
      <c r="G1068" s="226">
        <v>0</v>
      </c>
    </row>
    <row r="1069" spans="1:7">
      <c r="A1069" s="226" t="s">
        <v>96</v>
      </c>
      <c r="B1069" s="226" t="s">
        <v>1235</v>
      </c>
      <c r="C1069" s="226" t="s">
        <v>963</v>
      </c>
      <c r="D1069" s="226" t="s">
        <v>17</v>
      </c>
      <c r="E1069" s="226" t="s">
        <v>618</v>
      </c>
      <c r="F1069" s="226">
        <v>0</v>
      </c>
      <c r="G1069" s="226">
        <v>0</v>
      </c>
    </row>
    <row r="1070" spans="1:7">
      <c r="A1070" s="226" t="s">
        <v>96</v>
      </c>
      <c r="B1070" s="226" t="s">
        <v>1235</v>
      </c>
      <c r="C1070" s="226" t="s">
        <v>963</v>
      </c>
      <c r="D1070" s="226" t="s">
        <v>17</v>
      </c>
      <c r="E1070" s="226" t="s">
        <v>619</v>
      </c>
      <c r="F1070" s="226">
        <v>4.0000000000000002E-4</v>
      </c>
      <c r="G1070" s="226">
        <v>4.0000000000000002E-4</v>
      </c>
    </row>
    <row r="1071" spans="1:7">
      <c r="A1071" s="226" t="s">
        <v>96</v>
      </c>
      <c r="B1071" s="226" t="s">
        <v>1235</v>
      </c>
      <c r="C1071" s="226" t="s">
        <v>963</v>
      </c>
      <c r="D1071" s="226" t="s">
        <v>17</v>
      </c>
      <c r="E1071" s="226" t="s">
        <v>620</v>
      </c>
      <c r="F1071" s="226">
        <v>5.9999999999999995E-4</v>
      </c>
      <c r="G1071" s="226">
        <v>5.9999999999999995E-4</v>
      </c>
    </row>
    <row r="1072" spans="1:7">
      <c r="A1072" s="226" t="s">
        <v>96</v>
      </c>
      <c r="B1072" s="226" t="s">
        <v>1235</v>
      </c>
      <c r="C1072" s="226" t="s">
        <v>963</v>
      </c>
      <c r="D1072" s="226" t="s">
        <v>17</v>
      </c>
      <c r="E1072" s="226" t="s">
        <v>660</v>
      </c>
      <c r="F1072" s="226">
        <v>4.537590697795019E-3</v>
      </c>
      <c r="G1072" s="226">
        <v>1E-3</v>
      </c>
    </row>
    <row r="1073" spans="1:7">
      <c r="A1073" s="226" t="s">
        <v>96</v>
      </c>
      <c r="B1073" s="226" t="s">
        <v>1235</v>
      </c>
      <c r="C1073" s="226" t="s">
        <v>963</v>
      </c>
      <c r="D1073" s="226" t="s">
        <v>17</v>
      </c>
      <c r="E1073" s="226" t="s">
        <v>661</v>
      </c>
      <c r="F1073" s="226">
        <v>7.5626511629916984E-3</v>
      </c>
      <c r="G1073" s="226">
        <v>0</v>
      </c>
    </row>
    <row r="1074" spans="1:7">
      <c r="A1074" s="226" t="s">
        <v>96</v>
      </c>
      <c r="B1074" s="226" t="s">
        <v>1235</v>
      </c>
      <c r="C1074" s="226" t="s">
        <v>963</v>
      </c>
      <c r="D1074" s="226" t="s">
        <v>17</v>
      </c>
      <c r="E1074" s="226" t="s">
        <v>662</v>
      </c>
      <c r="F1074" s="226">
        <v>1.0587711628188378E-2</v>
      </c>
      <c r="G1074" s="226">
        <v>0</v>
      </c>
    </row>
    <row r="1075" spans="1:7">
      <c r="A1075" s="226" t="s">
        <v>96</v>
      </c>
      <c r="B1075" s="226" t="s">
        <v>1235</v>
      </c>
      <c r="C1075" s="226" t="s">
        <v>963</v>
      </c>
      <c r="D1075" s="226" t="s">
        <v>17</v>
      </c>
      <c r="E1075" s="226" t="s">
        <v>663</v>
      </c>
      <c r="F1075" s="226">
        <v>1.0587711628188378E-2</v>
      </c>
      <c r="G1075" s="226">
        <v>0</v>
      </c>
    </row>
    <row r="1076" spans="1:7">
      <c r="A1076" s="226" t="s">
        <v>96</v>
      </c>
      <c r="B1076" s="226" t="s">
        <v>1235</v>
      </c>
      <c r="C1076" s="226" t="s">
        <v>963</v>
      </c>
      <c r="D1076" s="226" t="s">
        <v>17</v>
      </c>
      <c r="E1076" s="226" t="s">
        <v>664</v>
      </c>
      <c r="F1076" s="226">
        <v>1.0587711628188378E-2</v>
      </c>
      <c r="G1076" s="226">
        <v>0</v>
      </c>
    </row>
    <row r="1077" spans="1:7">
      <c r="A1077" s="226" t="s">
        <v>96</v>
      </c>
      <c r="B1077" s="226" t="s">
        <v>1235</v>
      </c>
      <c r="C1077" s="226" t="s">
        <v>963</v>
      </c>
      <c r="D1077" s="226" t="s">
        <v>17</v>
      </c>
      <c r="E1077" s="226" t="s">
        <v>665</v>
      </c>
      <c r="F1077" s="226">
        <v>1.0587711628188378E-2</v>
      </c>
      <c r="G1077" s="226">
        <v>0</v>
      </c>
    </row>
    <row r="1078" spans="1:7">
      <c r="A1078" s="226" t="s">
        <v>96</v>
      </c>
      <c r="B1078" s="226" t="s">
        <v>1235</v>
      </c>
      <c r="C1078" s="226" t="s">
        <v>963</v>
      </c>
      <c r="D1078" s="226" t="s">
        <v>17</v>
      </c>
      <c r="E1078" s="226" t="s">
        <v>666</v>
      </c>
      <c r="F1078" s="226">
        <v>1.0587711628188378E-2</v>
      </c>
      <c r="G1078" s="226">
        <v>0</v>
      </c>
    </row>
    <row r="1079" spans="1:7">
      <c r="A1079" s="226" t="s">
        <v>96</v>
      </c>
      <c r="B1079" s="226" t="s">
        <v>1235</v>
      </c>
      <c r="C1079" s="226" t="s">
        <v>963</v>
      </c>
      <c r="D1079" s="226" t="s">
        <v>17</v>
      </c>
      <c r="E1079" s="226" t="s">
        <v>667</v>
      </c>
      <c r="F1079" s="226">
        <v>1.0587711628188378E-2</v>
      </c>
      <c r="G1079" s="226">
        <v>0</v>
      </c>
    </row>
    <row r="1080" spans="1:7">
      <c r="A1080" s="226" t="s">
        <v>96</v>
      </c>
      <c r="B1080" s="226" t="s">
        <v>1235</v>
      </c>
      <c r="C1080" s="226" t="s">
        <v>626</v>
      </c>
      <c r="D1080" s="226" t="s">
        <v>92</v>
      </c>
      <c r="E1080" s="226" t="s">
        <v>618</v>
      </c>
      <c r="F1080" s="226">
        <v>0</v>
      </c>
      <c r="G1080" s="226">
        <v>0</v>
      </c>
    </row>
    <row r="1081" spans="1:7">
      <c r="A1081" s="226" t="s">
        <v>96</v>
      </c>
      <c r="B1081" s="226" t="s">
        <v>1235</v>
      </c>
      <c r="C1081" s="226" t="s">
        <v>626</v>
      </c>
      <c r="D1081" s="226" t="s">
        <v>92</v>
      </c>
      <c r="E1081" s="226" t="s">
        <v>619</v>
      </c>
      <c r="F1081" s="226">
        <v>0</v>
      </c>
      <c r="G1081" s="226">
        <v>0</v>
      </c>
    </row>
    <row r="1082" spans="1:7">
      <c r="A1082" s="226" t="s">
        <v>96</v>
      </c>
      <c r="B1082" s="226" t="s">
        <v>1235</v>
      </c>
      <c r="C1082" s="226" t="s">
        <v>626</v>
      </c>
      <c r="D1082" s="226" t="s">
        <v>92</v>
      </c>
      <c r="E1082" s="226" t="s">
        <v>620</v>
      </c>
      <c r="F1082" s="226">
        <v>0</v>
      </c>
      <c r="G1082" s="226">
        <v>0</v>
      </c>
    </row>
    <row r="1083" spans="1:7">
      <c r="A1083" s="226" t="s">
        <v>96</v>
      </c>
      <c r="B1083" s="226" t="s">
        <v>1235</v>
      </c>
      <c r="C1083" s="226" t="s">
        <v>626</v>
      </c>
      <c r="D1083" s="226" t="s">
        <v>92</v>
      </c>
      <c r="E1083" s="226" t="s">
        <v>660</v>
      </c>
      <c r="F1083" s="226">
        <v>1.6508187110073308E-3</v>
      </c>
      <c r="G1083" s="226">
        <v>0</v>
      </c>
    </row>
    <row r="1084" spans="1:7">
      <c r="A1084" s="226" t="s">
        <v>96</v>
      </c>
      <c r="B1084" s="226" t="s">
        <v>1235</v>
      </c>
      <c r="C1084" s="226" t="s">
        <v>626</v>
      </c>
      <c r="D1084" s="226" t="s">
        <v>92</v>
      </c>
      <c r="E1084" s="226" t="s">
        <v>661</v>
      </c>
      <c r="F1084" s="226">
        <v>2.751364518345551E-3</v>
      </c>
      <c r="G1084" s="226">
        <v>0</v>
      </c>
    </row>
    <row r="1085" spans="1:7">
      <c r="A1085" s="226" t="s">
        <v>96</v>
      </c>
      <c r="B1085" s="226" t="s">
        <v>1235</v>
      </c>
      <c r="C1085" s="226" t="s">
        <v>626</v>
      </c>
      <c r="D1085" s="226" t="s">
        <v>92</v>
      </c>
      <c r="E1085" s="226" t="s">
        <v>662</v>
      </c>
      <c r="F1085" s="226">
        <v>3.8519103256837717E-3</v>
      </c>
      <c r="G1085" s="226">
        <v>0</v>
      </c>
    </row>
    <row r="1086" spans="1:7">
      <c r="A1086" s="226" t="s">
        <v>96</v>
      </c>
      <c r="B1086" s="226" t="s">
        <v>1235</v>
      </c>
      <c r="C1086" s="226" t="s">
        <v>626</v>
      </c>
      <c r="D1086" s="226" t="s">
        <v>92</v>
      </c>
      <c r="E1086" s="226" t="s">
        <v>663</v>
      </c>
      <c r="F1086" s="226">
        <v>3.8519103256837717E-3</v>
      </c>
      <c r="G1086" s="226">
        <v>0</v>
      </c>
    </row>
    <row r="1087" spans="1:7">
      <c r="A1087" s="226" t="s">
        <v>96</v>
      </c>
      <c r="B1087" s="226" t="s">
        <v>1235</v>
      </c>
      <c r="C1087" s="226" t="s">
        <v>626</v>
      </c>
      <c r="D1087" s="226" t="s">
        <v>92</v>
      </c>
      <c r="E1087" s="226" t="s">
        <v>664</v>
      </c>
      <c r="F1087" s="226">
        <v>3.8519103256837717E-3</v>
      </c>
      <c r="G1087" s="226">
        <v>0</v>
      </c>
    </row>
    <row r="1088" spans="1:7">
      <c r="A1088" s="226" t="s">
        <v>96</v>
      </c>
      <c r="B1088" s="226" t="s">
        <v>1235</v>
      </c>
      <c r="C1088" s="226" t="s">
        <v>626</v>
      </c>
      <c r="D1088" s="226" t="s">
        <v>92</v>
      </c>
      <c r="E1088" s="226" t="s">
        <v>665</v>
      </c>
      <c r="F1088" s="226">
        <v>3.8519103256837717E-3</v>
      </c>
      <c r="G1088" s="226">
        <v>0</v>
      </c>
    </row>
    <row r="1089" spans="1:7">
      <c r="A1089" s="226" t="s">
        <v>96</v>
      </c>
      <c r="B1089" s="226" t="s">
        <v>1235</v>
      </c>
      <c r="C1089" s="226" t="s">
        <v>626</v>
      </c>
      <c r="D1089" s="226" t="s">
        <v>92</v>
      </c>
      <c r="E1089" s="226" t="s">
        <v>666</v>
      </c>
      <c r="F1089" s="226">
        <v>3.8519103256837717E-3</v>
      </c>
      <c r="G1089" s="226">
        <v>0</v>
      </c>
    </row>
    <row r="1090" spans="1:7">
      <c r="A1090" s="226" t="s">
        <v>96</v>
      </c>
      <c r="B1090" s="226" t="s">
        <v>1235</v>
      </c>
      <c r="C1090" s="226" t="s">
        <v>626</v>
      </c>
      <c r="D1090" s="226" t="s">
        <v>92</v>
      </c>
      <c r="E1090" s="226" t="s">
        <v>667</v>
      </c>
      <c r="F1090" s="226">
        <v>3.8519103256837717E-3</v>
      </c>
      <c r="G1090" s="226">
        <v>0</v>
      </c>
    </row>
    <row r="1091" spans="1:7">
      <c r="A1091" s="226" t="s">
        <v>96</v>
      </c>
      <c r="B1091" s="226" t="s">
        <v>1235</v>
      </c>
      <c r="C1091" s="226" t="s">
        <v>625</v>
      </c>
      <c r="D1091" s="226" t="s">
        <v>93</v>
      </c>
      <c r="E1091" s="226" t="s">
        <v>618</v>
      </c>
      <c r="F1091" s="226">
        <v>0</v>
      </c>
      <c r="G1091" s="226">
        <v>0</v>
      </c>
    </row>
    <row r="1092" spans="1:7">
      <c r="A1092" s="226" t="s">
        <v>96</v>
      </c>
      <c r="B1092" s="226" t="s">
        <v>1235</v>
      </c>
      <c r="C1092" s="226" t="s">
        <v>625</v>
      </c>
      <c r="D1092" s="226" t="s">
        <v>93</v>
      </c>
      <c r="E1092" s="226" t="s">
        <v>619</v>
      </c>
      <c r="F1092" s="226">
        <v>0</v>
      </c>
      <c r="G1092" s="226">
        <v>0</v>
      </c>
    </row>
    <row r="1093" spans="1:7">
      <c r="A1093" s="226" t="s">
        <v>96</v>
      </c>
      <c r="B1093" s="226" t="s">
        <v>1235</v>
      </c>
      <c r="C1093" s="226" t="s">
        <v>625</v>
      </c>
      <c r="D1093" s="226" t="s">
        <v>93</v>
      </c>
      <c r="E1093" s="226" t="s">
        <v>620</v>
      </c>
      <c r="F1093" s="226">
        <v>0</v>
      </c>
      <c r="G1093" s="226">
        <v>0</v>
      </c>
    </row>
    <row r="1094" spans="1:7">
      <c r="A1094" s="226" t="s">
        <v>96</v>
      </c>
      <c r="B1094" s="226" t="s">
        <v>1235</v>
      </c>
      <c r="C1094" s="226" t="s">
        <v>625</v>
      </c>
      <c r="D1094" s="226" t="s">
        <v>93</v>
      </c>
      <c r="E1094" s="226" t="s">
        <v>660</v>
      </c>
      <c r="F1094" s="226">
        <v>0</v>
      </c>
      <c r="G1094" s="226">
        <v>0</v>
      </c>
    </row>
    <row r="1095" spans="1:7">
      <c r="A1095" s="226" t="s">
        <v>96</v>
      </c>
      <c r="B1095" s="226" t="s">
        <v>1235</v>
      </c>
      <c r="C1095" s="226" t="s">
        <v>625</v>
      </c>
      <c r="D1095" s="226" t="s">
        <v>93</v>
      </c>
      <c r="E1095" s="226" t="s">
        <v>661</v>
      </c>
      <c r="F1095" s="226">
        <v>0</v>
      </c>
      <c r="G1095" s="226">
        <v>0</v>
      </c>
    </row>
    <row r="1096" spans="1:7">
      <c r="A1096" s="226" t="s">
        <v>96</v>
      </c>
      <c r="B1096" s="226" t="s">
        <v>1235</v>
      </c>
      <c r="C1096" s="226" t="s">
        <v>625</v>
      </c>
      <c r="D1096" s="226" t="s">
        <v>93</v>
      </c>
      <c r="E1096" s="226" t="s">
        <v>662</v>
      </c>
      <c r="F1096" s="226">
        <v>0</v>
      </c>
      <c r="G1096" s="226">
        <v>0</v>
      </c>
    </row>
    <row r="1097" spans="1:7">
      <c r="A1097" s="226" t="s">
        <v>96</v>
      </c>
      <c r="B1097" s="226" t="s">
        <v>1235</v>
      </c>
      <c r="C1097" s="226" t="s">
        <v>625</v>
      </c>
      <c r="D1097" s="226" t="s">
        <v>93</v>
      </c>
      <c r="E1097" s="226" t="s">
        <v>663</v>
      </c>
      <c r="F1097" s="226">
        <v>0</v>
      </c>
      <c r="G1097" s="226">
        <v>0</v>
      </c>
    </row>
    <row r="1098" spans="1:7">
      <c r="A1098" s="226" t="s">
        <v>96</v>
      </c>
      <c r="B1098" s="226" t="s">
        <v>1235</v>
      </c>
      <c r="C1098" s="226" t="s">
        <v>625</v>
      </c>
      <c r="D1098" s="226" t="s">
        <v>93</v>
      </c>
      <c r="E1098" s="226" t="s">
        <v>664</v>
      </c>
      <c r="F1098" s="226">
        <v>0</v>
      </c>
      <c r="G1098" s="226">
        <v>0</v>
      </c>
    </row>
    <row r="1099" spans="1:7">
      <c r="A1099" s="226" t="s">
        <v>96</v>
      </c>
      <c r="B1099" s="226" t="s">
        <v>1235</v>
      </c>
      <c r="C1099" s="226" t="s">
        <v>625</v>
      </c>
      <c r="D1099" s="226" t="s">
        <v>93</v>
      </c>
      <c r="E1099" s="226" t="s">
        <v>665</v>
      </c>
      <c r="F1099" s="226">
        <v>0</v>
      </c>
      <c r="G1099" s="226">
        <v>0</v>
      </c>
    </row>
    <row r="1100" spans="1:7">
      <c r="A1100" s="226" t="s">
        <v>96</v>
      </c>
      <c r="B1100" s="226" t="s">
        <v>1235</v>
      </c>
      <c r="C1100" s="226" t="s">
        <v>625</v>
      </c>
      <c r="D1100" s="226" t="s">
        <v>93</v>
      </c>
      <c r="E1100" s="226" t="s">
        <v>666</v>
      </c>
      <c r="F1100" s="226">
        <v>0</v>
      </c>
      <c r="G1100" s="226">
        <v>0</v>
      </c>
    </row>
    <row r="1101" spans="1:7">
      <c r="A1101" s="226" t="s">
        <v>96</v>
      </c>
      <c r="B1101" s="226" t="s">
        <v>1235</v>
      </c>
      <c r="C1101" s="226" t="s">
        <v>625</v>
      </c>
      <c r="D1101" s="226" t="s">
        <v>93</v>
      </c>
      <c r="E1101" s="226" t="s">
        <v>667</v>
      </c>
      <c r="F1101" s="226">
        <v>0</v>
      </c>
      <c r="G1101" s="226">
        <v>0</v>
      </c>
    </row>
    <row r="1102" spans="1:7">
      <c r="A1102" s="226" t="s">
        <v>657</v>
      </c>
      <c r="B1102" s="226" t="s">
        <v>1235</v>
      </c>
      <c r="C1102" s="226" t="s">
        <v>627</v>
      </c>
      <c r="D1102" s="226" t="s">
        <v>14</v>
      </c>
      <c r="E1102" s="226" t="s">
        <v>618</v>
      </c>
      <c r="F1102" s="226">
        <v>0</v>
      </c>
      <c r="G1102" s="226">
        <v>0</v>
      </c>
    </row>
    <row r="1103" spans="1:7">
      <c r="A1103" s="226" t="s">
        <v>657</v>
      </c>
      <c r="B1103" s="226" t="s">
        <v>1235</v>
      </c>
      <c r="C1103" s="226" t="s">
        <v>627</v>
      </c>
      <c r="D1103" s="226" t="s">
        <v>14</v>
      </c>
      <c r="E1103" s="226" t="s">
        <v>619</v>
      </c>
      <c r="F1103" s="226">
        <v>0</v>
      </c>
      <c r="G1103" s="226">
        <v>0</v>
      </c>
    </row>
    <row r="1104" spans="1:7">
      <c r="A1104" s="226" t="s">
        <v>657</v>
      </c>
      <c r="B1104" s="226" t="s">
        <v>1235</v>
      </c>
      <c r="C1104" s="226" t="s">
        <v>627</v>
      </c>
      <c r="D1104" s="226" t="s">
        <v>14</v>
      </c>
      <c r="E1104" s="226" t="s">
        <v>620</v>
      </c>
      <c r="F1104" s="226">
        <v>0</v>
      </c>
      <c r="G1104" s="226">
        <v>0</v>
      </c>
    </row>
    <row r="1105" spans="1:7">
      <c r="A1105" s="226" t="s">
        <v>657</v>
      </c>
      <c r="B1105" s="226" t="s">
        <v>1235</v>
      </c>
      <c r="C1105" s="226" t="s">
        <v>627</v>
      </c>
      <c r="D1105" s="226" t="s">
        <v>14</v>
      </c>
      <c r="E1105" s="226" t="s">
        <v>660</v>
      </c>
      <c r="F1105" s="226">
        <v>0</v>
      </c>
      <c r="G1105" s="226">
        <v>0</v>
      </c>
    </row>
    <row r="1106" spans="1:7">
      <c r="A1106" s="226" t="s">
        <v>657</v>
      </c>
      <c r="B1106" s="226" t="s">
        <v>1235</v>
      </c>
      <c r="C1106" s="226" t="s">
        <v>627</v>
      </c>
      <c r="D1106" s="226" t="s">
        <v>14</v>
      </c>
      <c r="E1106" s="226" t="s">
        <v>661</v>
      </c>
      <c r="F1106" s="226">
        <v>0</v>
      </c>
      <c r="G1106" s="226">
        <v>0</v>
      </c>
    </row>
    <row r="1107" spans="1:7">
      <c r="A1107" s="226" t="s">
        <v>657</v>
      </c>
      <c r="B1107" s="226" t="s">
        <v>1235</v>
      </c>
      <c r="C1107" s="226" t="s">
        <v>627</v>
      </c>
      <c r="D1107" s="226" t="s">
        <v>14</v>
      </c>
      <c r="E1107" s="226" t="s">
        <v>662</v>
      </c>
      <c r="F1107" s="226">
        <v>0</v>
      </c>
      <c r="G1107" s="226">
        <v>0</v>
      </c>
    </row>
    <row r="1108" spans="1:7">
      <c r="A1108" s="226" t="s">
        <v>657</v>
      </c>
      <c r="B1108" s="226" t="s">
        <v>1235</v>
      </c>
      <c r="C1108" s="226" t="s">
        <v>627</v>
      </c>
      <c r="D1108" s="226" t="s">
        <v>14</v>
      </c>
      <c r="E1108" s="226" t="s">
        <v>663</v>
      </c>
      <c r="F1108" s="226">
        <v>0</v>
      </c>
      <c r="G1108" s="226">
        <v>0</v>
      </c>
    </row>
    <row r="1109" spans="1:7">
      <c r="A1109" s="226" t="s">
        <v>657</v>
      </c>
      <c r="B1109" s="226" t="s">
        <v>1235</v>
      </c>
      <c r="C1109" s="226" t="s">
        <v>627</v>
      </c>
      <c r="D1109" s="226" t="s">
        <v>14</v>
      </c>
      <c r="E1109" s="226" t="s">
        <v>664</v>
      </c>
      <c r="F1109" s="226">
        <v>0</v>
      </c>
      <c r="G1109" s="226">
        <v>0</v>
      </c>
    </row>
    <row r="1110" spans="1:7">
      <c r="A1110" s="226" t="s">
        <v>657</v>
      </c>
      <c r="B1110" s="226" t="s">
        <v>1235</v>
      </c>
      <c r="C1110" s="226" t="s">
        <v>627</v>
      </c>
      <c r="D1110" s="226" t="s">
        <v>14</v>
      </c>
      <c r="E1110" s="226" t="s">
        <v>665</v>
      </c>
      <c r="F1110" s="226">
        <v>0</v>
      </c>
      <c r="G1110" s="226">
        <v>0</v>
      </c>
    </row>
    <row r="1111" spans="1:7">
      <c r="A1111" s="226" t="s">
        <v>657</v>
      </c>
      <c r="B1111" s="226" t="s">
        <v>1235</v>
      </c>
      <c r="C1111" s="226" t="s">
        <v>627</v>
      </c>
      <c r="D1111" s="226" t="s">
        <v>14</v>
      </c>
      <c r="E1111" s="226" t="s">
        <v>666</v>
      </c>
      <c r="F1111" s="226">
        <v>0</v>
      </c>
      <c r="G1111" s="226">
        <v>0</v>
      </c>
    </row>
    <row r="1112" spans="1:7">
      <c r="A1112" s="226" t="s">
        <v>657</v>
      </c>
      <c r="B1112" s="226" t="s">
        <v>1235</v>
      </c>
      <c r="C1112" s="226" t="s">
        <v>627</v>
      </c>
      <c r="D1112" s="226" t="s">
        <v>14</v>
      </c>
      <c r="E1112" s="226" t="s">
        <v>667</v>
      </c>
      <c r="F1112" s="226">
        <v>0</v>
      </c>
      <c r="G1112" s="226">
        <v>0</v>
      </c>
    </row>
    <row r="1113" spans="1:7">
      <c r="A1113" s="226" t="s">
        <v>657</v>
      </c>
      <c r="B1113" s="226" t="s">
        <v>1235</v>
      </c>
      <c r="C1113" s="226" t="s">
        <v>630</v>
      </c>
      <c r="D1113" s="226" t="s">
        <v>29</v>
      </c>
      <c r="E1113" s="226" t="s">
        <v>618</v>
      </c>
      <c r="F1113" s="226">
        <v>0</v>
      </c>
      <c r="G1113" s="226">
        <v>0</v>
      </c>
    </row>
    <row r="1114" spans="1:7">
      <c r="A1114" s="226" t="s">
        <v>657</v>
      </c>
      <c r="B1114" s="226" t="s">
        <v>1235</v>
      </c>
      <c r="C1114" s="226" t="s">
        <v>630</v>
      </c>
      <c r="D1114" s="226" t="s">
        <v>29</v>
      </c>
      <c r="E1114" s="226" t="s">
        <v>619</v>
      </c>
      <c r="F1114" s="226">
        <v>0</v>
      </c>
      <c r="G1114" s="226">
        <v>0</v>
      </c>
    </row>
    <row r="1115" spans="1:7">
      <c r="A1115" s="226" t="s">
        <v>657</v>
      </c>
      <c r="B1115" s="226" t="s">
        <v>1235</v>
      </c>
      <c r="C1115" s="226" t="s">
        <v>630</v>
      </c>
      <c r="D1115" s="226" t="s">
        <v>29</v>
      </c>
      <c r="E1115" s="226" t="s">
        <v>620</v>
      </c>
      <c r="F1115" s="226">
        <v>0</v>
      </c>
      <c r="G1115" s="226">
        <v>0</v>
      </c>
    </row>
    <row r="1116" spans="1:7">
      <c r="A1116" s="226" t="s">
        <v>657</v>
      </c>
      <c r="B1116" s="226" t="s">
        <v>1235</v>
      </c>
      <c r="C1116" s="226" t="s">
        <v>630</v>
      </c>
      <c r="D1116" s="226" t="s">
        <v>29</v>
      </c>
      <c r="E1116" s="226" t="s">
        <v>660</v>
      </c>
      <c r="F1116" s="226">
        <v>0</v>
      </c>
      <c r="G1116" s="226">
        <v>0</v>
      </c>
    </row>
    <row r="1117" spans="1:7">
      <c r="A1117" s="226" t="s">
        <v>657</v>
      </c>
      <c r="B1117" s="226" t="s">
        <v>1235</v>
      </c>
      <c r="C1117" s="226" t="s">
        <v>630</v>
      </c>
      <c r="D1117" s="226" t="s">
        <v>90</v>
      </c>
      <c r="E1117" s="226" t="s">
        <v>618</v>
      </c>
      <c r="F1117" s="226">
        <v>0</v>
      </c>
      <c r="G1117" s="226">
        <v>0</v>
      </c>
    </row>
    <row r="1118" spans="1:7">
      <c r="A1118" s="226" t="s">
        <v>657</v>
      </c>
      <c r="B1118" s="226" t="s">
        <v>1235</v>
      </c>
      <c r="C1118" s="226" t="s">
        <v>630</v>
      </c>
      <c r="D1118" s="226" t="s">
        <v>90</v>
      </c>
      <c r="E1118" s="226" t="s">
        <v>619</v>
      </c>
      <c r="F1118" s="226">
        <v>0</v>
      </c>
      <c r="G1118" s="226">
        <v>0</v>
      </c>
    </row>
    <row r="1119" spans="1:7">
      <c r="A1119" s="226" t="s">
        <v>657</v>
      </c>
      <c r="B1119" s="226" t="s">
        <v>1235</v>
      </c>
      <c r="C1119" s="226" t="s">
        <v>630</v>
      </c>
      <c r="D1119" s="226" t="s">
        <v>90</v>
      </c>
      <c r="E1119" s="226" t="s">
        <v>620</v>
      </c>
      <c r="F1119" s="226">
        <v>0</v>
      </c>
      <c r="G1119" s="226">
        <v>0</v>
      </c>
    </row>
    <row r="1120" spans="1:7">
      <c r="A1120" s="226" t="s">
        <v>657</v>
      </c>
      <c r="B1120" s="226" t="s">
        <v>1235</v>
      </c>
      <c r="C1120" s="226" t="s">
        <v>630</v>
      </c>
      <c r="D1120" s="226" t="s">
        <v>90</v>
      </c>
      <c r="E1120" s="226" t="s">
        <v>660</v>
      </c>
      <c r="F1120" s="226">
        <v>0</v>
      </c>
      <c r="G1120" s="226">
        <v>0</v>
      </c>
    </row>
    <row r="1121" spans="1:7">
      <c r="A1121" s="226" t="s">
        <v>657</v>
      </c>
      <c r="B1121" s="226" t="s">
        <v>1235</v>
      </c>
      <c r="C1121" s="226" t="s">
        <v>630</v>
      </c>
      <c r="D1121" s="226" t="s">
        <v>90</v>
      </c>
      <c r="E1121" s="226" t="s">
        <v>661</v>
      </c>
      <c r="F1121" s="226">
        <v>0</v>
      </c>
      <c r="G1121" s="226">
        <v>0</v>
      </c>
    </row>
    <row r="1122" spans="1:7">
      <c r="A1122" s="226" t="s">
        <v>657</v>
      </c>
      <c r="B1122" s="226" t="s">
        <v>1235</v>
      </c>
      <c r="C1122" s="226" t="s">
        <v>630</v>
      </c>
      <c r="D1122" s="226" t="s">
        <v>90</v>
      </c>
      <c r="E1122" s="226" t="s">
        <v>662</v>
      </c>
      <c r="F1122" s="226">
        <v>0</v>
      </c>
      <c r="G1122" s="226">
        <v>0</v>
      </c>
    </row>
    <row r="1123" spans="1:7">
      <c r="A1123" s="226" t="s">
        <v>657</v>
      </c>
      <c r="B1123" s="226" t="s">
        <v>1235</v>
      </c>
      <c r="C1123" s="226" t="s">
        <v>630</v>
      </c>
      <c r="D1123" s="226" t="s">
        <v>90</v>
      </c>
      <c r="E1123" s="226" t="s">
        <v>663</v>
      </c>
      <c r="F1123" s="226">
        <v>0</v>
      </c>
      <c r="G1123" s="226">
        <v>0</v>
      </c>
    </row>
    <row r="1124" spans="1:7">
      <c r="A1124" s="226" t="s">
        <v>657</v>
      </c>
      <c r="B1124" s="226" t="s">
        <v>1235</v>
      </c>
      <c r="C1124" s="226" t="s">
        <v>630</v>
      </c>
      <c r="D1124" s="226" t="s">
        <v>90</v>
      </c>
      <c r="E1124" s="226" t="s">
        <v>664</v>
      </c>
      <c r="F1124" s="226">
        <v>0</v>
      </c>
      <c r="G1124" s="226">
        <v>0</v>
      </c>
    </row>
    <row r="1125" spans="1:7">
      <c r="A1125" s="226" t="s">
        <v>657</v>
      </c>
      <c r="B1125" s="226" t="s">
        <v>1235</v>
      </c>
      <c r="C1125" s="226" t="s">
        <v>630</v>
      </c>
      <c r="D1125" s="226" t="s">
        <v>90</v>
      </c>
      <c r="E1125" s="226" t="s">
        <v>665</v>
      </c>
      <c r="F1125" s="226">
        <v>0</v>
      </c>
      <c r="G1125" s="226">
        <v>0</v>
      </c>
    </row>
    <row r="1126" spans="1:7">
      <c r="A1126" s="226" t="s">
        <v>657</v>
      </c>
      <c r="B1126" s="226" t="s">
        <v>1235</v>
      </c>
      <c r="C1126" s="226" t="s">
        <v>630</v>
      </c>
      <c r="D1126" s="226" t="s">
        <v>90</v>
      </c>
      <c r="E1126" s="226" t="s">
        <v>666</v>
      </c>
      <c r="F1126" s="226">
        <v>0</v>
      </c>
      <c r="G1126" s="226">
        <v>0</v>
      </c>
    </row>
    <row r="1127" spans="1:7">
      <c r="A1127" s="226" t="s">
        <v>657</v>
      </c>
      <c r="B1127" s="226" t="s">
        <v>1235</v>
      </c>
      <c r="C1127" s="226" t="s">
        <v>630</v>
      </c>
      <c r="D1127" s="226" t="s">
        <v>90</v>
      </c>
      <c r="E1127" s="226" t="s">
        <v>667</v>
      </c>
      <c r="F1127" s="226">
        <v>0</v>
      </c>
      <c r="G1127" s="226">
        <v>0</v>
      </c>
    </row>
    <row r="1128" spans="1:7">
      <c r="A1128" s="226" t="s">
        <v>657</v>
      </c>
      <c r="B1128" s="226" t="s">
        <v>1235</v>
      </c>
      <c r="C1128" s="226" t="s">
        <v>630</v>
      </c>
      <c r="D1128" s="226" t="s">
        <v>29</v>
      </c>
      <c r="E1128" s="226" t="s">
        <v>661</v>
      </c>
      <c r="F1128" s="226">
        <v>0</v>
      </c>
      <c r="G1128" s="226">
        <v>0</v>
      </c>
    </row>
    <row r="1129" spans="1:7">
      <c r="A1129" s="226" t="s">
        <v>657</v>
      </c>
      <c r="B1129" s="226" t="s">
        <v>1235</v>
      </c>
      <c r="C1129" s="226" t="s">
        <v>630</v>
      </c>
      <c r="D1129" s="226" t="s">
        <v>29</v>
      </c>
      <c r="E1129" s="226" t="s">
        <v>662</v>
      </c>
      <c r="F1129" s="226">
        <v>0</v>
      </c>
      <c r="G1129" s="226">
        <v>0</v>
      </c>
    </row>
    <row r="1130" spans="1:7">
      <c r="A1130" s="226" t="s">
        <v>657</v>
      </c>
      <c r="B1130" s="226" t="s">
        <v>1235</v>
      </c>
      <c r="C1130" s="226" t="s">
        <v>630</v>
      </c>
      <c r="D1130" s="226" t="s">
        <v>29</v>
      </c>
      <c r="E1130" s="226" t="s">
        <v>663</v>
      </c>
      <c r="F1130" s="226">
        <v>0</v>
      </c>
      <c r="G1130" s="226">
        <v>0</v>
      </c>
    </row>
    <row r="1131" spans="1:7">
      <c r="A1131" s="226" t="s">
        <v>657</v>
      </c>
      <c r="B1131" s="226" t="s">
        <v>1235</v>
      </c>
      <c r="C1131" s="226" t="s">
        <v>630</v>
      </c>
      <c r="D1131" s="226" t="s">
        <v>29</v>
      </c>
      <c r="E1131" s="226" t="s">
        <v>664</v>
      </c>
      <c r="F1131" s="226">
        <v>0</v>
      </c>
      <c r="G1131" s="226">
        <v>0</v>
      </c>
    </row>
    <row r="1132" spans="1:7">
      <c r="A1132" s="226" t="s">
        <v>657</v>
      </c>
      <c r="B1132" s="226" t="s">
        <v>1235</v>
      </c>
      <c r="C1132" s="226" t="s">
        <v>630</v>
      </c>
      <c r="D1132" s="226" t="s">
        <v>29</v>
      </c>
      <c r="E1132" s="226" t="s">
        <v>665</v>
      </c>
      <c r="F1132" s="226">
        <v>0</v>
      </c>
      <c r="G1132" s="226">
        <v>0</v>
      </c>
    </row>
    <row r="1133" spans="1:7">
      <c r="A1133" s="226" t="s">
        <v>657</v>
      </c>
      <c r="B1133" s="226" t="s">
        <v>1235</v>
      </c>
      <c r="C1133" s="226" t="s">
        <v>630</v>
      </c>
      <c r="D1133" s="226" t="s">
        <v>29</v>
      </c>
      <c r="E1133" s="226" t="s">
        <v>666</v>
      </c>
      <c r="F1133" s="226">
        <v>0</v>
      </c>
      <c r="G1133" s="226">
        <v>0</v>
      </c>
    </row>
    <row r="1134" spans="1:7">
      <c r="A1134" s="226" t="s">
        <v>657</v>
      </c>
      <c r="B1134" s="226" t="s">
        <v>1235</v>
      </c>
      <c r="C1134" s="226" t="s">
        <v>630</v>
      </c>
      <c r="D1134" s="226" t="s">
        <v>29</v>
      </c>
      <c r="E1134" s="226" t="s">
        <v>667</v>
      </c>
      <c r="F1134" s="226">
        <v>0</v>
      </c>
      <c r="G1134" s="226">
        <v>0</v>
      </c>
    </row>
    <row r="1135" spans="1:7">
      <c r="A1135" s="226" t="s">
        <v>657</v>
      </c>
      <c r="B1135" s="226" t="s">
        <v>1235</v>
      </c>
      <c r="C1135" s="226" t="s">
        <v>963</v>
      </c>
      <c r="D1135" s="226" t="s">
        <v>19</v>
      </c>
      <c r="E1135" s="226" t="s">
        <v>618</v>
      </c>
      <c r="F1135" s="226">
        <v>0</v>
      </c>
      <c r="G1135" s="226">
        <v>0</v>
      </c>
    </row>
    <row r="1136" spans="1:7">
      <c r="A1136" s="226" t="s">
        <v>657</v>
      </c>
      <c r="B1136" s="226" t="s">
        <v>1235</v>
      </c>
      <c r="C1136" s="226" t="s">
        <v>963</v>
      </c>
      <c r="D1136" s="226" t="s">
        <v>19</v>
      </c>
      <c r="E1136" s="226" t="s">
        <v>619</v>
      </c>
      <c r="F1136" s="226">
        <v>0</v>
      </c>
      <c r="G1136" s="226">
        <v>0</v>
      </c>
    </row>
    <row r="1137" spans="1:7">
      <c r="A1137" s="226" t="s">
        <v>657</v>
      </c>
      <c r="B1137" s="226" t="s">
        <v>1235</v>
      </c>
      <c r="C1137" s="226" t="s">
        <v>963</v>
      </c>
      <c r="D1137" s="226" t="s">
        <v>19</v>
      </c>
      <c r="E1137" s="226" t="s">
        <v>620</v>
      </c>
      <c r="F1137" s="226">
        <v>0</v>
      </c>
      <c r="G1137" s="226">
        <v>0</v>
      </c>
    </row>
    <row r="1138" spans="1:7">
      <c r="A1138" s="226" t="s">
        <v>657</v>
      </c>
      <c r="B1138" s="226" t="s">
        <v>1235</v>
      </c>
      <c r="C1138" s="226" t="s">
        <v>963</v>
      </c>
      <c r="D1138" s="226" t="s">
        <v>19</v>
      </c>
      <c r="E1138" s="226" t="s">
        <v>660</v>
      </c>
      <c r="F1138" s="226">
        <v>0</v>
      </c>
      <c r="G1138" s="226">
        <v>0</v>
      </c>
    </row>
    <row r="1139" spans="1:7">
      <c r="A1139" s="226" t="s">
        <v>657</v>
      </c>
      <c r="B1139" s="226" t="s">
        <v>1235</v>
      </c>
      <c r="C1139" s="226" t="s">
        <v>963</v>
      </c>
      <c r="D1139" s="226" t="s">
        <v>19</v>
      </c>
      <c r="E1139" s="226" t="s">
        <v>661</v>
      </c>
      <c r="F1139" s="226">
        <v>0</v>
      </c>
      <c r="G1139" s="226">
        <v>0</v>
      </c>
    </row>
    <row r="1140" spans="1:7">
      <c r="A1140" s="226" t="s">
        <v>657</v>
      </c>
      <c r="B1140" s="226" t="s">
        <v>1235</v>
      </c>
      <c r="C1140" s="226" t="s">
        <v>963</v>
      </c>
      <c r="D1140" s="226" t="s">
        <v>19</v>
      </c>
      <c r="E1140" s="226" t="s">
        <v>662</v>
      </c>
      <c r="F1140" s="226">
        <v>0</v>
      </c>
      <c r="G1140" s="226">
        <v>0</v>
      </c>
    </row>
    <row r="1141" spans="1:7">
      <c r="A1141" s="226" t="s">
        <v>657</v>
      </c>
      <c r="B1141" s="226" t="s">
        <v>1235</v>
      </c>
      <c r="C1141" s="226" t="s">
        <v>963</v>
      </c>
      <c r="D1141" s="226" t="s">
        <v>19</v>
      </c>
      <c r="E1141" s="226" t="s">
        <v>663</v>
      </c>
      <c r="F1141" s="226">
        <v>0</v>
      </c>
      <c r="G1141" s="226">
        <v>0</v>
      </c>
    </row>
    <row r="1142" spans="1:7">
      <c r="A1142" s="226" t="s">
        <v>657</v>
      </c>
      <c r="B1142" s="226" t="s">
        <v>1235</v>
      </c>
      <c r="C1142" s="226" t="s">
        <v>963</v>
      </c>
      <c r="D1142" s="226" t="s">
        <v>19</v>
      </c>
      <c r="E1142" s="226" t="s">
        <v>664</v>
      </c>
      <c r="F1142" s="226">
        <v>0</v>
      </c>
      <c r="G1142" s="226">
        <v>0</v>
      </c>
    </row>
    <row r="1143" spans="1:7">
      <c r="A1143" s="226" t="s">
        <v>657</v>
      </c>
      <c r="B1143" s="226" t="s">
        <v>1235</v>
      </c>
      <c r="C1143" s="226" t="s">
        <v>963</v>
      </c>
      <c r="D1143" s="226" t="s">
        <v>19</v>
      </c>
      <c r="E1143" s="226" t="s">
        <v>665</v>
      </c>
      <c r="F1143" s="226">
        <v>0</v>
      </c>
      <c r="G1143" s="226">
        <v>0</v>
      </c>
    </row>
    <row r="1144" spans="1:7">
      <c r="A1144" s="226" t="s">
        <v>657</v>
      </c>
      <c r="B1144" s="226" t="s">
        <v>1235</v>
      </c>
      <c r="C1144" s="226" t="s">
        <v>963</v>
      </c>
      <c r="D1144" s="226" t="s">
        <v>19</v>
      </c>
      <c r="E1144" s="226" t="s">
        <v>666</v>
      </c>
      <c r="F1144" s="226">
        <v>0</v>
      </c>
      <c r="G1144" s="226">
        <v>0</v>
      </c>
    </row>
    <row r="1145" spans="1:7">
      <c r="A1145" s="226" t="s">
        <v>657</v>
      </c>
      <c r="B1145" s="226" t="s">
        <v>1235</v>
      </c>
      <c r="C1145" s="226" t="s">
        <v>963</v>
      </c>
      <c r="D1145" s="226" t="s">
        <v>19</v>
      </c>
      <c r="E1145" s="226" t="s">
        <v>667</v>
      </c>
      <c r="F1145" s="226">
        <v>0</v>
      </c>
      <c r="G1145" s="226">
        <v>0</v>
      </c>
    </row>
    <row r="1146" spans="1:7">
      <c r="A1146" s="226" t="s">
        <v>657</v>
      </c>
      <c r="B1146" s="226" t="s">
        <v>1235</v>
      </c>
      <c r="C1146" s="226" t="s">
        <v>626</v>
      </c>
      <c r="D1146" s="226" t="s">
        <v>18</v>
      </c>
      <c r="E1146" s="226" t="s">
        <v>618</v>
      </c>
      <c r="F1146" s="226">
        <v>0</v>
      </c>
      <c r="G1146" s="226">
        <v>0</v>
      </c>
    </row>
    <row r="1147" spans="1:7">
      <c r="A1147" s="226" t="s">
        <v>657</v>
      </c>
      <c r="B1147" s="226" t="s">
        <v>1235</v>
      </c>
      <c r="C1147" s="226" t="s">
        <v>626</v>
      </c>
      <c r="D1147" s="226" t="s">
        <v>18</v>
      </c>
      <c r="E1147" s="226" t="s">
        <v>619</v>
      </c>
      <c r="F1147" s="226">
        <v>0</v>
      </c>
      <c r="G1147" s="226">
        <v>0</v>
      </c>
    </row>
    <row r="1148" spans="1:7">
      <c r="A1148" s="226" t="s">
        <v>657</v>
      </c>
      <c r="B1148" s="226" t="s">
        <v>1235</v>
      </c>
      <c r="C1148" s="226" t="s">
        <v>626</v>
      </c>
      <c r="D1148" s="226" t="s">
        <v>18</v>
      </c>
      <c r="E1148" s="226" t="s">
        <v>620</v>
      </c>
      <c r="F1148" s="226">
        <v>0</v>
      </c>
      <c r="G1148" s="226">
        <v>0</v>
      </c>
    </row>
    <row r="1149" spans="1:7">
      <c r="A1149" s="226" t="s">
        <v>657</v>
      </c>
      <c r="B1149" s="226" t="s">
        <v>1235</v>
      </c>
      <c r="C1149" s="226" t="s">
        <v>626</v>
      </c>
      <c r="D1149" s="226" t="s">
        <v>18</v>
      </c>
      <c r="E1149" s="226" t="s">
        <v>660</v>
      </c>
      <c r="F1149" s="226">
        <v>0</v>
      </c>
      <c r="G1149" s="226">
        <v>0</v>
      </c>
    </row>
    <row r="1150" spans="1:7">
      <c r="A1150" s="226" t="s">
        <v>657</v>
      </c>
      <c r="B1150" s="226" t="s">
        <v>1235</v>
      </c>
      <c r="C1150" s="226" t="s">
        <v>626</v>
      </c>
      <c r="D1150" s="226" t="s">
        <v>18</v>
      </c>
      <c r="E1150" s="226" t="s">
        <v>661</v>
      </c>
      <c r="F1150" s="226">
        <v>0</v>
      </c>
      <c r="G1150" s="226">
        <v>0</v>
      </c>
    </row>
    <row r="1151" spans="1:7">
      <c r="A1151" s="226" t="s">
        <v>657</v>
      </c>
      <c r="B1151" s="226" t="s">
        <v>1235</v>
      </c>
      <c r="C1151" s="226" t="s">
        <v>626</v>
      </c>
      <c r="D1151" s="226" t="s">
        <v>18</v>
      </c>
      <c r="E1151" s="226" t="s">
        <v>662</v>
      </c>
      <c r="F1151" s="226">
        <v>0</v>
      </c>
      <c r="G1151" s="226">
        <v>0</v>
      </c>
    </row>
    <row r="1152" spans="1:7">
      <c r="A1152" s="226" t="s">
        <v>657</v>
      </c>
      <c r="B1152" s="226" t="s">
        <v>1235</v>
      </c>
      <c r="C1152" s="226" t="s">
        <v>626</v>
      </c>
      <c r="D1152" s="226" t="s">
        <v>18</v>
      </c>
      <c r="E1152" s="226" t="s">
        <v>663</v>
      </c>
      <c r="F1152" s="226">
        <v>0</v>
      </c>
      <c r="G1152" s="226">
        <v>0</v>
      </c>
    </row>
    <row r="1153" spans="1:7">
      <c r="A1153" s="226" t="s">
        <v>657</v>
      </c>
      <c r="B1153" s="226" t="s">
        <v>1235</v>
      </c>
      <c r="C1153" s="226" t="s">
        <v>626</v>
      </c>
      <c r="D1153" s="226" t="s">
        <v>18</v>
      </c>
      <c r="E1153" s="226" t="s">
        <v>664</v>
      </c>
      <c r="F1153" s="226">
        <v>0</v>
      </c>
      <c r="G1153" s="226">
        <v>0</v>
      </c>
    </row>
    <row r="1154" spans="1:7">
      <c r="A1154" s="226" t="s">
        <v>657</v>
      </c>
      <c r="B1154" s="226" t="s">
        <v>1235</v>
      </c>
      <c r="C1154" s="226" t="s">
        <v>626</v>
      </c>
      <c r="D1154" s="226" t="s">
        <v>18</v>
      </c>
      <c r="E1154" s="226" t="s">
        <v>665</v>
      </c>
      <c r="F1154" s="226">
        <v>0</v>
      </c>
      <c r="G1154" s="226">
        <v>0</v>
      </c>
    </row>
    <row r="1155" spans="1:7">
      <c r="A1155" s="226" t="s">
        <v>657</v>
      </c>
      <c r="B1155" s="226" t="s">
        <v>1235</v>
      </c>
      <c r="C1155" s="226" t="s">
        <v>626</v>
      </c>
      <c r="D1155" s="226" t="s">
        <v>18</v>
      </c>
      <c r="E1155" s="226" t="s">
        <v>666</v>
      </c>
      <c r="F1155" s="226">
        <v>0</v>
      </c>
      <c r="G1155" s="226">
        <v>0</v>
      </c>
    </row>
    <row r="1156" spans="1:7">
      <c r="A1156" s="226" t="s">
        <v>657</v>
      </c>
      <c r="B1156" s="226" t="s">
        <v>1235</v>
      </c>
      <c r="C1156" s="226" t="s">
        <v>626</v>
      </c>
      <c r="D1156" s="226" t="s">
        <v>18</v>
      </c>
      <c r="E1156" s="226" t="s">
        <v>667</v>
      </c>
      <c r="F1156" s="226">
        <v>0</v>
      </c>
      <c r="G1156" s="226">
        <v>0</v>
      </c>
    </row>
    <row r="1157" spans="1:7">
      <c r="A1157" s="226" t="s">
        <v>657</v>
      </c>
      <c r="B1157" s="226" t="s">
        <v>1235</v>
      </c>
      <c r="C1157" s="226" t="s">
        <v>626</v>
      </c>
      <c r="D1157" s="226" t="s">
        <v>91</v>
      </c>
      <c r="E1157" s="226" t="s">
        <v>618</v>
      </c>
      <c r="F1157" s="226">
        <v>0</v>
      </c>
      <c r="G1157" s="226">
        <v>0</v>
      </c>
    </row>
    <row r="1158" spans="1:7">
      <c r="A1158" s="226" t="s">
        <v>657</v>
      </c>
      <c r="B1158" s="226" t="s">
        <v>1235</v>
      </c>
      <c r="C1158" s="226" t="s">
        <v>626</v>
      </c>
      <c r="D1158" s="226" t="s">
        <v>91</v>
      </c>
      <c r="E1158" s="226" t="s">
        <v>619</v>
      </c>
      <c r="F1158" s="226">
        <v>0</v>
      </c>
      <c r="G1158" s="226">
        <v>0</v>
      </c>
    </row>
    <row r="1159" spans="1:7">
      <c r="A1159" s="226" t="s">
        <v>657</v>
      </c>
      <c r="B1159" s="226" t="s">
        <v>1235</v>
      </c>
      <c r="C1159" s="226" t="s">
        <v>626</v>
      </c>
      <c r="D1159" s="226" t="s">
        <v>91</v>
      </c>
      <c r="E1159" s="226" t="s">
        <v>620</v>
      </c>
      <c r="F1159" s="226">
        <v>0</v>
      </c>
      <c r="G1159" s="226">
        <v>0</v>
      </c>
    </row>
    <row r="1160" spans="1:7">
      <c r="A1160" s="226" t="s">
        <v>657</v>
      </c>
      <c r="B1160" s="226" t="s">
        <v>1235</v>
      </c>
      <c r="C1160" s="226" t="s">
        <v>626</v>
      </c>
      <c r="D1160" s="226" t="s">
        <v>91</v>
      </c>
      <c r="E1160" s="226" t="s">
        <v>660</v>
      </c>
      <c r="F1160" s="226">
        <v>0</v>
      </c>
      <c r="G1160" s="226">
        <v>0</v>
      </c>
    </row>
    <row r="1161" spans="1:7">
      <c r="A1161" s="226" t="s">
        <v>657</v>
      </c>
      <c r="B1161" s="226" t="s">
        <v>1235</v>
      </c>
      <c r="C1161" s="226" t="s">
        <v>626</v>
      </c>
      <c r="D1161" s="226" t="s">
        <v>91</v>
      </c>
      <c r="E1161" s="226" t="s">
        <v>661</v>
      </c>
      <c r="F1161" s="226">
        <v>0</v>
      </c>
      <c r="G1161" s="226">
        <v>0</v>
      </c>
    </row>
    <row r="1162" spans="1:7">
      <c r="A1162" s="226" t="s">
        <v>657</v>
      </c>
      <c r="B1162" s="226" t="s">
        <v>1235</v>
      </c>
      <c r="C1162" s="226" t="s">
        <v>626</v>
      </c>
      <c r="D1162" s="226" t="s">
        <v>91</v>
      </c>
      <c r="E1162" s="226" t="s">
        <v>662</v>
      </c>
      <c r="F1162" s="226">
        <v>0</v>
      </c>
      <c r="G1162" s="226">
        <v>0</v>
      </c>
    </row>
    <row r="1163" spans="1:7">
      <c r="A1163" s="226" t="s">
        <v>657</v>
      </c>
      <c r="B1163" s="226" t="s">
        <v>1235</v>
      </c>
      <c r="C1163" s="226" t="s">
        <v>626</v>
      </c>
      <c r="D1163" s="226" t="s">
        <v>91</v>
      </c>
      <c r="E1163" s="226" t="s">
        <v>663</v>
      </c>
      <c r="F1163" s="226">
        <v>0</v>
      </c>
      <c r="G1163" s="226">
        <v>0</v>
      </c>
    </row>
    <row r="1164" spans="1:7">
      <c r="A1164" s="226" t="s">
        <v>657</v>
      </c>
      <c r="B1164" s="226" t="s">
        <v>1235</v>
      </c>
      <c r="C1164" s="226" t="s">
        <v>626</v>
      </c>
      <c r="D1164" s="226" t="s">
        <v>91</v>
      </c>
      <c r="E1164" s="226" t="s">
        <v>664</v>
      </c>
      <c r="F1164" s="226">
        <v>0</v>
      </c>
      <c r="G1164" s="226">
        <v>0</v>
      </c>
    </row>
    <row r="1165" spans="1:7">
      <c r="A1165" s="226" t="s">
        <v>657</v>
      </c>
      <c r="B1165" s="226" t="s">
        <v>1235</v>
      </c>
      <c r="C1165" s="226" t="s">
        <v>626</v>
      </c>
      <c r="D1165" s="226" t="s">
        <v>91</v>
      </c>
      <c r="E1165" s="226" t="s">
        <v>665</v>
      </c>
      <c r="F1165" s="226">
        <v>0</v>
      </c>
      <c r="G1165" s="226">
        <v>0</v>
      </c>
    </row>
    <row r="1166" spans="1:7">
      <c r="A1166" s="226" t="s">
        <v>657</v>
      </c>
      <c r="B1166" s="226" t="s">
        <v>1235</v>
      </c>
      <c r="C1166" s="226" t="s">
        <v>626</v>
      </c>
      <c r="D1166" s="226" t="s">
        <v>91</v>
      </c>
      <c r="E1166" s="226" t="s">
        <v>666</v>
      </c>
      <c r="F1166" s="226">
        <v>0</v>
      </c>
      <c r="G1166" s="226">
        <v>0</v>
      </c>
    </row>
    <row r="1167" spans="1:7">
      <c r="A1167" s="226" t="s">
        <v>657</v>
      </c>
      <c r="B1167" s="226" t="s">
        <v>1235</v>
      </c>
      <c r="C1167" s="226" t="s">
        <v>626</v>
      </c>
      <c r="D1167" s="226" t="s">
        <v>91</v>
      </c>
      <c r="E1167" s="226" t="s">
        <v>667</v>
      </c>
      <c r="F1167" s="226">
        <v>0</v>
      </c>
      <c r="G1167" s="226">
        <v>0</v>
      </c>
    </row>
    <row r="1168" spans="1:7">
      <c r="A1168" s="226" t="s">
        <v>657</v>
      </c>
      <c r="B1168" s="226" t="s">
        <v>1235</v>
      </c>
      <c r="C1168" s="226" t="s">
        <v>626</v>
      </c>
      <c r="D1168" s="226" t="s">
        <v>8</v>
      </c>
      <c r="E1168" s="226" t="s">
        <v>618</v>
      </c>
      <c r="F1168" s="226">
        <v>0</v>
      </c>
      <c r="G1168" s="226">
        <v>0</v>
      </c>
    </row>
    <row r="1169" spans="1:7">
      <c r="A1169" s="226" t="s">
        <v>657</v>
      </c>
      <c r="B1169" s="226" t="s">
        <v>1235</v>
      </c>
      <c r="C1169" s="226" t="s">
        <v>626</v>
      </c>
      <c r="D1169" s="226" t="s">
        <v>8</v>
      </c>
      <c r="E1169" s="226" t="s">
        <v>619</v>
      </c>
      <c r="F1169" s="226">
        <v>0.7</v>
      </c>
      <c r="G1169" s="226">
        <v>0.7</v>
      </c>
    </row>
    <row r="1170" spans="1:7">
      <c r="A1170" s="226" t="s">
        <v>657</v>
      </c>
      <c r="B1170" s="226" t="s">
        <v>1235</v>
      </c>
      <c r="C1170" s="226" t="s">
        <v>626</v>
      </c>
      <c r="D1170" s="226" t="s">
        <v>8</v>
      </c>
      <c r="E1170" s="226" t="s">
        <v>620</v>
      </c>
      <c r="F1170" s="226">
        <v>0</v>
      </c>
      <c r="G1170" s="226">
        <v>0</v>
      </c>
    </row>
    <row r="1171" spans="1:7">
      <c r="A1171" s="226" t="s">
        <v>657</v>
      </c>
      <c r="B1171" s="226" t="s">
        <v>1235</v>
      </c>
      <c r="C1171" s="226" t="s">
        <v>626</v>
      </c>
      <c r="D1171" s="226" t="s">
        <v>8</v>
      </c>
      <c r="E1171" s="226" t="s">
        <v>660</v>
      </c>
      <c r="F1171" s="226">
        <v>0.7</v>
      </c>
      <c r="G1171" s="226">
        <v>0.7</v>
      </c>
    </row>
    <row r="1172" spans="1:7">
      <c r="A1172" s="226" t="s">
        <v>657</v>
      </c>
      <c r="B1172" s="226" t="s">
        <v>1235</v>
      </c>
      <c r="C1172" s="226" t="s">
        <v>626</v>
      </c>
      <c r="D1172" s="226" t="s">
        <v>8</v>
      </c>
      <c r="E1172" s="226" t="s">
        <v>661</v>
      </c>
      <c r="F1172" s="226">
        <v>0</v>
      </c>
      <c r="G1172" s="226">
        <v>0</v>
      </c>
    </row>
    <row r="1173" spans="1:7">
      <c r="A1173" s="226" t="s">
        <v>657</v>
      </c>
      <c r="B1173" s="226" t="s">
        <v>1235</v>
      </c>
      <c r="C1173" s="226" t="s">
        <v>626</v>
      </c>
      <c r="D1173" s="226" t="s">
        <v>8</v>
      </c>
      <c r="E1173" s="226" t="s">
        <v>662</v>
      </c>
      <c r="F1173" s="226">
        <v>0</v>
      </c>
      <c r="G1173" s="226">
        <v>0</v>
      </c>
    </row>
    <row r="1174" spans="1:7">
      <c r="A1174" s="226" t="s">
        <v>657</v>
      </c>
      <c r="B1174" s="226" t="s">
        <v>1235</v>
      </c>
      <c r="C1174" s="226" t="s">
        <v>626</v>
      </c>
      <c r="D1174" s="226" t="s">
        <v>8</v>
      </c>
      <c r="E1174" s="226" t="s">
        <v>663</v>
      </c>
      <c r="F1174" s="226">
        <v>0</v>
      </c>
      <c r="G1174" s="226">
        <v>0</v>
      </c>
    </row>
    <row r="1175" spans="1:7">
      <c r="A1175" s="226" t="s">
        <v>657</v>
      </c>
      <c r="B1175" s="226" t="s">
        <v>1235</v>
      </c>
      <c r="C1175" s="226" t="s">
        <v>626</v>
      </c>
      <c r="D1175" s="226" t="s">
        <v>8</v>
      </c>
      <c r="E1175" s="226" t="s">
        <v>664</v>
      </c>
      <c r="F1175" s="226">
        <v>0</v>
      </c>
      <c r="G1175" s="226">
        <v>0</v>
      </c>
    </row>
    <row r="1176" spans="1:7">
      <c r="A1176" s="226" t="s">
        <v>657</v>
      </c>
      <c r="B1176" s="226" t="s">
        <v>1235</v>
      </c>
      <c r="C1176" s="226" t="s">
        <v>626</v>
      </c>
      <c r="D1176" s="226" t="s">
        <v>8</v>
      </c>
      <c r="E1176" s="226" t="s">
        <v>665</v>
      </c>
      <c r="F1176" s="226">
        <v>0</v>
      </c>
      <c r="G1176" s="226">
        <v>0</v>
      </c>
    </row>
    <row r="1177" spans="1:7">
      <c r="A1177" s="226" t="s">
        <v>657</v>
      </c>
      <c r="B1177" s="226" t="s">
        <v>1235</v>
      </c>
      <c r="C1177" s="226" t="s">
        <v>626</v>
      </c>
      <c r="D1177" s="226" t="s">
        <v>8</v>
      </c>
      <c r="E1177" s="226" t="s">
        <v>666</v>
      </c>
      <c r="F1177" s="226">
        <v>0</v>
      </c>
      <c r="G1177" s="226">
        <v>0</v>
      </c>
    </row>
    <row r="1178" spans="1:7">
      <c r="A1178" s="226" t="s">
        <v>657</v>
      </c>
      <c r="B1178" s="226" t="s">
        <v>1235</v>
      </c>
      <c r="C1178" s="226" t="s">
        <v>626</v>
      </c>
      <c r="D1178" s="226" t="s">
        <v>8</v>
      </c>
      <c r="E1178" s="226" t="s">
        <v>667</v>
      </c>
      <c r="F1178" s="226">
        <v>0</v>
      </c>
      <c r="G1178" s="226">
        <v>0</v>
      </c>
    </row>
    <row r="1179" spans="1:7">
      <c r="A1179" s="226" t="s">
        <v>657</v>
      </c>
      <c r="B1179" s="226" t="s">
        <v>1235</v>
      </c>
      <c r="C1179" s="226" t="s">
        <v>625</v>
      </c>
      <c r="D1179" s="226" t="s">
        <v>5</v>
      </c>
      <c r="E1179" s="226" t="s">
        <v>618</v>
      </c>
      <c r="F1179" s="226">
        <v>0</v>
      </c>
      <c r="G1179" s="226">
        <v>0</v>
      </c>
    </row>
    <row r="1180" spans="1:7">
      <c r="A1180" s="226" t="s">
        <v>657</v>
      </c>
      <c r="B1180" s="226" t="s">
        <v>1235</v>
      </c>
      <c r="C1180" s="226" t="s">
        <v>625</v>
      </c>
      <c r="D1180" s="226" t="s">
        <v>5</v>
      </c>
      <c r="E1180" s="226" t="s">
        <v>619</v>
      </c>
      <c r="F1180" s="226">
        <v>0</v>
      </c>
      <c r="G1180" s="226">
        <v>0</v>
      </c>
    </row>
    <row r="1181" spans="1:7">
      <c r="A1181" s="226" t="s">
        <v>657</v>
      </c>
      <c r="B1181" s="226" t="s">
        <v>1235</v>
      </c>
      <c r="C1181" s="226" t="s">
        <v>625</v>
      </c>
      <c r="D1181" s="226" t="s">
        <v>5</v>
      </c>
      <c r="E1181" s="226" t="s">
        <v>620</v>
      </c>
      <c r="F1181" s="226">
        <v>0</v>
      </c>
      <c r="G1181" s="226">
        <v>0</v>
      </c>
    </row>
    <row r="1182" spans="1:7">
      <c r="A1182" s="226" t="s">
        <v>657</v>
      </c>
      <c r="B1182" s="226" t="s">
        <v>1235</v>
      </c>
      <c r="C1182" s="226" t="s">
        <v>625</v>
      </c>
      <c r="D1182" s="226" t="s">
        <v>5</v>
      </c>
      <c r="E1182" s="226" t="s">
        <v>660</v>
      </c>
      <c r="F1182" s="226">
        <v>0</v>
      </c>
      <c r="G1182" s="226">
        <v>0</v>
      </c>
    </row>
    <row r="1183" spans="1:7">
      <c r="A1183" s="226" t="s">
        <v>657</v>
      </c>
      <c r="B1183" s="226" t="s">
        <v>1235</v>
      </c>
      <c r="C1183" s="226" t="s">
        <v>625</v>
      </c>
      <c r="D1183" s="226" t="s">
        <v>5</v>
      </c>
      <c r="E1183" s="226" t="s">
        <v>661</v>
      </c>
      <c r="F1183" s="226">
        <v>0</v>
      </c>
      <c r="G1183" s="226">
        <v>0</v>
      </c>
    </row>
    <row r="1184" spans="1:7">
      <c r="A1184" s="226" t="s">
        <v>657</v>
      </c>
      <c r="B1184" s="226" t="s">
        <v>1235</v>
      </c>
      <c r="C1184" s="226" t="s">
        <v>625</v>
      </c>
      <c r="D1184" s="226" t="s">
        <v>5</v>
      </c>
      <c r="E1184" s="226" t="s">
        <v>662</v>
      </c>
      <c r="F1184" s="226">
        <v>0</v>
      </c>
      <c r="G1184" s="226">
        <v>0</v>
      </c>
    </row>
    <row r="1185" spans="1:7">
      <c r="A1185" s="226" t="s">
        <v>657</v>
      </c>
      <c r="B1185" s="226" t="s">
        <v>1235</v>
      </c>
      <c r="C1185" s="226" t="s">
        <v>625</v>
      </c>
      <c r="D1185" s="226" t="s">
        <v>5</v>
      </c>
      <c r="E1185" s="226" t="s">
        <v>663</v>
      </c>
      <c r="F1185" s="226">
        <v>0</v>
      </c>
      <c r="G1185" s="226">
        <v>0</v>
      </c>
    </row>
    <row r="1186" spans="1:7">
      <c r="A1186" s="226" t="s">
        <v>657</v>
      </c>
      <c r="B1186" s="226" t="s">
        <v>1235</v>
      </c>
      <c r="C1186" s="226" t="s">
        <v>625</v>
      </c>
      <c r="D1186" s="226" t="s">
        <v>5</v>
      </c>
      <c r="E1186" s="226" t="s">
        <v>664</v>
      </c>
      <c r="F1186" s="226">
        <v>0</v>
      </c>
      <c r="G1186" s="226">
        <v>0</v>
      </c>
    </row>
    <row r="1187" spans="1:7">
      <c r="A1187" s="226" t="s">
        <v>657</v>
      </c>
      <c r="B1187" s="226" t="s">
        <v>1235</v>
      </c>
      <c r="C1187" s="226" t="s">
        <v>625</v>
      </c>
      <c r="D1187" s="226" t="s">
        <v>5</v>
      </c>
      <c r="E1187" s="226" t="s">
        <v>665</v>
      </c>
      <c r="F1187" s="226">
        <v>0</v>
      </c>
      <c r="G1187" s="226">
        <v>0</v>
      </c>
    </row>
    <row r="1188" spans="1:7">
      <c r="A1188" s="226" t="s">
        <v>657</v>
      </c>
      <c r="B1188" s="226" t="s">
        <v>1235</v>
      </c>
      <c r="C1188" s="226" t="s">
        <v>625</v>
      </c>
      <c r="D1188" s="226" t="s">
        <v>5</v>
      </c>
      <c r="E1188" s="226" t="s">
        <v>666</v>
      </c>
      <c r="F1188" s="226">
        <v>0</v>
      </c>
      <c r="G1188" s="226">
        <v>0</v>
      </c>
    </row>
    <row r="1189" spans="1:7">
      <c r="A1189" s="226" t="s">
        <v>657</v>
      </c>
      <c r="B1189" s="226" t="s">
        <v>1235</v>
      </c>
      <c r="C1189" s="226" t="s">
        <v>625</v>
      </c>
      <c r="D1189" s="226" t="s">
        <v>5</v>
      </c>
      <c r="E1189" s="226" t="s">
        <v>667</v>
      </c>
      <c r="F1189" s="226">
        <v>0</v>
      </c>
      <c r="G1189" s="226">
        <v>0</v>
      </c>
    </row>
    <row r="1190" spans="1:7">
      <c r="A1190" s="226" t="s">
        <v>657</v>
      </c>
      <c r="B1190" s="226" t="s">
        <v>1235</v>
      </c>
      <c r="C1190" s="226" t="s">
        <v>625</v>
      </c>
      <c r="D1190" s="226" t="s">
        <v>88</v>
      </c>
      <c r="E1190" s="226" t="s">
        <v>618</v>
      </c>
      <c r="F1190" s="226">
        <v>0</v>
      </c>
      <c r="G1190" s="226">
        <v>0</v>
      </c>
    </row>
    <row r="1191" spans="1:7">
      <c r="A1191" s="226" t="s">
        <v>657</v>
      </c>
      <c r="B1191" s="226" t="s">
        <v>1235</v>
      </c>
      <c r="C1191" s="226" t="s">
        <v>625</v>
      </c>
      <c r="D1191" s="226" t="s">
        <v>88</v>
      </c>
      <c r="E1191" s="226" t="s">
        <v>619</v>
      </c>
      <c r="F1191" s="226">
        <v>0</v>
      </c>
      <c r="G1191" s="226">
        <v>0</v>
      </c>
    </row>
    <row r="1192" spans="1:7">
      <c r="A1192" s="226" t="s">
        <v>657</v>
      </c>
      <c r="B1192" s="226" t="s">
        <v>1235</v>
      </c>
      <c r="C1192" s="226" t="s">
        <v>625</v>
      </c>
      <c r="D1192" s="226" t="s">
        <v>88</v>
      </c>
      <c r="E1192" s="226" t="s">
        <v>620</v>
      </c>
      <c r="F1192" s="226">
        <v>0</v>
      </c>
      <c r="G1192" s="226">
        <v>0</v>
      </c>
    </row>
    <row r="1193" spans="1:7">
      <c r="A1193" s="226" t="s">
        <v>657</v>
      </c>
      <c r="B1193" s="226" t="s">
        <v>1235</v>
      </c>
      <c r="C1193" s="226" t="s">
        <v>625</v>
      </c>
      <c r="D1193" s="226" t="s">
        <v>88</v>
      </c>
      <c r="E1193" s="226" t="s">
        <v>660</v>
      </c>
      <c r="F1193" s="226">
        <v>0</v>
      </c>
      <c r="G1193" s="226">
        <v>0</v>
      </c>
    </row>
    <row r="1194" spans="1:7">
      <c r="A1194" s="226" t="s">
        <v>657</v>
      </c>
      <c r="B1194" s="226" t="s">
        <v>1235</v>
      </c>
      <c r="C1194" s="226" t="s">
        <v>625</v>
      </c>
      <c r="D1194" s="226" t="s">
        <v>88</v>
      </c>
      <c r="E1194" s="226" t="s">
        <v>661</v>
      </c>
      <c r="F1194" s="226">
        <v>0</v>
      </c>
      <c r="G1194" s="226">
        <v>0</v>
      </c>
    </row>
    <row r="1195" spans="1:7">
      <c r="A1195" s="226" t="s">
        <v>657</v>
      </c>
      <c r="B1195" s="226" t="s">
        <v>1235</v>
      </c>
      <c r="C1195" s="226" t="s">
        <v>625</v>
      </c>
      <c r="D1195" s="226" t="s">
        <v>88</v>
      </c>
      <c r="E1195" s="226" t="s">
        <v>662</v>
      </c>
      <c r="F1195" s="226">
        <v>0</v>
      </c>
      <c r="G1195" s="226">
        <v>0</v>
      </c>
    </row>
    <row r="1196" spans="1:7">
      <c r="A1196" s="226" t="s">
        <v>657</v>
      </c>
      <c r="B1196" s="226" t="s">
        <v>1235</v>
      </c>
      <c r="C1196" s="226" t="s">
        <v>625</v>
      </c>
      <c r="D1196" s="226" t="s">
        <v>88</v>
      </c>
      <c r="E1196" s="226" t="s">
        <v>663</v>
      </c>
      <c r="F1196" s="226">
        <v>0</v>
      </c>
      <c r="G1196" s="226">
        <v>0</v>
      </c>
    </row>
    <row r="1197" spans="1:7">
      <c r="A1197" s="226" t="s">
        <v>657</v>
      </c>
      <c r="B1197" s="226" t="s">
        <v>1235</v>
      </c>
      <c r="C1197" s="226" t="s">
        <v>625</v>
      </c>
      <c r="D1197" s="226" t="s">
        <v>88</v>
      </c>
      <c r="E1197" s="226" t="s">
        <v>664</v>
      </c>
      <c r="F1197" s="226">
        <v>0</v>
      </c>
      <c r="G1197" s="226">
        <v>0</v>
      </c>
    </row>
    <row r="1198" spans="1:7">
      <c r="A1198" s="226" t="s">
        <v>657</v>
      </c>
      <c r="B1198" s="226" t="s">
        <v>1235</v>
      </c>
      <c r="C1198" s="226" t="s">
        <v>625</v>
      </c>
      <c r="D1198" s="226" t="s">
        <v>88</v>
      </c>
      <c r="E1198" s="226" t="s">
        <v>665</v>
      </c>
      <c r="F1198" s="226">
        <v>0</v>
      </c>
      <c r="G1198" s="226">
        <v>0</v>
      </c>
    </row>
    <row r="1199" spans="1:7">
      <c r="A1199" s="226" t="s">
        <v>657</v>
      </c>
      <c r="B1199" s="226" t="s">
        <v>1235</v>
      </c>
      <c r="C1199" s="226" t="s">
        <v>625</v>
      </c>
      <c r="D1199" s="226" t="s">
        <v>88</v>
      </c>
      <c r="E1199" s="226" t="s">
        <v>666</v>
      </c>
      <c r="F1199" s="226">
        <v>0</v>
      </c>
      <c r="G1199" s="226">
        <v>0</v>
      </c>
    </row>
    <row r="1200" spans="1:7">
      <c r="A1200" s="226" t="s">
        <v>657</v>
      </c>
      <c r="B1200" s="226" t="s">
        <v>1235</v>
      </c>
      <c r="C1200" s="226" t="s">
        <v>625</v>
      </c>
      <c r="D1200" s="226" t="s">
        <v>88</v>
      </c>
      <c r="E1200" s="226" t="s">
        <v>667</v>
      </c>
      <c r="F1200" s="226">
        <v>0</v>
      </c>
      <c r="G1200" s="226">
        <v>0</v>
      </c>
    </row>
    <row r="1201" spans="1:7">
      <c r="A1201" s="226" t="s">
        <v>657</v>
      </c>
      <c r="B1201" s="226" t="s">
        <v>1235</v>
      </c>
      <c r="C1201" s="226" t="s">
        <v>625</v>
      </c>
      <c r="D1201" s="226" t="s">
        <v>89</v>
      </c>
      <c r="E1201" s="226" t="s">
        <v>618</v>
      </c>
      <c r="F1201" s="226">
        <v>0</v>
      </c>
      <c r="G1201" s="226">
        <v>0</v>
      </c>
    </row>
    <row r="1202" spans="1:7">
      <c r="A1202" s="226" t="s">
        <v>657</v>
      </c>
      <c r="B1202" s="226" t="s">
        <v>1235</v>
      </c>
      <c r="C1202" s="226" t="s">
        <v>625</v>
      </c>
      <c r="D1202" s="226" t="s">
        <v>89</v>
      </c>
      <c r="E1202" s="226" t="s">
        <v>619</v>
      </c>
      <c r="F1202" s="226">
        <v>0</v>
      </c>
      <c r="G1202" s="226">
        <v>0</v>
      </c>
    </row>
    <row r="1203" spans="1:7">
      <c r="A1203" s="226" t="s">
        <v>657</v>
      </c>
      <c r="B1203" s="226" t="s">
        <v>1235</v>
      </c>
      <c r="C1203" s="226" t="s">
        <v>625</v>
      </c>
      <c r="D1203" s="226" t="s">
        <v>89</v>
      </c>
      <c r="E1203" s="226" t="s">
        <v>620</v>
      </c>
      <c r="F1203" s="226">
        <v>0</v>
      </c>
      <c r="G1203" s="226">
        <v>0</v>
      </c>
    </row>
    <row r="1204" spans="1:7">
      <c r="A1204" s="226" t="s">
        <v>657</v>
      </c>
      <c r="B1204" s="226" t="s">
        <v>1235</v>
      </c>
      <c r="C1204" s="226" t="s">
        <v>625</v>
      </c>
      <c r="D1204" s="226" t="s">
        <v>89</v>
      </c>
      <c r="E1204" s="226" t="s">
        <v>660</v>
      </c>
      <c r="F1204" s="226">
        <v>0</v>
      </c>
      <c r="G1204" s="226">
        <v>0</v>
      </c>
    </row>
    <row r="1205" spans="1:7">
      <c r="A1205" s="226" t="s">
        <v>657</v>
      </c>
      <c r="B1205" s="226" t="s">
        <v>1235</v>
      </c>
      <c r="C1205" s="226" t="s">
        <v>625</v>
      </c>
      <c r="D1205" s="226" t="s">
        <v>89</v>
      </c>
      <c r="E1205" s="226" t="s">
        <v>661</v>
      </c>
      <c r="F1205" s="226">
        <v>0</v>
      </c>
      <c r="G1205" s="226">
        <v>0</v>
      </c>
    </row>
    <row r="1206" spans="1:7">
      <c r="A1206" s="226" t="s">
        <v>657</v>
      </c>
      <c r="B1206" s="226" t="s">
        <v>1235</v>
      </c>
      <c r="C1206" s="226" t="s">
        <v>625</v>
      </c>
      <c r="D1206" s="226" t="s">
        <v>89</v>
      </c>
      <c r="E1206" s="226" t="s">
        <v>662</v>
      </c>
      <c r="F1206" s="226">
        <v>0</v>
      </c>
      <c r="G1206" s="226">
        <v>0</v>
      </c>
    </row>
    <row r="1207" spans="1:7">
      <c r="A1207" s="226" t="s">
        <v>657</v>
      </c>
      <c r="B1207" s="226" t="s">
        <v>1235</v>
      </c>
      <c r="C1207" s="226" t="s">
        <v>625</v>
      </c>
      <c r="D1207" s="226" t="s">
        <v>89</v>
      </c>
      <c r="E1207" s="226" t="s">
        <v>663</v>
      </c>
      <c r="F1207" s="226">
        <v>0</v>
      </c>
      <c r="G1207" s="226">
        <v>0</v>
      </c>
    </row>
    <row r="1208" spans="1:7">
      <c r="A1208" s="226" t="s">
        <v>657</v>
      </c>
      <c r="B1208" s="226" t="s">
        <v>1235</v>
      </c>
      <c r="C1208" s="226" t="s">
        <v>625</v>
      </c>
      <c r="D1208" s="226" t="s">
        <v>89</v>
      </c>
      <c r="E1208" s="226" t="s">
        <v>664</v>
      </c>
      <c r="F1208" s="226">
        <v>0</v>
      </c>
      <c r="G1208" s="226">
        <v>0</v>
      </c>
    </row>
    <row r="1209" spans="1:7">
      <c r="A1209" s="226" t="s">
        <v>657</v>
      </c>
      <c r="B1209" s="226" t="s">
        <v>1235</v>
      </c>
      <c r="C1209" s="226" t="s">
        <v>625</v>
      </c>
      <c r="D1209" s="226" t="s">
        <v>89</v>
      </c>
      <c r="E1209" s="226" t="s">
        <v>665</v>
      </c>
      <c r="F1209" s="226">
        <v>0</v>
      </c>
      <c r="G1209" s="226">
        <v>0</v>
      </c>
    </row>
    <row r="1210" spans="1:7">
      <c r="A1210" s="226" t="s">
        <v>657</v>
      </c>
      <c r="B1210" s="226" t="s">
        <v>1235</v>
      </c>
      <c r="C1210" s="226" t="s">
        <v>625</v>
      </c>
      <c r="D1210" s="226" t="s">
        <v>89</v>
      </c>
      <c r="E1210" s="226" t="s">
        <v>666</v>
      </c>
      <c r="F1210" s="226">
        <v>0</v>
      </c>
      <c r="G1210" s="226">
        <v>0</v>
      </c>
    </row>
    <row r="1211" spans="1:7">
      <c r="A1211" s="226" t="s">
        <v>657</v>
      </c>
      <c r="B1211" s="226" t="s">
        <v>1235</v>
      </c>
      <c r="C1211" s="226" t="s">
        <v>625</v>
      </c>
      <c r="D1211" s="226" t="s">
        <v>89</v>
      </c>
      <c r="E1211" s="226" t="s">
        <v>667</v>
      </c>
      <c r="F1211" s="226">
        <v>0</v>
      </c>
      <c r="G1211" s="226">
        <v>0</v>
      </c>
    </row>
    <row r="1212" spans="1:7">
      <c r="A1212" s="226" t="s">
        <v>657</v>
      </c>
      <c r="B1212" s="226" t="s">
        <v>1235</v>
      </c>
      <c r="C1212" s="226" t="s">
        <v>963</v>
      </c>
      <c r="D1212" s="226" t="s">
        <v>20</v>
      </c>
      <c r="E1212" s="226" t="s">
        <v>618</v>
      </c>
      <c r="F1212" s="226">
        <v>0</v>
      </c>
      <c r="G1212" s="226">
        <v>0</v>
      </c>
    </row>
    <row r="1213" spans="1:7">
      <c r="A1213" s="226" t="s">
        <v>657</v>
      </c>
      <c r="B1213" s="226" t="s">
        <v>1235</v>
      </c>
      <c r="C1213" s="226" t="s">
        <v>963</v>
      </c>
      <c r="D1213" s="226" t="s">
        <v>20</v>
      </c>
      <c r="E1213" s="226" t="s">
        <v>619</v>
      </c>
      <c r="F1213" s="226">
        <v>0</v>
      </c>
      <c r="G1213" s="226">
        <v>0</v>
      </c>
    </row>
    <row r="1214" spans="1:7">
      <c r="A1214" s="226" t="s">
        <v>657</v>
      </c>
      <c r="B1214" s="226" t="s">
        <v>1235</v>
      </c>
      <c r="C1214" s="226" t="s">
        <v>963</v>
      </c>
      <c r="D1214" s="226" t="s">
        <v>20</v>
      </c>
      <c r="E1214" s="226" t="s">
        <v>620</v>
      </c>
      <c r="F1214" s="226">
        <v>0</v>
      </c>
      <c r="G1214" s="226">
        <v>0</v>
      </c>
    </row>
    <row r="1215" spans="1:7">
      <c r="A1215" s="226" t="s">
        <v>657</v>
      </c>
      <c r="B1215" s="226" t="s">
        <v>1235</v>
      </c>
      <c r="C1215" s="226" t="s">
        <v>963</v>
      </c>
      <c r="D1215" s="226" t="s">
        <v>20</v>
      </c>
      <c r="E1215" s="226" t="s">
        <v>660</v>
      </c>
      <c r="F1215" s="226">
        <v>0</v>
      </c>
      <c r="G1215" s="226">
        <v>0</v>
      </c>
    </row>
    <row r="1216" spans="1:7">
      <c r="A1216" s="226" t="s">
        <v>657</v>
      </c>
      <c r="B1216" s="226" t="s">
        <v>1235</v>
      </c>
      <c r="C1216" s="226" t="s">
        <v>963</v>
      </c>
      <c r="D1216" s="226" t="s">
        <v>20</v>
      </c>
      <c r="E1216" s="226" t="s">
        <v>661</v>
      </c>
      <c r="F1216" s="226">
        <v>0</v>
      </c>
      <c r="G1216" s="226">
        <v>0</v>
      </c>
    </row>
    <row r="1217" spans="1:7">
      <c r="A1217" s="226" t="s">
        <v>657</v>
      </c>
      <c r="B1217" s="226" t="s">
        <v>1235</v>
      </c>
      <c r="C1217" s="226" t="s">
        <v>963</v>
      </c>
      <c r="D1217" s="226" t="s">
        <v>20</v>
      </c>
      <c r="E1217" s="226" t="s">
        <v>662</v>
      </c>
      <c r="F1217" s="226">
        <v>0</v>
      </c>
      <c r="G1217" s="226">
        <v>0</v>
      </c>
    </row>
    <row r="1218" spans="1:7">
      <c r="A1218" s="226" t="s">
        <v>657</v>
      </c>
      <c r="B1218" s="226" t="s">
        <v>1235</v>
      </c>
      <c r="C1218" s="226" t="s">
        <v>963</v>
      </c>
      <c r="D1218" s="226" t="s">
        <v>20</v>
      </c>
      <c r="E1218" s="226" t="s">
        <v>663</v>
      </c>
      <c r="F1218" s="226">
        <v>0</v>
      </c>
      <c r="G1218" s="226">
        <v>0</v>
      </c>
    </row>
    <row r="1219" spans="1:7">
      <c r="A1219" s="226" t="s">
        <v>657</v>
      </c>
      <c r="B1219" s="226" t="s">
        <v>1235</v>
      </c>
      <c r="C1219" s="226" t="s">
        <v>963</v>
      </c>
      <c r="D1219" s="226" t="s">
        <v>20</v>
      </c>
      <c r="E1219" s="226" t="s">
        <v>664</v>
      </c>
      <c r="F1219" s="226">
        <v>0</v>
      </c>
      <c r="G1219" s="226">
        <v>0</v>
      </c>
    </row>
    <row r="1220" spans="1:7">
      <c r="A1220" s="226" t="s">
        <v>657</v>
      </c>
      <c r="B1220" s="226" t="s">
        <v>1235</v>
      </c>
      <c r="C1220" s="226" t="s">
        <v>963</v>
      </c>
      <c r="D1220" s="226" t="s">
        <v>20</v>
      </c>
      <c r="E1220" s="226" t="s">
        <v>665</v>
      </c>
      <c r="F1220" s="226">
        <v>0</v>
      </c>
      <c r="G1220" s="226">
        <v>0</v>
      </c>
    </row>
    <row r="1221" spans="1:7">
      <c r="A1221" s="226" t="s">
        <v>657</v>
      </c>
      <c r="B1221" s="226" t="s">
        <v>1235</v>
      </c>
      <c r="C1221" s="226" t="s">
        <v>963</v>
      </c>
      <c r="D1221" s="226" t="s">
        <v>20</v>
      </c>
      <c r="E1221" s="226" t="s">
        <v>666</v>
      </c>
      <c r="F1221" s="226">
        <v>0</v>
      </c>
      <c r="G1221" s="226">
        <v>0</v>
      </c>
    </row>
    <row r="1222" spans="1:7">
      <c r="A1222" s="226" t="s">
        <v>657</v>
      </c>
      <c r="B1222" s="226" t="s">
        <v>1235</v>
      </c>
      <c r="C1222" s="226" t="s">
        <v>963</v>
      </c>
      <c r="D1222" s="226" t="s">
        <v>20</v>
      </c>
      <c r="E1222" s="226" t="s">
        <v>667</v>
      </c>
      <c r="F1222" s="226">
        <v>0</v>
      </c>
      <c r="G1222" s="226">
        <v>0</v>
      </c>
    </row>
    <row r="1223" spans="1:7">
      <c r="A1223" s="226" t="s">
        <v>657</v>
      </c>
      <c r="B1223" s="226" t="s">
        <v>1235</v>
      </c>
      <c r="C1223" s="226" t="s">
        <v>627</v>
      </c>
      <c r="D1223" s="226" t="s">
        <v>11</v>
      </c>
      <c r="E1223" s="226" t="s">
        <v>618</v>
      </c>
      <c r="F1223" s="226">
        <v>0</v>
      </c>
      <c r="G1223" s="226">
        <v>0</v>
      </c>
    </row>
    <row r="1224" spans="1:7">
      <c r="A1224" s="226" t="s">
        <v>657</v>
      </c>
      <c r="B1224" s="226" t="s">
        <v>1235</v>
      </c>
      <c r="C1224" s="226" t="s">
        <v>627</v>
      </c>
      <c r="D1224" s="226" t="s">
        <v>11</v>
      </c>
      <c r="E1224" s="226" t="s">
        <v>619</v>
      </c>
      <c r="F1224" s="226">
        <v>0</v>
      </c>
      <c r="G1224" s="226">
        <v>0</v>
      </c>
    </row>
    <row r="1225" spans="1:7">
      <c r="A1225" s="226" t="s">
        <v>657</v>
      </c>
      <c r="B1225" s="226" t="s">
        <v>1235</v>
      </c>
      <c r="C1225" s="226" t="s">
        <v>627</v>
      </c>
      <c r="D1225" s="226" t="s">
        <v>11</v>
      </c>
      <c r="E1225" s="226" t="s">
        <v>620</v>
      </c>
      <c r="F1225" s="226">
        <v>0</v>
      </c>
      <c r="G1225" s="226">
        <v>0</v>
      </c>
    </row>
    <row r="1226" spans="1:7">
      <c r="A1226" s="226" t="s">
        <v>657</v>
      </c>
      <c r="B1226" s="226" t="s">
        <v>1235</v>
      </c>
      <c r="C1226" s="226" t="s">
        <v>627</v>
      </c>
      <c r="D1226" s="226" t="s">
        <v>11</v>
      </c>
      <c r="E1226" s="226" t="s">
        <v>660</v>
      </c>
      <c r="F1226" s="226">
        <v>0</v>
      </c>
      <c r="G1226" s="226">
        <v>0</v>
      </c>
    </row>
    <row r="1227" spans="1:7">
      <c r="A1227" s="226" t="s">
        <v>657</v>
      </c>
      <c r="B1227" s="226" t="s">
        <v>1235</v>
      </c>
      <c r="C1227" s="226" t="s">
        <v>627</v>
      </c>
      <c r="D1227" s="226" t="s">
        <v>11</v>
      </c>
      <c r="E1227" s="226" t="s">
        <v>661</v>
      </c>
      <c r="F1227" s="226">
        <v>0</v>
      </c>
      <c r="G1227" s="226">
        <v>0</v>
      </c>
    </row>
    <row r="1228" spans="1:7">
      <c r="A1228" s="226" t="s">
        <v>657</v>
      </c>
      <c r="B1228" s="226" t="s">
        <v>1235</v>
      </c>
      <c r="C1228" s="226" t="s">
        <v>627</v>
      </c>
      <c r="D1228" s="226" t="s">
        <v>11</v>
      </c>
      <c r="E1228" s="226" t="s">
        <v>662</v>
      </c>
      <c r="F1228" s="226">
        <v>0</v>
      </c>
      <c r="G1228" s="226">
        <v>0</v>
      </c>
    </row>
    <row r="1229" spans="1:7">
      <c r="A1229" s="226" t="s">
        <v>657</v>
      </c>
      <c r="B1229" s="226" t="s">
        <v>1235</v>
      </c>
      <c r="C1229" s="226" t="s">
        <v>627</v>
      </c>
      <c r="D1229" s="226" t="s">
        <v>11</v>
      </c>
      <c r="E1229" s="226" t="s">
        <v>663</v>
      </c>
      <c r="F1229" s="226">
        <v>0</v>
      </c>
      <c r="G1229" s="226">
        <v>0</v>
      </c>
    </row>
    <row r="1230" spans="1:7">
      <c r="A1230" s="226" t="s">
        <v>657</v>
      </c>
      <c r="B1230" s="226" t="s">
        <v>1235</v>
      </c>
      <c r="C1230" s="226" t="s">
        <v>627</v>
      </c>
      <c r="D1230" s="226" t="s">
        <v>11</v>
      </c>
      <c r="E1230" s="226" t="s">
        <v>664</v>
      </c>
      <c r="F1230" s="226">
        <v>0</v>
      </c>
      <c r="G1230" s="226">
        <v>0</v>
      </c>
    </row>
    <row r="1231" spans="1:7">
      <c r="A1231" s="226" t="s">
        <v>657</v>
      </c>
      <c r="B1231" s="226" t="s">
        <v>1235</v>
      </c>
      <c r="C1231" s="226" t="s">
        <v>627</v>
      </c>
      <c r="D1231" s="226" t="s">
        <v>11</v>
      </c>
      <c r="E1231" s="226" t="s">
        <v>665</v>
      </c>
      <c r="F1231" s="226">
        <v>0</v>
      </c>
      <c r="G1231" s="226">
        <v>0</v>
      </c>
    </row>
    <row r="1232" spans="1:7">
      <c r="A1232" s="226" t="s">
        <v>657</v>
      </c>
      <c r="B1232" s="226" t="s">
        <v>1235</v>
      </c>
      <c r="C1232" s="226" t="s">
        <v>627</v>
      </c>
      <c r="D1232" s="226" t="s">
        <v>11</v>
      </c>
      <c r="E1232" s="226" t="s">
        <v>666</v>
      </c>
      <c r="F1232" s="226">
        <v>0</v>
      </c>
      <c r="G1232" s="226">
        <v>0</v>
      </c>
    </row>
    <row r="1233" spans="1:7">
      <c r="A1233" s="226" t="s">
        <v>657</v>
      </c>
      <c r="B1233" s="226" t="s">
        <v>1235</v>
      </c>
      <c r="C1233" s="226" t="s">
        <v>627</v>
      </c>
      <c r="D1233" s="226" t="s">
        <v>11</v>
      </c>
      <c r="E1233" s="226" t="s">
        <v>667</v>
      </c>
      <c r="F1233" s="226">
        <v>0</v>
      </c>
      <c r="G1233" s="226">
        <v>0</v>
      </c>
    </row>
    <row r="1234" spans="1:7">
      <c r="A1234" s="226" t="s">
        <v>657</v>
      </c>
      <c r="B1234" s="226" t="s">
        <v>1235</v>
      </c>
      <c r="C1234" s="226" t="s">
        <v>627</v>
      </c>
      <c r="D1234" s="226" t="s">
        <v>12</v>
      </c>
      <c r="E1234" s="226" t="s">
        <v>618</v>
      </c>
      <c r="F1234" s="226">
        <v>0</v>
      </c>
      <c r="G1234" s="226">
        <v>0</v>
      </c>
    </row>
    <row r="1235" spans="1:7">
      <c r="A1235" s="226" t="s">
        <v>657</v>
      </c>
      <c r="B1235" s="226" t="s">
        <v>1235</v>
      </c>
      <c r="C1235" s="226" t="s">
        <v>627</v>
      </c>
      <c r="D1235" s="226" t="s">
        <v>12</v>
      </c>
      <c r="E1235" s="226" t="s">
        <v>619</v>
      </c>
      <c r="F1235" s="226">
        <v>0</v>
      </c>
      <c r="G1235" s="226">
        <v>0</v>
      </c>
    </row>
    <row r="1236" spans="1:7">
      <c r="A1236" s="226" t="s">
        <v>657</v>
      </c>
      <c r="B1236" s="226" t="s">
        <v>1235</v>
      </c>
      <c r="C1236" s="226" t="s">
        <v>627</v>
      </c>
      <c r="D1236" s="226" t="s">
        <v>12</v>
      </c>
      <c r="E1236" s="226" t="s">
        <v>620</v>
      </c>
      <c r="F1236" s="226">
        <v>0</v>
      </c>
      <c r="G1236" s="226">
        <v>0</v>
      </c>
    </row>
    <row r="1237" spans="1:7">
      <c r="A1237" s="226" t="s">
        <v>657</v>
      </c>
      <c r="B1237" s="226" t="s">
        <v>1235</v>
      </c>
      <c r="C1237" s="226" t="s">
        <v>627</v>
      </c>
      <c r="D1237" s="226" t="s">
        <v>12</v>
      </c>
      <c r="E1237" s="226" t="s">
        <v>660</v>
      </c>
      <c r="F1237" s="226">
        <v>0</v>
      </c>
      <c r="G1237" s="226">
        <v>0</v>
      </c>
    </row>
    <row r="1238" spans="1:7">
      <c r="A1238" s="226" t="s">
        <v>657</v>
      </c>
      <c r="B1238" s="226" t="s">
        <v>1235</v>
      </c>
      <c r="C1238" s="226" t="s">
        <v>627</v>
      </c>
      <c r="D1238" s="226" t="s">
        <v>12</v>
      </c>
      <c r="E1238" s="226" t="s">
        <v>661</v>
      </c>
      <c r="F1238" s="226">
        <v>0</v>
      </c>
      <c r="G1238" s="226">
        <v>0</v>
      </c>
    </row>
    <row r="1239" spans="1:7">
      <c r="A1239" s="226" t="s">
        <v>657</v>
      </c>
      <c r="B1239" s="226" t="s">
        <v>1235</v>
      </c>
      <c r="C1239" s="226" t="s">
        <v>627</v>
      </c>
      <c r="D1239" s="226" t="s">
        <v>12</v>
      </c>
      <c r="E1239" s="226" t="s">
        <v>662</v>
      </c>
      <c r="F1239" s="226">
        <v>0</v>
      </c>
      <c r="G1239" s="226">
        <v>0</v>
      </c>
    </row>
    <row r="1240" spans="1:7">
      <c r="A1240" s="226" t="s">
        <v>657</v>
      </c>
      <c r="B1240" s="226" t="s">
        <v>1235</v>
      </c>
      <c r="C1240" s="226" t="s">
        <v>627</v>
      </c>
      <c r="D1240" s="226" t="s">
        <v>12</v>
      </c>
      <c r="E1240" s="226" t="s">
        <v>663</v>
      </c>
      <c r="F1240" s="226">
        <v>0</v>
      </c>
      <c r="G1240" s="226">
        <v>0</v>
      </c>
    </row>
    <row r="1241" spans="1:7">
      <c r="A1241" s="226" t="s">
        <v>657</v>
      </c>
      <c r="B1241" s="226" t="s">
        <v>1235</v>
      </c>
      <c r="C1241" s="226" t="s">
        <v>627</v>
      </c>
      <c r="D1241" s="226" t="s">
        <v>12</v>
      </c>
      <c r="E1241" s="226" t="s">
        <v>664</v>
      </c>
      <c r="F1241" s="226">
        <v>0</v>
      </c>
      <c r="G1241" s="226">
        <v>0</v>
      </c>
    </row>
    <row r="1242" spans="1:7">
      <c r="A1242" s="226" t="s">
        <v>657</v>
      </c>
      <c r="B1242" s="226" t="s">
        <v>1235</v>
      </c>
      <c r="C1242" s="226" t="s">
        <v>627</v>
      </c>
      <c r="D1242" s="226" t="s">
        <v>12</v>
      </c>
      <c r="E1242" s="226" t="s">
        <v>665</v>
      </c>
      <c r="F1242" s="226">
        <v>0</v>
      </c>
      <c r="G1242" s="226">
        <v>0</v>
      </c>
    </row>
    <row r="1243" spans="1:7">
      <c r="A1243" s="226" t="s">
        <v>657</v>
      </c>
      <c r="B1243" s="226" t="s">
        <v>1235</v>
      </c>
      <c r="C1243" s="226" t="s">
        <v>627</v>
      </c>
      <c r="D1243" s="226" t="s">
        <v>12</v>
      </c>
      <c r="E1243" s="226" t="s">
        <v>666</v>
      </c>
      <c r="F1243" s="226">
        <v>0</v>
      </c>
      <c r="G1243" s="226">
        <v>0</v>
      </c>
    </row>
    <row r="1244" spans="1:7">
      <c r="A1244" s="226" t="s">
        <v>657</v>
      </c>
      <c r="B1244" s="226" t="s">
        <v>1235</v>
      </c>
      <c r="C1244" s="226" t="s">
        <v>627</v>
      </c>
      <c r="D1244" s="226" t="s">
        <v>12</v>
      </c>
      <c r="E1244" s="226" t="s">
        <v>667</v>
      </c>
      <c r="F1244" s="226">
        <v>0</v>
      </c>
      <c r="G1244" s="226">
        <v>0</v>
      </c>
    </row>
    <row r="1245" spans="1:7">
      <c r="A1245" s="226" t="s">
        <v>657</v>
      </c>
      <c r="B1245" s="226" t="s">
        <v>1235</v>
      </c>
      <c r="C1245" s="226" t="s">
        <v>626</v>
      </c>
      <c r="D1245" s="226" t="s">
        <v>9</v>
      </c>
      <c r="E1245" s="226" t="s">
        <v>618</v>
      </c>
      <c r="F1245" s="226">
        <v>0</v>
      </c>
      <c r="G1245" s="226">
        <v>0</v>
      </c>
    </row>
    <row r="1246" spans="1:7">
      <c r="A1246" s="226" t="s">
        <v>657</v>
      </c>
      <c r="B1246" s="226" t="s">
        <v>1235</v>
      </c>
      <c r="C1246" s="226" t="s">
        <v>626</v>
      </c>
      <c r="D1246" s="226" t="s">
        <v>9</v>
      </c>
      <c r="E1246" s="226" t="s">
        <v>619</v>
      </c>
      <c r="F1246" s="226">
        <v>0</v>
      </c>
      <c r="G1246" s="226">
        <v>0</v>
      </c>
    </row>
    <row r="1247" spans="1:7">
      <c r="A1247" s="226" t="s">
        <v>657</v>
      </c>
      <c r="B1247" s="226" t="s">
        <v>1235</v>
      </c>
      <c r="C1247" s="226" t="s">
        <v>626</v>
      </c>
      <c r="D1247" s="226" t="s">
        <v>9</v>
      </c>
      <c r="E1247" s="226" t="s">
        <v>620</v>
      </c>
      <c r="F1247" s="226">
        <v>0</v>
      </c>
      <c r="G1247" s="226">
        <v>0</v>
      </c>
    </row>
    <row r="1248" spans="1:7">
      <c r="A1248" s="226" t="s">
        <v>657</v>
      </c>
      <c r="B1248" s="226" t="s">
        <v>1235</v>
      </c>
      <c r="C1248" s="226" t="s">
        <v>626</v>
      </c>
      <c r="D1248" s="226" t="s">
        <v>9</v>
      </c>
      <c r="E1248" s="226" t="s">
        <v>660</v>
      </c>
      <c r="F1248" s="226">
        <v>0</v>
      </c>
      <c r="G1248" s="226">
        <v>0</v>
      </c>
    </row>
    <row r="1249" spans="1:7">
      <c r="A1249" s="226" t="s">
        <v>657</v>
      </c>
      <c r="B1249" s="226" t="s">
        <v>1235</v>
      </c>
      <c r="C1249" s="226" t="s">
        <v>626</v>
      </c>
      <c r="D1249" s="226" t="s">
        <v>9</v>
      </c>
      <c r="E1249" s="226" t="s">
        <v>661</v>
      </c>
      <c r="F1249" s="226">
        <v>0</v>
      </c>
      <c r="G1249" s="226">
        <v>0</v>
      </c>
    </row>
    <row r="1250" spans="1:7">
      <c r="A1250" s="226" t="s">
        <v>657</v>
      </c>
      <c r="B1250" s="226" t="s">
        <v>1235</v>
      </c>
      <c r="C1250" s="226" t="s">
        <v>626</v>
      </c>
      <c r="D1250" s="226" t="s">
        <v>9</v>
      </c>
      <c r="E1250" s="226" t="s">
        <v>662</v>
      </c>
      <c r="F1250" s="226">
        <v>0</v>
      </c>
      <c r="G1250" s="226">
        <v>0</v>
      </c>
    </row>
    <row r="1251" spans="1:7">
      <c r="A1251" s="226" t="s">
        <v>657</v>
      </c>
      <c r="B1251" s="226" t="s">
        <v>1235</v>
      </c>
      <c r="C1251" s="226" t="s">
        <v>626</v>
      </c>
      <c r="D1251" s="226" t="s">
        <v>9</v>
      </c>
      <c r="E1251" s="226" t="s">
        <v>663</v>
      </c>
      <c r="F1251" s="226">
        <v>0</v>
      </c>
      <c r="G1251" s="226">
        <v>0</v>
      </c>
    </row>
    <row r="1252" spans="1:7">
      <c r="A1252" s="226" t="s">
        <v>657</v>
      </c>
      <c r="B1252" s="226" t="s">
        <v>1235</v>
      </c>
      <c r="C1252" s="226" t="s">
        <v>626</v>
      </c>
      <c r="D1252" s="226" t="s">
        <v>9</v>
      </c>
      <c r="E1252" s="226" t="s">
        <v>664</v>
      </c>
      <c r="F1252" s="226">
        <v>0</v>
      </c>
      <c r="G1252" s="226">
        <v>0</v>
      </c>
    </row>
    <row r="1253" spans="1:7">
      <c r="A1253" s="226" t="s">
        <v>657</v>
      </c>
      <c r="B1253" s="226" t="s">
        <v>1235</v>
      </c>
      <c r="C1253" s="226" t="s">
        <v>626</v>
      </c>
      <c r="D1253" s="226" t="s">
        <v>9</v>
      </c>
      <c r="E1253" s="226" t="s">
        <v>665</v>
      </c>
      <c r="F1253" s="226">
        <v>0</v>
      </c>
      <c r="G1253" s="226">
        <v>0</v>
      </c>
    </row>
    <row r="1254" spans="1:7">
      <c r="A1254" s="226" t="s">
        <v>657</v>
      </c>
      <c r="B1254" s="226" t="s">
        <v>1235</v>
      </c>
      <c r="C1254" s="226" t="s">
        <v>626</v>
      </c>
      <c r="D1254" s="226" t="s">
        <v>9</v>
      </c>
      <c r="E1254" s="226" t="s">
        <v>666</v>
      </c>
      <c r="F1254" s="226">
        <v>0</v>
      </c>
      <c r="G1254" s="226">
        <v>0</v>
      </c>
    </row>
    <row r="1255" spans="1:7">
      <c r="A1255" s="226" t="s">
        <v>657</v>
      </c>
      <c r="B1255" s="226" t="s">
        <v>1235</v>
      </c>
      <c r="C1255" s="226" t="s">
        <v>626</v>
      </c>
      <c r="D1255" s="226" t="s">
        <v>9</v>
      </c>
      <c r="E1255" s="226" t="s">
        <v>667</v>
      </c>
      <c r="F1255" s="226">
        <v>0</v>
      </c>
      <c r="G1255" s="226">
        <v>0</v>
      </c>
    </row>
    <row r="1256" spans="1:7">
      <c r="A1256" s="226" t="s">
        <v>657</v>
      </c>
      <c r="B1256" s="226" t="s">
        <v>1235</v>
      </c>
      <c r="C1256" s="226" t="s">
        <v>626</v>
      </c>
      <c r="D1256" s="226" t="s">
        <v>10</v>
      </c>
      <c r="E1256" s="226" t="s">
        <v>618</v>
      </c>
      <c r="F1256" s="226">
        <v>0</v>
      </c>
      <c r="G1256" s="226">
        <v>0</v>
      </c>
    </row>
    <row r="1257" spans="1:7">
      <c r="A1257" s="226" t="s">
        <v>657</v>
      </c>
      <c r="B1257" s="226" t="s">
        <v>1235</v>
      </c>
      <c r="C1257" s="226" t="s">
        <v>626</v>
      </c>
      <c r="D1257" s="226" t="s">
        <v>10</v>
      </c>
      <c r="E1257" s="226" t="s">
        <v>619</v>
      </c>
      <c r="F1257" s="226">
        <v>0</v>
      </c>
      <c r="G1257" s="226">
        <v>0</v>
      </c>
    </row>
    <row r="1258" spans="1:7">
      <c r="A1258" s="226" t="s">
        <v>657</v>
      </c>
      <c r="B1258" s="226" t="s">
        <v>1235</v>
      </c>
      <c r="C1258" s="226" t="s">
        <v>626</v>
      </c>
      <c r="D1258" s="226" t="s">
        <v>10</v>
      </c>
      <c r="E1258" s="226" t="s">
        <v>620</v>
      </c>
      <c r="F1258" s="226">
        <v>0</v>
      </c>
      <c r="G1258" s="226">
        <v>0</v>
      </c>
    </row>
    <row r="1259" spans="1:7">
      <c r="A1259" s="226" t="s">
        <v>657</v>
      </c>
      <c r="B1259" s="226" t="s">
        <v>1235</v>
      </c>
      <c r="C1259" s="226" t="s">
        <v>626</v>
      </c>
      <c r="D1259" s="226" t="s">
        <v>10</v>
      </c>
      <c r="E1259" s="226" t="s">
        <v>660</v>
      </c>
      <c r="F1259" s="226">
        <v>0</v>
      </c>
      <c r="G1259" s="226">
        <v>0</v>
      </c>
    </row>
    <row r="1260" spans="1:7">
      <c r="A1260" s="226" t="s">
        <v>657</v>
      </c>
      <c r="B1260" s="226" t="s">
        <v>1235</v>
      </c>
      <c r="C1260" s="226" t="s">
        <v>626</v>
      </c>
      <c r="D1260" s="226" t="s">
        <v>10</v>
      </c>
      <c r="E1260" s="226" t="s">
        <v>661</v>
      </c>
      <c r="F1260" s="226">
        <v>0</v>
      </c>
      <c r="G1260" s="226">
        <v>0</v>
      </c>
    </row>
    <row r="1261" spans="1:7">
      <c r="A1261" s="226" t="s">
        <v>657</v>
      </c>
      <c r="B1261" s="226" t="s">
        <v>1235</v>
      </c>
      <c r="C1261" s="226" t="s">
        <v>626</v>
      </c>
      <c r="D1261" s="226" t="s">
        <v>10</v>
      </c>
      <c r="E1261" s="226" t="s">
        <v>662</v>
      </c>
      <c r="F1261" s="226">
        <v>0</v>
      </c>
      <c r="G1261" s="226">
        <v>0</v>
      </c>
    </row>
    <row r="1262" spans="1:7">
      <c r="A1262" s="226" t="s">
        <v>657</v>
      </c>
      <c r="B1262" s="226" t="s">
        <v>1235</v>
      </c>
      <c r="C1262" s="226" t="s">
        <v>626</v>
      </c>
      <c r="D1262" s="226" t="s">
        <v>10</v>
      </c>
      <c r="E1262" s="226" t="s">
        <v>663</v>
      </c>
      <c r="F1262" s="226">
        <v>0</v>
      </c>
      <c r="G1262" s="226">
        <v>0</v>
      </c>
    </row>
    <row r="1263" spans="1:7">
      <c r="A1263" s="226" t="s">
        <v>657</v>
      </c>
      <c r="B1263" s="226" t="s">
        <v>1235</v>
      </c>
      <c r="C1263" s="226" t="s">
        <v>626</v>
      </c>
      <c r="D1263" s="226" t="s">
        <v>10</v>
      </c>
      <c r="E1263" s="226" t="s">
        <v>664</v>
      </c>
      <c r="F1263" s="226">
        <v>0</v>
      </c>
      <c r="G1263" s="226">
        <v>0</v>
      </c>
    </row>
    <row r="1264" spans="1:7">
      <c r="A1264" s="226" t="s">
        <v>657</v>
      </c>
      <c r="B1264" s="226" t="s">
        <v>1235</v>
      </c>
      <c r="C1264" s="226" t="s">
        <v>626</v>
      </c>
      <c r="D1264" s="226" t="s">
        <v>10</v>
      </c>
      <c r="E1264" s="226" t="s">
        <v>665</v>
      </c>
      <c r="F1264" s="226">
        <v>0</v>
      </c>
      <c r="G1264" s="226">
        <v>0</v>
      </c>
    </row>
    <row r="1265" spans="1:7">
      <c r="A1265" s="226" t="s">
        <v>657</v>
      </c>
      <c r="B1265" s="226" t="s">
        <v>1235</v>
      </c>
      <c r="C1265" s="226" t="s">
        <v>626</v>
      </c>
      <c r="D1265" s="226" t="s">
        <v>10</v>
      </c>
      <c r="E1265" s="226" t="s">
        <v>666</v>
      </c>
      <c r="F1265" s="226">
        <v>0</v>
      </c>
      <c r="G1265" s="226">
        <v>0</v>
      </c>
    </row>
    <row r="1266" spans="1:7">
      <c r="A1266" s="226" t="s">
        <v>657</v>
      </c>
      <c r="B1266" s="226" t="s">
        <v>1235</v>
      </c>
      <c r="C1266" s="226" t="s">
        <v>626</v>
      </c>
      <c r="D1266" s="226" t="s">
        <v>10</v>
      </c>
      <c r="E1266" s="226" t="s">
        <v>667</v>
      </c>
      <c r="F1266" s="226">
        <v>0</v>
      </c>
      <c r="G1266" s="226">
        <v>0</v>
      </c>
    </row>
    <row r="1267" spans="1:7">
      <c r="A1267" s="226" t="s">
        <v>657</v>
      </c>
      <c r="B1267" s="226" t="s">
        <v>1235</v>
      </c>
      <c r="C1267" s="226" t="s">
        <v>963</v>
      </c>
      <c r="D1267" s="226" t="s">
        <v>16</v>
      </c>
      <c r="E1267" s="226" t="s">
        <v>618</v>
      </c>
      <c r="F1267" s="226">
        <v>0</v>
      </c>
      <c r="G1267" s="226">
        <v>0</v>
      </c>
    </row>
    <row r="1268" spans="1:7">
      <c r="A1268" s="226" t="s">
        <v>657</v>
      </c>
      <c r="B1268" s="226" t="s">
        <v>1235</v>
      </c>
      <c r="C1268" s="226" t="s">
        <v>963</v>
      </c>
      <c r="D1268" s="226" t="s">
        <v>16</v>
      </c>
      <c r="E1268" s="226" t="s">
        <v>619</v>
      </c>
      <c r="F1268" s="226">
        <v>0</v>
      </c>
      <c r="G1268" s="226">
        <v>0</v>
      </c>
    </row>
    <row r="1269" spans="1:7">
      <c r="A1269" s="226" t="s">
        <v>657</v>
      </c>
      <c r="B1269" s="226" t="s">
        <v>1235</v>
      </c>
      <c r="C1269" s="226" t="s">
        <v>963</v>
      </c>
      <c r="D1269" s="226" t="s">
        <v>16</v>
      </c>
      <c r="E1269" s="226" t="s">
        <v>620</v>
      </c>
      <c r="F1269" s="226">
        <v>0</v>
      </c>
      <c r="G1269" s="226">
        <v>0</v>
      </c>
    </row>
    <row r="1270" spans="1:7">
      <c r="A1270" s="226" t="s">
        <v>657</v>
      </c>
      <c r="B1270" s="226" t="s">
        <v>1235</v>
      </c>
      <c r="C1270" s="226" t="s">
        <v>963</v>
      </c>
      <c r="D1270" s="226" t="s">
        <v>16</v>
      </c>
      <c r="E1270" s="226" t="s">
        <v>660</v>
      </c>
      <c r="F1270" s="226">
        <v>0</v>
      </c>
      <c r="G1270" s="226">
        <v>0</v>
      </c>
    </row>
    <row r="1271" spans="1:7">
      <c r="A1271" s="226" t="s">
        <v>657</v>
      </c>
      <c r="B1271" s="226" t="s">
        <v>1235</v>
      </c>
      <c r="C1271" s="226" t="s">
        <v>963</v>
      </c>
      <c r="D1271" s="226" t="s">
        <v>16</v>
      </c>
      <c r="E1271" s="226" t="s">
        <v>661</v>
      </c>
      <c r="F1271" s="226">
        <v>0</v>
      </c>
      <c r="G1271" s="226">
        <v>0</v>
      </c>
    </row>
    <row r="1272" spans="1:7">
      <c r="A1272" s="226" t="s">
        <v>657</v>
      </c>
      <c r="B1272" s="226" t="s">
        <v>1235</v>
      </c>
      <c r="C1272" s="226" t="s">
        <v>963</v>
      </c>
      <c r="D1272" s="226" t="s">
        <v>16</v>
      </c>
      <c r="E1272" s="226" t="s">
        <v>662</v>
      </c>
      <c r="F1272" s="226">
        <v>0</v>
      </c>
      <c r="G1272" s="226">
        <v>0</v>
      </c>
    </row>
    <row r="1273" spans="1:7">
      <c r="A1273" s="226" t="s">
        <v>657</v>
      </c>
      <c r="B1273" s="226" t="s">
        <v>1235</v>
      </c>
      <c r="C1273" s="226" t="s">
        <v>963</v>
      </c>
      <c r="D1273" s="226" t="s">
        <v>16</v>
      </c>
      <c r="E1273" s="226" t="s">
        <v>663</v>
      </c>
      <c r="F1273" s="226">
        <v>0</v>
      </c>
      <c r="G1273" s="226">
        <v>0</v>
      </c>
    </row>
    <row r="1274" spans="1:7">
      <c r="A1274" s="226" t="s">
        <v>657</v>
      </c>
      <c r="B1274" s="226" t="s">
        <v>1235</v>
      </c>
      <c r="C1274" s="226" t="s">
        <v>963</v>
      </c>
      <c r="D1274" s="226" t="s">
        <v>16</v>
      </c>
      <c r="E1274" s="226" t="s">
        <v>664</v>
      </c>
      <c r="F1274" s="226">
        <v>0</v>
      </c>
      <c r="G1274" s="226">
        <v>0</v>
      </c>
    </row>
    <row r="1275" spans="1:7">
      <c r="A1275" s="226" t="s">
        <v>657</v>
      </c>
      <c r="B1275" s="226" t="s">
        <v>1235</v>
      </c>
      <c r="C1275" s="226" t="s">
        <v>963</v>
      </c>
      <c r="D1275" s="226" t="s">
        <v>16</v>
      </c>
      <c r="E1275" s="226" t="s">
        <v>665</v>
      </c>
      <c r="F1275" s="226">
        <v>0</v>
      </c>
      <c r="G1275" s="226">
        <v>0</v>
      </c>
    </row>
    <row r="1276" spans="1:7">
      <c r="A1276" s="226" t="s">
        <v>657</v>
      </c>
      <c r="B1276" s="226" t="s">
        <v>1235</v>
      </c>
      <c r="C1276" s="226" t="s">
        <v>963</v>
      </c>
      <c r="D1276" s="226" t="s">
        <v>16</v>
      </c>
      <c r="E1276" s="226" t="s">
        <v>666</v>
      </c>
      <c r="F1276" s="226">
        <v>0</v>
      </c>
      <c r="G1276" s="226">
        <v>0</v>
      </c>
    </row>
    <row r="1277" spans="1:7">
      <c r="A1277" s="226" t="s">
        <v>657</v>
      </c>
      <c r="B1277" s="226" t="s">
        <v>1235</v>
      </c>
      <c r="C1277" s="226" t="s">
        <v>963</v>
      </c>
      <c r="D1277" s="226" t="s">
        <v>16</v>
      </c>
      <c r="E1277" s="226" t="s">
        <v>667</v>
      </c>
      <c r="F1277" s="226">
        <v>0</v>
      </c>
      <c r="G1277" s="226">
        <v>0</v>
      </c>
    </row>
    <row r="1278" spans="1:7">
      <c r="A1278" s="226" t="s">
        <v>657</v>
      </c>
      <c r="B1278" s="226" t="s">
        <v>1235</v>
      </c>
      <c r="C1278" s="226" t="s">
        <v>625</v>
      </c>
      <c r="D1278" s="226" t="s">
        <v>1</v>
      </c>
      <c r="E1278" s="226" t="s">
        <v>618</v>
      </c>
      <c r="F1278" s="226">
        <v>0</v>
      </c>
      <c r="G1278" s="226">
        <v>0</v>
      </c>
    </row>
    <row r="1279" spans="1:7">
      <c r="A1279" s="226" t="s">
        <v>657</v>
      </c>
      <c r="B1279" s="226" t="s">
        <v>1235</v>
      </c>
      <c r="C1279" s="226" t="s">
        <v>625</v>
      </c>
      <c r="D1279" s="226" t="s">
        <v>1</v>
      </c>
      <c r="E1279" s="226" t="s">
        <v>619</v>
      </c>
      <c r="F1279" s="226">
        <v>0</v>
      </c>
      <c r="G1279" s="226">
        <v>0</v>
      </c>
    </row>
    <row r="1280" spans="1:7">
      <c r="A1280" s="226" t="s">
        <v>657</v>
      </c>
      <c r="B1280" s="226" t="s">
        <v>1235</v>
      </c>
      <c r="C1280" s="226" t="s">
        <v>625</v>
      </c>
      <c r="D1280" s="226" t="s">
        <v>1</v>
      </c>
      <c r="E1280" s="226" t="s">
        <v>620</v>
      </c>
      <c r="F1280" s="226">
        <v>0</v>
      </c>
      <c r="G1280" s="226">
        <v>0</v>
      </c>
    </row>
    <row r="1281" spans="1:7">
      <c r="A1281" s="226" t="s">
        <v>657</v>
      </c>
      <c r="B1281" s="226" t="s">
        <v>1235</v>
      </c>
      <c r="C1281" s="226" t="s">
        <v>625</v>
      </c>
      <c r="D1281" s="226" t="s">
        <v>1</v>
      </c>
      <c r="E1281" s="226" t="s">
        <v>660</v>
      </c>
      <c r="F1281" s="226">
        <v>0</v>
      </c>
      <c r="G1281" s="226">
        <v>0</v>
      </c>
    </row>
    <row r="1282" spans="1:7">
      <c r="A1282" s="226" t="s">
        <v>657</v>
      </c>
      <c r="B1282" s="226" t="s">
        <v>1235</v>
      </c>
      <c r="C1282" s="226" t="s">
        <v>625</v>
      </c>
      <c r="D1282" s="226" t="s">
        <v>1</v>
      </c>
      <c r="E1282" s="226" t="s">
        <v>661</v>
      </c>
      <c r="F1282" s="226">
        <v>0</v>
      </c>
      <c r="G1282" s="226">
        <v>0</v>
      </c>
    </row>
    <row r="1283" spans="1:7">
      <c r="A1283" s="226" t="s">
        <v>657</v>
      </c>
      <c r="B1283" s="226" t="s">
        <v>1235</v>
      </c>
      <c r="C1283" s="226" t="s">
        <v>625</v>
      </c>
      <c r="D1283" s="226" t="s">
        <v>1</v>
      </c>
      <c r="E1283" s="226" t="s">
        <v>662</v>
      </c>
      <c r="F1283" s="226">
        <v>0</v>
      </c>
      <c r="G1283" s="226">
        <v>0</v>
      </c>
    </row>
    <row r="1284" spans="1:7">
      <c r="A1284" s="226" t="s">
        <v>657</v>
      </c>
      <c r="B1284" s="226" t="s">
        <v>1235</v>
      </c>
      <c r="C1284" s="226" t="s">
        <v>625</v>
      </c>
      <c r="D1284" s="226" t="s">
        <v>1</v>
      </c>
      <c r="E1284" s="226" t="s">
        <v>663</v>
      </c>
      <c r="F1284" s="226">
        <v>0</v>
      </c>
      <c r="G1284" s="226">
        <v>0</v>
      </c>
    </row>
    <row r="1285" spans="1:7">
      <c r="A1285" s="226" t="s">
        <v>657</v>
      </c>
      <c r="B1285" s="226" t="s">
        <v>1235</v>
      </c>
      <c r="C1285" s="226" t="s">
        <v>625</v>
      </c>
      <c r="D1285" s="226" t="s">
        <v>1</v>
      </c>
      <c r="E1285" s="226" t="s">
        <v>664</v>
      </c>
      <c r="F1285" s="226">
        <v>0</v>
      </c>
      <c r="G1285" s="226">
        <v>0</v>
      </c>
    </row>
    <row r="1286" spans="1:7">
      <c r="A1286" s="226" t="s">
        <v>657</v>
      </c>
      <c r="B1286" s="226" t="s">
        <v>1235</v>
      </c>
      <c r="C1286" s="226" t="s">
        <v>625</v>
      </c>
      <c r="D1286" s="226" t="s">
        <v>1</v>
      </c>
      <c r="E1286" s="226" t="s">
        <v>665</v>
      </c>
      <c r="F1286" s="226">
        <v>0</v>
      </c>
      <c r="G1286" s="226">
        <v>0</v>
      </c>
    </row>
    <row r="1287" spans="1:7">
      <c r="A1287" s="226" t="s">
        <v>657</v>
      </c>
      <c r="B1287" s="226" t="s">
        <v>1235</v>
      </c>
      <c r="C1287" s="226" t="s">
        <v>625</v>
      </c>
      <c r="D1287" s="226" t="s">
        <v>1</v>
      </c>
      <c r="E1287" s="226" t="s">
        <v>666</v>
      </c>
      <c r="F1287" s="226">
        <v>0</v>
      </c>
      <c r="G1287" s="226">
        <v>0</v>
      </c>
    </row>
    <row r="1288" spans="1:7">
      <c r="A1288" s="226" t="s">
        <v>657</v>
      </c>
      <c r="B1288" s="226" t="s">
        <v>1235</v>
      </c>
      <c r="C1288" s="226" t="s">
        <v>625</v>
      </c>
      <c r="D1288" s="226" t="s">
        <v>1</v>
      </c>
      <c r="E1288" s="226" t="s">
        <v>667</v>
      </c>
      <c r="F1288" s="226">
        <v>0</v>
      </c>
      <c r="G1288" s="226">
        <v>0</v>
      </c>
    </row>
    <row r="1289" spans="1:7">
      <c r="A1289" s="226" t="s">
        <v>657</v>
      </c>
      <c r="B1289" s="226" t="s">
        <v>1235</v>
      </c>
      <c r="C1289" s="226" t="s">
        <v>625</v>
      </c>
      <c r="D1289" s="226" t="s">
        <v>6</v>
      </c>
      <c r="E1289" s="226" t="s">
        <v>618</v>
      </c>
      <c r="F1289" s="226">
        <v>0</v>
      </c>
      <c r="G1289" s="226">
        <v>0</v>
      </c>
    </row>
    <row r="1290" spans="1:7">
      <c r="A1290" s="226" t="s">
        <v>657</v>
      </c>
      <c r="B1290" s="226" t="s">
        <v>1235</v>
      </c>
      <c r="C1290" s="226" t="s">
        <v>625</v>
      </c>
      <c r="D1290" s="226" t="s">
        <v>6</v>
      </c>
      <c r="E1290" s="226" t="s">
        <v>619</v>
      </c>
      <c r="F1290" s="226">
        <v>0</v>
      </c>
      <c r="G1290" s="226">
        <v>0</v>
      </c>
    </row>
    <row r="1291" spans="1:7">
      <c r="A1291" s="226" t="s">
        <v>657</v>
      </c>
      <c r="B1291" s="226" t="s">
        <v>1235</v>
      </c>
      <c r="C1291" s="226" t="s">
        <v>625</v>
      </c>
      <c r="D1291" s="226" t="s">
        <v>6</v>
      </c>
      <c r="E1291" s="226" t="s">
        <v>620</v>
      </c>
      <c r="F1291" s="226">
        <v>0.7</v>
      </c>
      <c r="G1291" s="226">
        <v>0.7</v>
      </c>
    </row>
    <row r="1292" spans="1:7">
      <c r="A1292" s="226" t="s">
        <v>657</v>
      </c>
      <c r="B1292" s="226" t="s">
        <v>1235</v>
      </c>
      <c r="C1292" s="226" t="s">
        <v>625</v>
      </c>
      <c r="D1292" s="226" t="s">
        <v>6</v>
      </c>
      <c r="E1292" s="226" t="s">
        <v>660</v>
      </c>
      <c r="F1292" s="226">
        <v>0</v>
      </c>
      <c r="G1292" s="226">
        <v>0</v>
      </c>
    </row>
    <row r="1293" spans="1:7">
      <c r="A1293" s="226" t="s">
        <v>657</v>
      </c>
      <c r="B1293" s="226" t="s">
        <v>1235</v>
      </c>
      <c r="C1293" s="226" t="s">
        <v>625</v>
      </c>
      <c r="D1293" s="226" t="s">
        <v>6</v>
      </c>
      <c r="E1293" s="226" t="s">
        <v>661</v>
      </c>
      <c r="F1293" s="226">
        <v>0.7</v>
      </c>
      <c r="G1293" s="226">
        <v>0.7</v>
      </c>
    </row>
    <row r="1294" spans="1:7">
      <c r="A1294" s="226" t="s">
        <v>657</v>
      </c>
      <c r="B1294" s="226" t="s">
        <v>1235</v>
      </c>
      <c r="C1294" s="226" t="s">
        <v>625</v>
      </c>
      <c r="D1294" s="226" t="s">
        <v>6</v>
      </c>
      <c r="E1294" s="226" t="s">
        <v>662</v>
      </c>
      <c r="F1294" s="226">
        <v>0</v>
      </c>
      <c r="G1294" s="226">
        <v>0</v>
      </c>
    </row>
    <row r="1295" spans="1:7">
      <c r="A1295" s="226" t="s">
        <v>657</v>
      </c>
      <c r="B1295" s="226" t="s">
        <v>1235</v>
      </c>
      <c r="C1295" s="226" t="s">
        <v>625</v>
      </c>
      <c r="D1295" s="226" t="s">
        <v>6</v>
      </c>
      <c r="E1295" s="226" t="s">
        <v>663</v>
      </c>
      <c r="F1295" s="226">
        <v>0</v>
      </c>
      <c r="G1295" s="226">
        <v>0</v>
      </c>
    </row>
    <row r="1296" spans="1:7">
      <c r="A1296" s="226" t="s">
        <v>657</v>
      </c>
      <c r="B1296" s="226" t="s">
        <v>1235</v>
      </c>
      <c r="C1296" s="226" t="s">
        <v>625</v>
      </c>
      <c r="D1296" s="226" t="s">
        <v>6</v>
      </c>
      <c r="E1296" s="226" t="s">
        <v>664</v>
      </c>
      <c r="F1296" s="226">
        <v>0</v>
      </c>
      <c r="G1296" s="226">
        <v>0</v>
      </c>
    </row>
    <row r="1297" spans="1:7">
      <c r="A1297" s="226" t="s">
        <v>657</v>
      </c>
      <c r="B1297" s="226" t="s">
        <v>1235</v>
      </c>
      <c r="C1297" s="226" t="s">
        <v>625</v>
      </c>
      <c r="D1297" s="226" t="s">
        <v>6</v>
      </c>
      <c r="E1297" s="226" t="s">
        <v>665</v>
      </c>
      <c r="F1297" s="226">
        <v>0</v>
      </c>
      <c r="G1297" s="226">
        <v>0</v>
      </c>
    </row>
    <row r="1298" spans="1:7">
      <c r="A1298" s="226" t="s">
        <v>657</v>
      </c>
      <c r="B1298" s="226" t="s">
        <v>1235</v>
      </c>
      <c r="C1298" s="226" t="s">
        <v>625</v>
      </c>
      <c r="D1298" s="226" t="s">
        <v>6</v>
      </c>
      <c r="E1298" s="226" t="s">
        <v>666</v>
      </c>
      <c r="F1298" s="226">
        <v>0</v>
      </c>
      <c r="G1298" s="226">
        <v>0</v>
      </c>
    </row>
    <row r="1299" spans="1:7">
      <c r="A1299" s="226" t="s">
        <v>657</v>
      </c>
      <c r="B1299" s="226" t="s">
        <v>1235</v>
      </c>
      <c r="C1299" s="226" t="s">
        <v>625</v>
      </c>
      <c r="D1299" s="226" t="s">
        <v>6</v>
      </c>
      <c r="E1299" s="226" t="s">
        <v>667</v>
      </c>
      <c r="F1299" s="226">
        <v>0</v>
      </c>
      <c r="G1299" s="226">
        <v>0</v>
      </c>
    </row>
    <row r="1300" spans="1:7">
      <c r="A1300" s="226" t="s">
        <v>657</v>
      </c>
      <c r="B1300" s="226" t="s">
        <v>1235</v>
      </c>
      <c r="C1300" s="226" t="s">
        <v>627</v>
      </c>
      <c r="D1300" s="226" t="s">
        <v>13</v>
      </c>
      <c r="E1300" s="226" t="s">
        <v>618</v>
      </c>
      <c r="F1300" s="226">
        <v>0</v>
      </c>
      <c r="G1300" s="226">
        <v>0</v>
      </c>
    </row>
    <row r="1301" spans="1:7">
      <c r="A1301" s="226" t="s">
        <v>657</v>
      </c>
      <c r="B1301" s="226" t="s">
        <v>1235</v>
      </c>
      <c r="C1301" s="226" t="s">
        <v>627</v>
      </c>
      <c r="D1301" s="226" t="s">
        <v>13</v>
      </c>
      <c r="E1301" s="226" t="s">
        <v>619</v>
      </c>
      <c r="F1301" s="226">
        <v>0</v>
      </c>
      <c r="G1301" s="226">
        <v>0</v>
      </c>
    </row>
    <row r="1302" spans="1:7">
      <c r="A1302" s="226" t="s">
        <v>657</v>
      </c>
      <c r="B1302" s="226" t="s">
        <v>1235</v>
      </c>
      <c r="C1302" s="226" t="s">
        <v>627</v>
      </c>
      <c r="D1302" s="226" t="s">
        <v>13</v>
      </c>
      <c r="E1302" s="226" t="s">
        <v>620</v>
      </c>
      <c r="F1302" s="226">
        <v>0</v>
      </c>
      <c r="G1302" s="226">
        <v>0</v>
      </c>
    </row>
    <row r="1303" spans="1:7">
      <c r="A1303" s="226" t="s">
        <v>657</v>
      </c>
      <c r="B1303" s="226" t="s">
        <v>1235</v>
      </c>
      <c r="C1303" s="226" t="s">
        <v>627</v>
      </c>
      <c r="D1303" s="226" t="s">
        <v>13</v>
      </c>
      <c r="E1303" s="226" t="s">
        <v>660</v>
      </c>
      <c r="F1303" s="226">
        <v>0</v>
      </c>
      <c r="G1303" s="226">
        <v>0</v>
      </c>
    </row>
    <row r="1304" spans="1:7">
      <c r="A1304" s="226" t="s">
        <v>657</v>
      </c>
      <c r="B1304" s="226" t="s">
        <v>1235</v>
      </c>
      <c r="C1304" s="226" t="s">
        <v>627</v>
      </c>
      <c r="D1304" s="226" t="s">
        <v>13</v>
      </c>
      <c r="E1304" s="226" t="s">
        <v>661</v>
      </c>
      <c r="F1304" s="226">
        <v>0</v>
      </c>
      <c r="G1304" s="226">
        <v>0</v>
      </c>
    </row>
    <row r="1305" spans="1:7">
      <c r="A1305" s="226" t="s">
        <v>657</v>
      </c>
      <c r="B1305" s="226" t="s">
        <v>1235</v>
      </c>
      <c r="C1305" s="226" t="s">
        <v>627</v>
      </c>
      <c r="D1305" s="226" t="s">
        <v>13</v>
      </c>
      <c r="E1305" s="226" t="s">
        <v>662</v>
      </c>
      <c r="F1305" s="226">
        <v>0</v>
      </c>
      <c r="G1305" s="226">
        <v>0</v>
      </c>
    </row>
    <row r="1306" spans="1:7">
      <c r="A1306" s="226" t="s">
        <v>657</v>
      </c>
      <c r="B1306" s="226" t="s">
        <v>1235</v>
      </c>
      <c r="C1306" s="226" t="s">
        <v>627</v>
      </c>
      <c r="D1306" s="226" t="s">
        <v>13</v>
      </c>
      <c r="E1306" s="226" t="s">
        <v>663</v>
      </c>
      <c r="F1306" s="226">
        <v>1</v>
      </c>
      <c r="G1306" s="226">
        <v>1</v>
      </c>
    </row>
    <row r="1307" spans="1:7">
      <c r="A1307" s="226" t="s">
        <v>657</v>
      </c>
      <c r="B1307" s="226" t="s">
        <v>1235</v>
      </c>
      <c r="C1307" s="226" t="s">
        <v>627</v>
      </c>
      <c r="D1307" s="226" t="s">
        <v>13</v>
      </c>
      <c r="E1307" s="226" t="s">
        <v>664</v>
      </c>
      <c r="F1307" s="226">
        <v>1</v>
      </c>
      <c r="G1307" s="226">
        <v>1</v>
      </c>
    </row>
    <row r="1308" spans="1:7">
      <c r="A1308" s="226" t="s">
        <v>657</v>
      </c>
      <c r="B1308" s="226" t="s">
        <v>1235</v>
      </c>
      <c r="C1308" s="226" t="s">
        <v>627</v>
      </c>
      <c r="D1308" s="226" t="s">
        <v>13</v>
      </c>
      <c r="E1308" s="226" t="s">
        <v>665</v>
      </c>
      <c r="F1308" s="226">
        <v>0</v>
      </c>
      <c r="G1308" s="226">
        <v>0</v>
      </c>
    </row>
    <row r="1309" spans="1:7">
      <c r="A1309" s="226" t="s">
        <v>657</v>
      </c>
      <c r="B1309" s="226" t="s">
        <v>1235</v>
      </c>
      <c r="C1309" s="226" t="s">
        <v>627</v>
      </c>
      <c r="D1309" s="226" t="s">
        <v>13</v>
      </c>
      <c r="E1309" s="226" t="s">
        <v>666</v>
      </c>
      <c r="F1309" s="226">
        <v>0</v>
      </c>
      <c r="G1309" s="226">
        <v>0</v>
      </c>
    </row>
    <row r="1310" spans="1:7">
      <c r="A1310" s="226" t="s">
        <v>657</v>
      </c>
      <c r="B1310" s="226" t="s">
        <v>1235</v>
      </c>
      <c r="C1310" s="226" t="s">
        <v>627</v>
      </c>
      <c r="D1310" s="226" t="s">
        <v>13</v>
      </c>
      <c r="E1310" s="226" t="s">
        <v>667</v>
      </c>
      <c r="F1310" s="226">
        <v>0</v>
      </c>
      <c r="G1310" s="226">
        <v>0</v>
      </c>
    </row>
    <row r="1311" spans="1:7">
      <c r="A1311" s="226" t="s">
        <v>657</v>
      </c>
      <c r="B1311" s="226" t="s">
        <v>1235</v>
      </c>
      <c r="C1311" s="226" t="s">
        <v>627</v>
      </c>
      <c r="D1311" s="226" t="s">
        <v>15</v>
      </c>
      <c r="E1311" s="226" t="s">
        <v>618</v>
      </c>
      <c r="F1311" s="226">
        <v>0</v>
      </c>
      <c r="G1311" s="226">
        <v>0</v>
      </c>
    </row>
    <row r="1312" spans="1:7">
      <c r="A1312" s="226" t="s">
        <v>657</v>
      </c>
      <c r="B1312" s="226" t="s">
        <v>1235</v>
      </c>
      <c r="C1312" s="226" t="s">
        <v>627</v>
      </c>
      <c r="D1312" s="226" t="s">
        <v>15</v>
      </c>
      <c r="E1312" s="226" t="s">
        <v>619</v>
      </c>
      <c r="F1312" s="226">
        <v>0</v>
      </c>
      <c r="G1312" s="226">
        <v>0</v>
      </c>
    </row>
    <row r="1313" spans="1:7">
      <c r="A1313" s="226" t="s">
        <v>657</v>
      </c>
      <c r="B1313" s="226" t="s">
        <v>1235</v>
      </c>
      <c r="C1313" s="226" t="s">
        <v>627</v>
      </c>
      <c r="D1313" s="226" t="s">
        <v>15</v>
      </c>
      <c r="E1313" s="226" t="s">
        <v>620</v>
      </c>
      <c r="F1313" s="226">
        <v>0</v>
      </c>
      <c r="G1313" s="226">
        <v>0</v>
      </c>
    </row>
    <row r="1314" spans="1:7">
      <c r="A1314" s="226" t="s">
        <v>657</v>
      </c>
      <c r="B1314" s="226" t="s">
        <v>1235</v>
      </c>
      <c r="C1314" s="226" t="s">
        <v>627</v>
      </c>
      <c r="D1314" s="226" t="s">
        <v>15</v>
      </c>
      <c r="E1314" s="226" t="s">
        <v>660</v>
      </c>
      <c r="F1314" s="226">
        <v>0</v>
      </c>
      <c r="G1314" s="226">
        <v>0</v>
      </c>
    </row>
    <row r="1315" spans="1:7">
      <c r="A1315" s="226" t="s">
        <v>657</v>
      </c>
      <c r="B1315" s="226" t="s">
        <v>1235</v>
      </c>
      <c r="C1315" s="226" t="s">
        <v>627</v>
      </c>
      <c r="D1315" s="226" t="s">
        <v>15</v>
      </c>
      <c r="E1315" s="226" t="s">
        <v>661</v>
      </c>
      <c r="F1315" s="226">
        <v>0</v>
      </c>
      <c r="G1315" s="226">
        <v>0</v>
      </c>
    </row>
    <row r="1316" spans="1:7">
      <c r="A1316" s="226" t="s">
        <v>657</v>
      </c>
      <c r="B1316" s="226" t="s">
        <v>1235</v>
      </c>
      <c r="C1316" s="226" t="s">
        <v>627</v>
      </c>
      <c r="D1316" s="226" t="s">
        <v>15</v>
      </c>
      <c r="E1316" s="226" t="s">
        <v>662</v>
      </c>
      <c r="F1316" s="226">
        <v>0</v>
      </c>
      <c r="G1316" s="226">
        <v>0</v>
      </c>
    </row>
    <row r="1317" spans="1:7">
      <c r="A1317" s="226" t="s">
        <v>657</v>
      </c>
      <c r="B1317" s="226" t="s">
        <v>1235</v>
      </c>
      <c r="C1317" s="226" t="s">
        <v>627</v>
      </c>
      <c r="D1317" s="226" t="s">
        <v>15</v>
      </c>
      <c r="E1317" s="226" t="s">
        <v>663</v>
      </c>
      <c r="F1317" s="226">
        <v>0</v>
      </c>
      <c r="G1317" s="226">
        <v>0</v>
      </c>
    </row>
    <row r="1318" spans="1:7">
      <c r="A1318" s="226" t="s">
        <v>657</v>
      </c>
      <c r="B1318" s="226" t="s">
        <v>1235</v>
      </c>
      <c r="C1318" s="226" t="s">
        <v>627</v>
      </c>
      <c r="D1318" s="226" t="s">
        <v>15</v>
      </c>
      <c r="E1318" s="226" t="s">
        <v>664</v>
      </c>
      <c r="F1318" s="226">
        <v>0</v>
      </c>
      <c r="G1318" s="226">
        <v>0</v>
      </c>
    </row>
    <row r="1319" spans="1:7">
      <c r="A1319" s="226" t="s">
        <v>657</v>
      </c>
      <c r="B1319" s="226" t="s">
        <v>1235</v>
      </c>
      <c r="C1319" s="226" t="s">
        <v>627</v>
      </c>
      <c r="D1319" s="226" t="s">
        <v>15</v>
      </c>
      <c r="E1319" s="226" t="s">
        <v>665</v>
      </c>
      <c r="F1319" s="226">
        <v>0</v>
      </c>
      <c r="G1319" s="226">
        <v>0</v>
      </c>
    </row>
    <row r="1320" spans="1:7">
      <c r="A1320" s="226" t="s">
        <v>657</v>
      </c>
      <c r="B1320" s="226" t="s">
        <v>1235</v>
      </c>
      <c r="C1320" s="226" t="s">
        <v>627</v>
      </c>
      <c r="D1320" s="226" t="s">
        <v>15</v>
      </c>
      <c r="E1320" s="226" t="s">
        <v>666</v>
      </c>
      <c r="F1320" s="226">
        <v>0</v>
      </c>
      <c r="G1320" s="226">
        <v>0</v>
      </c>
    </row>
    <row r="1321" spans="1:7">
      <c r="A1321" s="226" t="s">
        <v>657</v>
      </c>
      <c r="B1321" s="226" t="s">
        <v>1235</v>
      </c>
      <c r="C1321" s="226" t="s">
        <v>627</v>
      </c>
      <c r="D1321" s="226" t="s">
        <v>15</v>
      </c>
      <c r="E1321" s="226" t="s">
        <v>667</v>
      </c>
      <c r="F1321" s="226">
        <v>0</v>
      </c>
      <c r="G1321" s="226">
        <v>0</v>
      </c>
    </row>
    <row r="1322" spans="1:7">
      <c r="A1322" s="226" t="s">
        <v>657</v>
      </c>
      <c r="B1322" s="226" t="s">
        <v>1235</v>
      </c>
      <c r="C1322" s="226" t="s">
        <v>625</v>
      </c>
      <c r="D1322" s="226" t="s">
        <v>0</v>
      </c>
      <c r="E1322" s="226" t="s">
        <v>618</v>
      </c>
      <c r="F1322" s="226">
        <v>0</v>
      </c>
      <c r="G1322" s="226">
        <v>0</v>
      </c>
    </row>
    <row r="1323" spans="1:7">
      <c r="A1323" s="226" t="s">
        <v>657</v>
      </c>
      <c r="B1323" s="226" t="s">
        <v>1235</v>
      </c>
      <c r="C1323" s="226" t="s">
        <v>625</v>
      </c>
      <c r="D1323" s="226" t="s">
        <v>0</v>
      </c>
      <c r="E1323" s="226" t="s">
        <v>619</v>
      </c>
      <c r="F1323" s="226">
        <v>0</v>
      </c>
      <c r="G1323" s="226">
        <v>0</v>
      </c>
    </row>
    <row r="1324" spans="1:7">
      <c r="A1324" s="226" t="s">
        <v>657</v>
      </c>
      <c r="B1324" s="226" t="s">
        <v>1235</v>
      </c>
      <c r="C1324" s="226" t="s">
        <v>625</v>
      </c>
      <c r="D1324" s="226" t="s">
        <v>0</v>
      </c>
      <c r="E1324" s="226" t="s">
        <v>620</v>
      </c>
      <c r="F1324" s="226">
        <v>0</v>
      </c>
      <c r="G1324" s="226">
        <v>0</v>
      </c>
    </row>
    <row r="1325" spans="1:7">
      <c r="A1325" s="226" t="s">
        <v>657</v>
      </c>
      <c r="B1325" s="226" t="s">
        <v>1235</v>
      </c>
      <c r="C1325" s="226" t="s">
        <v>625</v>
      </c>
      <c r="D1325" s="226" t="s">
        <v>0</v>
      </c>
      <c r="E1325" s="226" t="s">
        <v>660</v>
      </c>
      <c r="F1325" s="226">
        <v>0</v>
      </c>
      <c r="G1325" s="226">
        <v>0</v>
      </c>
    </row>
    <row r="1326" spans="1:7">
      <c r="A1326" s="226" t="s">
        <v>657</v>
      </c>
      <c r="B1326" s="226" t="s">
        <v>1235</v>
      </c>
      <c r="C1326" s="226" t="s">
        <v>625</v>
      </c>
      <c r="D1326" s="226" t="s">
        <v>0</v>
      </c>
      <c r="E1326" s="226" t="s">
        <v>661</v>
      </c>
      <c r="F1326" s="226">
        <v>0</v>
      </c>
      <c r="G1326" s="226">
        <v>0</v>
      </c>
    </row>
    <row r="1327" spans="1:7">
      <c r="A1327" s="226" t="s">
        <v>657</v>
      </c>
      <c r="B1327" s="226" t="s">
        <v>1235</v>
      </c>
      <c r="C1327" s="226" t="s">
        <v>625</v>
      </c>
      <c r="D1327" s="226" t="s">
        <v>0</v>
      </c>
      <c r="E1327" s="226" t="s">
        <v>662</v>
      </c>
      <c r="F1327" s="226">
        <v>0</v>
      </c>
      <c r="G1327" s="226">
        <v>0</v>
      </c>
    </row>
    <row r="1328" spans="1:7">
      <c r="A1328" s="226" t="s">
        <v>657</v>
      </c>
      <c r="B1328" s="226" t="s">
        <v>1235</v>
      </c>
      <c r="C1328" s="226" t="s">
        <v>625</v>
      </c>
      <c r="D1328" s="226" t="s">
        <v>0</v>
      </c>
      <c r="E1328" s="226" t="s">
        <v>663</v>
      </c>
      <c r="F1328" s="226">
        <v>0</v>
      </c>
      <c r="G1328" s="226">
        <v>0</v>
      </c>
    </row>
    <row r="1329" spans="1:7">
      <c r="A1329" s="226" t="s">
        <v>657</v>
      </c>
      <c r="B1329" s="226" t="s">
        <v>1235</v>
      </c>
      <c r="C1329" s="226" t="s">
        <v>625</v>
      </c>
      <c r="D1329" s="226" t="s">
        <v>0</v>
      </c>
      <c r="E1329" s="226" t="s">
        <v>664</v>
      </c>
      <c r="F1329" s="226">
        <v>0</v>
      </c>
      <c r="G1329" s="226">
        <v>0</v>
      </c>
    </row>
    <row r="1330" spans="1:7">
      <c r="A1330" s="226" t="s">
        <v>657</v>
      </c>
      <c r="B1330" s="226" t="s">
        <v>1235</v>
      </c>
      <c r="C1330" s="226" t="s">
        <v>625</v>
      </c>
      <c r="D1330" s="226" t="s">
        <v>0</v>
      </c>
      <c r="E1330" s="226" t="s">
        <v>665</v>
      </c>
      <c r="F1330" s="226">
        <v>0</v>
      </c>
      <c r="G1330" s="226">
        <v>0</v>
      </c>
    </row>
    <row r="1331" spans="1:7">
      <c r="A1331" s="226" t="s">
        <v>657</v>
      </c>
      <c r="B1331" s="226" t="s">
        <v>1235</v>
      </c>
      <c r="C1331" s="226" t="s">
        <v>625</v>
      </c>
      <c r="D1331" s="226" t="s">
        <v>0</v>
      </c>
      <c r="E1331" s="226" t="s">
        <v>666</v>
      </c>
      <c r="F1331" s="226">
        <v>0</v>
      </c>
      <c r="G1331" s="226">
        <v>0</v>
      </c>
    </row>
    <row r="1332" spans="1:7">
      <c r="A1332" s="226" t="s">
        <v>657</v>
      </c>
      <c r="B1332" s="226" t="s">
        <v>1235</v>
      </c>
      <c r="C1332" s="226" t="s">
        <v>625</v>
      </c>
      <c r="D1332" s="226" t="s">
        <v>0</v>
      </c>
      <c r="E1332" s="226" t="s">
        <v>667</v>
      </c>
      <c r="F1332" s="226">
        <v>0</v>
      </c>
      <c r="G1332" s="226">
        <v>0</v>
      </c>
    </row>
    <row r="1333" spans="1:7">
      <c r="A1333" s="226" t="s">
        <v>657</v>
      </c>
      <c r="B1333" s="226" t="s">
        <v>1235</v>
      </c>
      <c r="C1333" s="226" t="s">
        <v>625</v>
      </c>
      <c r="D1333" s="226" t="s">
        <v>4</v>
      </c>
      <c r="E1333" s="226" t="s">
        <v>618</v>
      </c>
      <c r="F1333" s="226">
        <v>0</v>
      </c>
      <c r="G1333" s="226">
        <v>0</v>
      </c>
    </row>
    <row r="1334" spans="1:7">
      <c r="A1334" s="226" t="s">
        <v>657</v>
      </c>
      <c r="B1334" s="226" t="s">
        <v>1235</v>
      </c>
      <c r="C1334" s="226" t="s">
        <v>625</v>
      </c>
      <c r="D1334" s="226" t="s">
        <v>4</v>
      </c>
      <c r="E1334" s="226" t="s">
        <v>619</v>
      </c>
      <c r="F1334" s="226">
        <v>0</v>
      </c>
      <c r="G1334" s="226">
        <v>0</v>
      </c>
    </row>
    <row r="1335" spans="1:7">
      <c r="A1335" s="226" t="s">
        <v>657</v>
      </c>
      <c r="B1335" s="226" t="s">
        <v>1235</v>
      </c>
      <c r="C1335" s="226" t="s">
        <v>625</v>
      </c>
      <c r="D1335" s="226" t="s">
        <v>4</v>
      </c>
      <c r="E1335" s="226" t="s">
        <v>620</v>
      </c>
      <c r="F1335" s="226">
        <v>0</v>
      </c>
      <c r="G1335" s="226">
        <v>0</v>
      </c>
    </row>
    <row r="1336" spans="1:7">
      <c r="A1336" s="226" t="s">
        <v>657</v>
      </c>
      <c r="B1336" s="226" t="s">
        <v>1235</v>
      </c>
      <c r="C1336" s="226" t="s">
        <v>625</v>
      </c>
      <c r="D1336" s="226" t="s">
        <v>4</v>
      </c>
      <c r="E1336" s="226" t="s">
        <v>660</v>
      </c>
      <c r="F1336" s="226">
        <v>0</v>
      </c>
      <c r="G1336" s="226">
        <v>0</v>
      </c>
    </row>
    <row r="1337" spans="1:7">
      <c r="A1337" s="226" t="s">
        <v>657</v>
      </c>
      <c r="B1337" s="226" t="s">
        <v>1235</v>
      </c>
      <c r="C1337" s="226" t="s">
        <v>625</v>
      </c>
      <c r="D1337" s="226" t="s">
        <v>4</v>
      </c>
      <c r="E1337" s="226" t="s">
        <v>661</v>
      </c>
      <c r="F1337" s="226">
        <v>0</v>
      </c>
      <c r="G1337" s="226">
        <v>0</v>
      </c>
    </row>
    <row r="1338" spans="1:7">
      <c r="A1338" s="226" t="s">
        <v>657</v>
      </c>
      <c r="B1338" s="226" t="s">
        <v>1235</v>
      </c>
      <c r="C1338" s="226" t="s">
        <v>625</v>
      </c>
      <c r="D1338" s="226" t="s">
        <v>4</v>
      </c>
      <c r="E1338" s="226" t="s">
        <v>662</v>
      </c>
      <c r="F1338" s="226">
        <v>0</v>
      </c>
      <c r="G1338" s="226">
        <v>0</v>
      </c>
    </row>
    <row r="1339" spans="1:7">
      <c r="A1339" s="226" t="s">
        <v>657</v>
      </c>
      <c r="B1339" s="226" t="s">
        <v>1235</v>
      </c>
      <c r="C1339" s="226" t="s">
        <v>625</v>
      </c>
      <c r="D1339" s="226" t="s">
        <v>4</v>
      </c>
      <c r="E1339" s="226" t="s">
        <v>663</v>
      </c>
      <c r="F1339" s="226">
        <v>0</v>
      </c>
      <c r="G1339" s="226">
        <v>0</v>
      </c>
    </row>
    <row r="1340" spans="1:7">
      <c r="A1340" s="226" t="s">
        <v>657</v>
      </c>
      <c r="B1340" s="226" t="s">
        <v>1235</v>
      </c>
      <c r="C1340" s="226" t="s">
        <v>625</v>
      </c>
      <c r="D1340" s="226" t="s">
        <v>4</v>
      </c>
      <c r="E1340" s="226" t="s">
        <v>664</v>
      </c>
      <c r="F1340" s="226">
        <v>0</v>
      </c>
      <c r="G1340" s="226">
        <v>0</v>
      </c>
    </row>
    <row r="1341" spans="1:7">
      <c r="A1341" s="226" t="s">
        <v>657</v>
      </c>
      <c r="B1341" s="226" t="s">
        <v>1235</v>
      </c>
      <c r="C1341" s="226" t="s">
        <v>625</v>
      </c>
      <c r="D1341" s="226" t="s">
        <v>4</v>
      </c>
      <c r="E1341" s="226" t="s">
        <v>665</v>
      </c>
      <c r="F1341" s="226">
        <v>0</v>
      </c>
      <c r="G1341" s="226">
        <v>0</v>
      </c>
    </row>
    <row r="1342" spans="1:7">
      <c r="A1342" s="226" t="s">
        <v>657</v>
      </c>
      <c r="B1342" s="226" t="s">
        <v>1235</v>
      </c>
      <c r="C1342" s="226" t="s">
        <v>625</v>
      </c>
      <c r="D1342" s="226" t="s">
        <v>4</v>
      </c>
      <c r="E1342" s="226" t="s">
        <v>666</v>
      </c>
      <c r="F1342" s="226">
        <v>0</v>
      </c>
      <c r="G1342" s="226">
        <v>0</v>
      </c>
    </row>
    <row r="1343" spans="1:7">
      <c r="A1343" s="226" t="s">
        <v>657</v>
      </c>
      <c r="B1343" s="226" t="s">
        <v>1235</v>
      </c>
      <c r="C1343" s="226" t="s">
        <v>625</v>
      </c>
      <c r="D1343" s="226" t="s">
        <v>4</v>
      </c>
      <c r="E1343" s="226" t="s">
        <v>667</v>
      </c>
      <c r="F1343" s="226">
        <v>0</v>
      </c>
      <c r="G1343" s="226">
        <v>0</v>
      </c>
    </row>
    <row r="1344" spans="1:7">
      <c r="A1344" s="226" t="s">
        <v>657</v>
      </c>
      <c r="B1344" s="226" t="s">
        <v>1235</v>
      </c>
      <c r="C1344" s="226" t="s">
        <v>963</v>
      </c>
      <c r="D1344" s="226" t="s">
        <v>17</v>
      </c>
      <c r="E1344" s="226" t="s">
        <v>618</v>
      </c>
      <c r="F1344" s="226">
        <v>0</v>
      </c>
      <c r="G1344" s="226">
        <v>0</v>
      </c>
    </row>
    <row r="1345" spans="1:7">
      <c r="A1345" s="226" t="s">
        <v>657</v>
      </c>
      <c r="B1345" s="226" t="s">
        <v>1235</v>
      </c>
      <c r="C1345" s="226" t="s">
        <v>963</v>
      </c>
      <c r="D1345" s="226" t="s">
        <v>17</v>
      </c>
      <c r="E1345" s="226" t="s">
        <v>619</v>
      </c>
      <c r="F1345" s="226">
        <v>0</v>
      </c>
      <c r="G1345" s="226">
        <v>0</v>
      </c>
    </row>
    <row r="1346" spans="1:7">
      <c r="A1346" s="226" t="s">
        <v>657</v>
      </c>
      <c r="B1346" s="226" t="s">
        <v>1235</v>
      </c>
      <c r="C1346" s="226" t="s">
        <v>963</v>
      </c>
      <c r="D1346" s="226" t="s">
        <v>17</v>
      </c>
      <c r="E1346" s="226" t="s">
        <v>620</v>
      </c>
      <c r="F1346" s="226">
        <v>0</v>
      </c>
      <c r="G1346" s="226">
        <v>0</v>
      </c>
    </row>
    <row r="1347" spans="1:7">
      <c r="A1347" s="226" t="s">
        <v>657</v>
      </c>
      <c r="B1347" s="226" t="s">
        <v>1235</v>
      </c>
      <c r="C1347" s="226" t="s">
        <v>963</v>
      </c>
      <c r="D1347" s="226" t="s">
        <v>17</v>
      </c>
      <c r="E1347" s="226" t="s">
        <v>660</v>
      </c>
      <c r="F1347" s="226">
        <v>0</v>
      </c>
      <c r="G1347" s="226">
        <v>0</v>
      </c>
    </row>
    <row r="1348" spans="1:7">
      <c r="A1348" s="226" t="s">
        <v>657</v>
      </c>
      <c r="B1348" s="226" t="s">
        <v>1235</v>
      </c>
      <c r="C1348" s="226" t="s">
        <v>963</v>
      </c>
      <c r="D1348" s="226" t="s">
        <v>17</v>
      </c>
      <c r="E1348" s="226" t="s">
        <v>661</v>
      </c>
      <c r="F1348" s="226">
        <v>0</v>
      </c>
      <c r="G1348" s="226">
        <v>0</v>
      </c>
    </row>
    <row r="1349" spans="1:7">
      <c r="A1349" s="226" t="s">
        <v>657</v>
      </c>
      <c r="B1349" s="226" t="s">
        <v>1235</v>
      </c>
      <c r="C1349" s="226" t="s">
        <v>963</v>
      </c>
      <c r="D1349" s="226" t="s">
        <v>17</v>
      </c>
      <c r="E1349" s="226" t="s">
        <v>662</v>
      </c>
      <c r="F1349" s="226">
        <v>0</v>
      </c>
      <c r="G1349" s="226">
        <v>0</v>
      </c>
    </row>
    <row r="1350" spans="1:7">
      <c r="A1350" s="226" t="s">
        <v>657</v>
      </c>
      <c r="B1350" s="226" t="s">
        <v>1235</v>
      </c>
      <c r="C1350" s="226" t="s">
        <v>963</v>
      </c>
      <c r="D1350" s="226" t="s">
        <v>17</v>
      </c>
      <c r="E1350" s="226" t="s">
        <v>663</v>
      </c>
      <c r="F1350" s="226">
        <v>0</v>
      </c>
      <c r="G1350" s="226">
        <v>0</v>
      </c>
    </row>
    <row r="1351" spans="1:7">
      <c r="A1351" s="226" t="s">
        <v>657</v>
      </c>
      <c r="B1351" s="226" t="s">
        <v>1235</v>
      </c>
      <c r="C1351" s="226" t="s">
        <v>963</v>
      </c>
      <c r="D1351" s="226" t="s">
        <v>17</v>
      </c>
      <c r="E1351" s="226" t="s">
        <v>664</v>
      </c>
      <c r="F1351" s="226">
        <v>0</v>
      </c>
      <c r="G1351" s="226">
        <v>0</v>
      </c>
    </row>
    <row r="1352" spans="1:7">
      <c r="A1352" s="226" t="s">
        <v>657</v>
      </c>
      <c r="B1352" s="226" t="s">
        <v>1235</v>
      </c>
      <c r="C1352" s="226" t="s">
        <v>963</v>
      </c>
      <c r="D1352" s="226" t="s">
        <v>17</v>
      </c>
      <c r="E1352" s="226" t="s">
        <v>665</v>
      </c>
      <c r="F1352" s="226">
        <v>0</v>
      </c>
      <c r="G1352" s="226">
        <v>0</v>
      </c>
    </row>
    <row r="1353" spans="1:7">
      <c r="A1353" s="226" t="s">
        <v>657</v>
      </c>
      <c r="B1353" s="226" t="s">
        <v>1235</v>
      </c>
      <c r="C1353" s="226" t="s">
        <v>963</v>
      </c>
      <c r="D1353" s="226" t="s">
        <v>17</v>
      </c>
      <c r="E1353" s="226" t="s">
        <v>666</v>
      </c>
      <c r="F1353" s="226">
        <v>0</v>
      </c>
      <c r="G1353" s="226">
        <v>0</v>
      </c>
    </row>
    <row r="1354" spans="1:7">
      <c r="A1354" s="226" t="s">
        <v>657</v>
      </c>
      <c r="B1354" s="226" t="s">
        <v>1235</v>
      </c>
      <c r="C1354" s="226" t="s">
        <v>963</v>
      </c>
      <c r="D1354" s="226" t="s">
        <v>17</v>
      </c>
      <c r="E1354" s="226" t="s">
        <v>667</v>
      </c>
      <c r="F1354" s="226">
        <v>0</v>
      </c>
      <c r="G1354" s="226">
        <v>0</v>
      </c>
    </row>
    <row r="1355" spans="1:7">
      <c r="A1355" s="226" t="s">
        <v>657</v>
      </c>
      <c r="B1355" s="226" t="s">
        <v>1235</v>
      </c>
      <c r="C1355" s="226" t="s">
        <v>626</v>
      </c>
      <c r="D1355" s="226" t="s">
        <v>92</v>
      </c>
      <c r="E1355" s="226" t="s">
        <v>618</v>
      </c>
      <c r="F1355" s="226">
        <v>0</v>
      </c>
      <c r="G1355" s="226">
        <v>0</v>
      </c>
    </row>
    <row r="1356" spans="1:7">
      <c r="A1356" s="226" t="s">
        <v>657</v>
      </c>
      <c r="B1356" s="226" t="s">
        <v>1235</v>
      </c>
      <c r="C1356" s="226" t="s">
        <v>626</v>
      </c>
      <c r="D1356" s="226" t="s">
        <v>92</v>
      </c>
      <c r="E1356" s="226" t="s">
        <v>619</v>
      </c>
      <c r="F1356" s="226">
        <v>0</v>
      </c>
      <c r="G1356" s="226">
        <v>0</v>
      </c>
    </row>
    <row r="1357" spans="1:7">
      <c r="A1357" s="226" t="s">
        <v>657</v>
      </c>
      <c r="B1357" s="226" t="s">
        <v>1235</v>
      </c>
      <c r="C1357" s="226" t="s">
        <v>626</v>
      </c>
      <c r="D1357" s="226" t="s">
        <v>92</v>
      </c>
      <c r="E1357" s="226" t="s">
        <v>620</v>
      </c>
      <c r="F1357" s="226">
        <v>0</v>
      </c>
      <c r="G1357" s="226">
        <v>0</v>
      </c>
    </row>
    <row r="1358" spans="1:7">
      <c r="A1358" s="226" t="s">
        <v>657</v>
      </c>
      <c r="B1358" s="226" t="s">
        <v>1235</v>
      </c>
      <c r="C1358" s="226" t="s">
        <v>626</v>
      </c>
      <c r="D1358" s="226" t="s">
        <v>92</v>
      </c>
      <c r="E1358" s="226" t="s">
        <v>660</v>
      </c>
      <c r="F1358" s="226">
        <v>0</v>
      </c>
      <c r="G1358" s="226">
        <v>0</v>
      </c>
    </row>
    <row r="1359" spans="1:7">
      <c r="A1359" s="226" t="s">
        <v>657</v>
      </c>
      <c r="B1359" s="226" t="s">
        <v>1235</v>
      </c>
      <c r="C1359" s="226" t="s">
        <v>626</v>
      </c>
      <c r="D1359" s="226" t="s">
        <v>92</v>
      </c>
      <c r="E1359" s="226" t="s">
        <v>661</v>
      </c>
      <c r="F1359" s="226">
        <v>0</v>
      </c>
      <c r="G1359" s="226">
        <v>0</v>
      </c>
    </row>
    <row r="1360" spans="1:7">
      <c r="A1360" s="226" t="s">
        <v>657</v>
      </c>
      <c r="B1360" s="226" t="s">
        <v>1235</v>
      </c>
      <c r="C1360" s="226" t="s">
        <v>626</v>
      </c>
      <c r="D1360" s="226" t="s">
        <v>92</v>
      </c>
      <c r="E1360" s="226" t="s">
        <v>662</v>
      </c>
      <c r="F1360" s="226">
        <v>0</v>
      </c>
      <c r="G1360" s="226">
        <v>0</v>
      </c>
    </row>
    <row r="1361" spans="1:7">
      <c r="A1361" s="226" t="s">
        <v>657</v>
      </c>
      <c r="B1361" s="226" t="s">
        <v>1235</v>
      </c>
      <c r="C1361" s="226" t="s">
        <v>626</v>
      </c>
      <c r="D1361" s="226" t="s">
        <v>92</v>
      </c>
      <c r="E1361" s="226" t="s">
        <v>663</v>
      </c>
      <c r="F1361" s="226">
        <v>0</v>
      </c>
      <c r="G1361" s="226">
        <v>0</v>
      </c>
    </row>
    <row r="1362" spans="1:7">
      <c r="A1362" s="226" t="s">
        <v>657</v>
      </c>
      <c r="B1362" s="226" t="s">
        <v>1235</v>
      </c>
      <c r="C1362" s="226" t="s">
        <v>626</v>
      </c>
      <c r="D1362" s="226" t="s">
        <v>92</v>
      </c>
      <c r="E1362" s="226" t="s">
        <v>664</v>
      </c>
      <c r="F1362" s="226">
        <v>0</v>
      </c>
      <c r="G1362" s="226">
        <v>0</v>
      </c>
    </row>
    <row r="1363" spans="1:7">
      <c r="A1363" s="226" t="s">
        <v>657</v>
      </c>
      <c r="B1363" s="226" t="s">
        <v>1235</v>
      </c>
      <c r="C1363" s="226" t="s">
        <v>626</v>
      </c>
      <c r="D1363" s="226" t="s">
        <v>92</v>
      </c>
      <c r="E1363" s="226" t="s">
        <v>665</v>
      </c>
      <c r="F1363" s="226">
        <v>0</v>
      </c>
      <c r="G1363" s="226">
        <v>0</v>
      </c>
    </row>
    <row r="1364" spans="1:7">
      <c r="A1364" s="226" t="s">
        <v>657</v>
      </c>
      <c r="B1364" s="226" t="s">
        <v>1235</v>
      </c>
      <c r="C1364" s="226" t="s">
        <v>626</v>
      </c>
      <c r="D1364" s="226" t="s">
        <v>92</v>
      </c>
      <c r="E1364" s="226" t="s">
        <v>666</v>
      </c>
      <c r="F1364" s="226">
        <v>0</v>
      </c>
      <c r="G1364" s="226">
        <v>0</v>
      </c>
    </row>
    <row r="1365" spans="1:7">
      <c r="A1365" s="226" t="s">
        <v>657</v>
      </c>
      <c r="B1365" s="226" t="s">
        <v>1235</v>
      </c>
      <c r="C1365" s="226" t="s">
        <v>626</v>
      </c>
      <c r="D1365" s="226" t="s">
        <v>92</v>
      </c>
      <c r="E1365" s="226" t="s">
        <v>667</v>
      </c>
      <c r="F1365" s="226">
        <v>0</v>
      </c>
      <c r="G1365" s="226">
        <v>0</v>
      </c>
    </row>
    <row r="1366" spans="1:7">
      <c r="A1366" s="226" t="s">
        <v>657</v>
      </c>
      <c r="B1366" s="226" t="s">
        <v>1235</v>
      </c>
      <c r="C1366" s="226" t="s">
        <v>625</v>
      </c>
      <c r="D1366" s="226" t="s">
        <v>93</v>
      </c>
      <c r="E1366" s="226" t="s">
        <v>618</v>
      </c>
      <c r="F1366" s="226">
        <v>0</v>
      </c>
      <c r="G1366" s="226">
        <v>0</v>
      </c>
    </row>
    <row r="1367" spans="1:7">
      <c r="A1367" s="226" t="s">
        <v>657</v>
      </c>
      <c r="B1367" s="226" t="s">
        <v>1235</v>
      </c>
      <c r="C1367" s="226" t="s">
        <v>625</v>
      </c>
      <c r="D1367" s="226" t="s">
        <v>93</v>
      </c>
      <c r="E1367" s="226" t="s">
        <v>619</v>
      </c>
      <c r="F1367" s="226">
        <v>0</v>
      </c>
      <c r="G1367" s="226">
        <v>0</v>
      </c>
    </row>
    <row r="1368" spans="1:7">
      <c r="A1368" s="226" t="s">
        <v>657</v>
      </c>
      <c r="B1368" s="226" t="s">
        <v>1235</v>
      </c>
      <c r="C1368" s="226" t="s">
        <v>625</v>
      </c>
      <c r="D1368" s="226" t="s">
        <v>93</v>
      </c>
      <c r="E1368" s="226" t="s">
        <v>620</v>
      </c>
      <c r="F1368" s="226">
        <v>0</v>
      </c>
      <c r="G1368" s="226">
        <v>0</v>
      </c>
    </row>
    <row r="1369" spans="1:7">
      <c r="A1369" s="226" t="s">
        <v>657</v>
      </c>
      <c r="B1369" s="226" t="s">
        <v>1235</v>
      </c>
      <c r="C1369" s="226" t="s">
        <v>625</v>
      </c>
      <c r="D1369" s="226" t="s">
        <v>93</v>
      </c>
      <c r="E1369" s="226" t="s">
        <v>660</v>
      </c>
      <c r="F1369" s="226">
        <v>0</v>
      </c>
      <c r="G1369" s="226">
        <v>0</v>
      </c>
    </row>
    <row r="1370" spans="1:7">
      <c r="A1370" s="226" t="s">
        <v>657</v>
      </c>
      <c r="B1370" s="226" t="s">
        <v>1235</v>
      </c>
      <c r="C1370" s="226" t="s">
        <v>625</v>
      </c>
      <c r="D1370" s="226" t="s">
        <v>93</v>
      </c>
      <c r="E1370" s="226" t="s">
        <v>661</v>
      </c>
      <c r="F1370" s="226">
        <v>0</v>
      </c>
      <c r="G1370" s="226">
        <v>0</v>
      </c>
    </row>
    <row r="1371" spans="1:7">
      <c r="A1371" s="226" t="s">
        <v>657</v>
      </c>
      <c r="B1371" s="226" t="s">
        <v>1235</v>
      </c>
      <c r="C1371" s="226" t="s">
        <v>625</v>
      </c>
      <c r="D1371" s="226" t="s">
        <v>93</v>
      </c>
      <c r="E1371" s="226" t="s">
        <v>662</v>
      </c>
      <c r="F1371" s="226">
        <v>0</v>
      </c>
      <c r="G1371" s="226">
        <v>0</v>
      </c>
    </row>
    <row r="1372" spans="1:7">
      <c r="A1372" s="226" t="s">
        <v>657</v>
      </c>
      <c r="B1372" s="226" t="s">
        <v>1235</v>
      </c>
      <c r="C1372" s="226" t="s">
        <v>625</v>
      </c>
      <c r="D1372" s="226" t="s">
        <v>93</v>
      </c>
      <c r="E1372" s="226" t="s">
        <v>663</v>
      </c>
      <c r="F1372" s="226">
        <v>0</v>
      </c>
      <c r="G1372" s="226">
        <v>0</v>
      </c>
    </row>
    <row r="1373" spans="1:7">
      <c r="A1373" s="226" t="s">
        <v>657</v>
      </c>
      <c r="B1373" s="226" t="s">
        <v>1235</v>
      </c>
      <c r="C1373" s="226" t="s">
        <v>625</v>
      </c>
      <c r="D1373" s="226" t="s">
        <v>93</v>
      </c>
      <c r="E1373" s="226" t="s">
        <v>664</v>
      </c>
      <c r="F1373" s="226">
        <v>0</v>
      </c>
      <c r="G1373" s="226">
        <v>0</v>
      </c>
    </row>
    <row r="1374" spans="1:7">
      <c r="A1374" s="226" t="s">
        <v>657</v>
      </c>
      <c r="B1374" s="226" t="s">
        <v>1235</v>
      </c>
      <c r="C1374" s="226" t="s">
        <v>625</v>
      </c>
      <c r="D1374" s="226" t="s">
        <v>93</v>
      </c>
      <c r="E1374" s="226" t="s">
        <v>665</v>
      </c>
      <c r="F1374" s="226">
        <v>0</v>
      </c>
      <c r="G1374" s="226">
        <v>0</v>
      </c>
    </row>
    <row r="1375" spans="1:7">
      <c r="A1375" s="226" t="s">
        <v>657</v>
      </c>
      <c r="B1375" s="226" t="s">
        <v>1235</v>
      </c>
      <c r="C1375" s="226" t="s">
        <v>625</v>
      </c>
      <c r="D1375" s="226" t="s">
        <v>93</v>
      </c>
      <c r="E1375" s="226" t="s">
        <v>666</v>
      </c>
      <c r="F1375" s="226">
        <v>0</v>
      </c>
      <c r="G1375" s="226">
        <v>0</v>
      </c>
    </row>
    <row r="1376" spans="1:7">
      <c r="A1376" s="226" t="s">
        <v>657</v>
      </c>
      <c r="B1376" s="226" t="s">
        <v>1235</v>
      </c>
      <c r="C1376" s="226" t="s">
        <v>625</v>
      </c>
      <c r="D1376" s="226" t="s">
        <v>93</v>
      </c>
      <c r="E1376" s="226" t="s">
        <v>667</v>
      </c>
      <c r="F1376" s="226">
        <v>0</v>
      </c>
      <c r="G1376" s="226">
        <v>0</v>
      </c>
    </row>
    <row r="1377" spans="1:7">
      <c r="A1377" s="226" t="s">
        <v>639</v>
      </c>
      <c r="B1377" s="226" t="s">
        <v>1235</v>
      </c>
      <c r="C1377" s="226" t="s">
        <v>627</v>
      </c>
      <c r="D1377" s="226" t="s">
        <v>14</v>
      </c>
      <c r="E1377" s="226" t="s">
        <v>618</v>
      </c>
      <c r="F1377" s="226">
        <v>0</v>
      </c>
      <c r="G1377" s="226">
        <v>0</v>
      </c>
    </row>
    <row r="1378" spans="1:7">
      <c r="A1378" s="226" t="s">
        <v>639</v>
      </c>
      <c r="B1378" s="226" t="s">
        <v>1235</v>
      </c>
      <c r="C1378" s="226" t="s">
        <v>627</v>
      </c>
      <c r="D1378" s="226" t="s">
        <v>14</v>
      </c>
      <c r="E1378" s="226" t="s">
        <v>619</v>
      </c>
      <c r="F1378" s="226">
        <v>0.16018633540372673</v>
      </c>
      <c r="G1378" s="226">
        <v>0.16</v>
      </c>
    </row>
    <row r="1379" spans="1:7">
      <c r="A1379" s="226" t="s">
        <v>639</v>
      </c>
      <c r="B1379" s="226" t="s">
        <v>1235</v>
      </c>
      <c r="C1379" s="226" t="s">
        <v>627</v>
      </c>
      <c r="D1379" s="226" t="s">
        <v>14</v>
      </c>
      <c r="E1379" s="226" t="s">
        <v>620</v>
      </c>
      <c r="F1379" s="226">
        <v>0.16018633540372673</v>
      </c>
      <c r="G1379" s="226">
        <v>0.16</v>
      </c>
    </row>
    <row r="1380" spans="1:7">
      <c r="A1380" s="226" t="s">
        <v>639</v>
      </c>
      <c r="B1380" s="226" t="s">
        <v>1235</v>
      </c>
      <c r="C1380" s="226" t="s">
        <v>627</v>
      </c>
      <c r="D1380" s="226" t="s">
        <v>14</v>
      </c>
      <c r="E1380" s="226" t="s">
        <v>660</v>
      </c>
      <c r="F1380" s="226">
        <v>0.16018633540372673</v>
      </c>
      <c r="G1380" s="226">
        <v>0.16</v>
      </c>
    </row>
    <row r="1381" spans="1:7">
      <c r="A1381" s="226" t="s">
        <v>639</v>
      </c>
      <c r="B1381" s="226" t="s">
        <v>1235</v>
      </c>
      <c r="C1381" s="226" t="s">
        <v>627</v>
      </c>
      <c r="D1381" s="226" t="s">
        <v>14</v>
      </c>
      <c r="E1381" s="226" t="s">
        <v>661</v>
      </c>
      <c r="F1381" s="226">
        <v>0.16018633540372673</v>
      </c>
      <c r="G1381" s="226">
        <v>0.16</v>
      </c>
    </row>
    <row r="1382" spans="1:7">
      <c r="A1382" s="226" t="s">
        <v>639</v>
      </c>
      <c r="B1382" s="226" t="s">
        <v>1235</v>
      </c>
      <c r="C1382" s="226" t="s">
        <v>627</v>
      </c>
      <c r="D1382" s="226" t="s">
        <v>14</v>
      </c>
      <c r="E1382" s="226" t="s">
        <v>662</v>
      </c>
      <c r="F1382" s="226">
        <v>0.16018633540372673</v>
      </c>
      <c r="G1382" s="226">
        <v>0.16</v>
      </c>
    </row>
    <row r="1383" spans="1:7">
      <c r="A1383" s="226" t="s">
        <v>639</v>
      </c>
      <c r="B1383" s="226" t="s">
        <v>1235</v>
      </c>
      <c r="C1383" s="226" t="s">
        <v>627</v>
      </c>
      <c r="D1383" s="226" t="s">
        <v>14</v>
      </c>
      <c r="E1383" s="226" t="s">
        <v>663</v>
      </c>
      <c r="F1383" s="226">
        <v>0.16018633540372673</v>
      </c>
      <c r="G1383" s="226">
        <v>0.16</v>
      </c>
    </row>
    <row r="1384" spans="1:7">
      <c r="A1384" s="226" t="s">
        <v>639</v>
      </c>
      <c r="B1384" s="226" t="s">
        <v>1235</v>
      </c>
      <c r="C1384" s="226" t="s">
        <v>627</v>
      </c>
      <c r="D1384" s="226" t="s">
        <v>14</v>
      </c>
      <c r="E1384" s="226" t="s">
        <v>664</v>
      </c>
      <c r="F1384" s="226">
        <v>0</v>
      </c>
      <c r="G1384" s="226">
        <v>0</v>
      </c>
    </row>
    <row r="1385" spans="1:7">
      <c r="A1385" s="226" t="s">
        <v>639</v>
      </c>
      <c r="B1385" s="226" t="s">
        <v>1235</v>
      </c>
      <c r="C1385" s="226" t="s">
        <v>627</v>
      </c>
      <c r="D1385" s="226" t="s">
        <v>14</v>
      </c>
      <c r="E1385" s="226" t="s">
        <v>665</v>
      </c>
      <c r="F1385" s="226">
        <v>0</v>
      </c>
      <c r="G1385" s="226">
        <v>0</v>
      </c>
    </row>
    <row r="1386" spans="1:7">
      <c r="A1386" s="226" t="s">
        <v>639</v>
      </c>
      <c r="B1386" s="226" t="s">
        <v>1235</v>
      </c>
      <c r="C1386" s="226" t="s">
        <v>627</v>
      </c>
      <c r="D1386" s="226" t="s">
        <v>14</v>
      </c>
      <c r="E1386" s="226" t="s">
        <v>666</v>
      </c>
      <c r="F1386" s="226">
        <v>0</v>
      </c>
      <c r="G1386" s="226">
        <v>0</v>
      </c>
    </row>
    <row r="1387" spans="1:7">
      <c r="A1387" s="226" t="s">
        <v>639</v>
      </c>
      <c r="B1387" s="226" t="s">
        <v>1235</v>
      </c>
      <c r="C1387" s="226" t="s">
        <v>627</v>
      </c>
      <c r="D1387" s="226" t="s">
        <v>14</v>
      </c>
      <c r="E1387" s="226" t="s">
        <v>667</v>
      </c>
      <c r="F1387" s="226">
        <v>0</v>
      </c>
      <c r="G1387" s="226">
        <v>0</v>
      </c>
    </row>
    <row r="1388" spans="1:7">
      <c r="A1388" s="226" t="s">
        <v>639</v>
      </c>
      <c r="B1388" s="226" t="s">
        <v>1235</v>
      </c>
      <c r="C1388" s="226" t="s">
        <v>630</v>
      </c>
      <c r="D1388" s="226" t="s">
        <v>29</v>
      </c>
      <c r="E1388" s="226" t="s">
        <v>618</v>
      </c>
      <c r="F1388" s="226">
        <v>0</v>
      </c>
      <c r="G1388" s="226">
        <v>0</v>
      </c>
    </row>
    <row r="1389" spans="1:7">
      <c r="A1389" s="226" t="s">
        <v>639</v>
      </c>
      <c r="B1389" s="226" t="s">
        <v>1235</v>
      </c>
      <c r="C1389" s="226" t="s">
        <v>630</v>
      </c>
      <c r="D1389" s="226" t="s">
        <v>29</v>
      </c>
      <c r="E1389" s="226" t="s">
        <v>619</v>
      </c>
      <c r="F1389" s="226">
        <v>0.33333333333333331</v>
      </c>
      <c r="G1389" s="226">
        <v>0.33333333333333331</v>
      </c>
    </row>
    <row r="1390" spans="1:7">
      <c r="A1390" s="226" t="s">
        <v>639</v>
      </c>
      <c r="B1390" s="226" t="s">
        <v>1235</v>
      </c>
      <c r="C1390" s="226" t="s">
        <v>630</v>
      </c>
      <c r="D1390" s="226" t="s">
        <v>29</v>
      </c>
      <c r="E1390" s="226" t="s">
        <v>620</v>
      </c>
      <c r="F1390" s="226">
        <v>0.33333333333333331</v>
      </c>
      <c r="G1390" s="226">
        <v>0.33333333333333331</v>
      </c>
    </row>
    <row r="1391" spans="1:7">
      <c r="A1391" s="226" t="s">
        <v>639</v>
      </c>
      <c r="B1391" s="226" t="s">
        <v>1235</v>
      </c>
      <c r="C1391" s="226" t="s">
        <v>630</v>
      </c>
      <c r="D1391" s="226" t="s">
        <v>29</v>
      </c>
      <c r="E1391" s="226" t="s">
        <v>660</v>
      </c>
      <c r="F1391" s="226">
        <v>0.33333333333333331</v>
      </c>
      <c r="G1391" s="226">
        <v>0.33333333333333331</v>
      </c>
    </row>
    <row r="1392" spans="1:7">
      <c r="A1392" s="226" t="s">
        <v>639</v>
      </c>
      <c r="B1392" s="226" t="s">
        <v>1235</v>
      </c>
      <c r="C1392" s="226" t="s">
        <v>630</v>
      </c>
      <c r="D1392" s="226" t="s">
        <v>90</v>
      </c>
      <c r="E1392" s="226" t="s">
        <v>618</v>
      </c>
      <c r="F1392" s="226">
        <v>0.43099999999999999</v>
      </c>
      <c r="G1392" s="226">
        <v>0.43099999999999999</v>
      </c>
    </row>
    <row r="1393" spans="1:7">
      <c r="A1393" s="226" t="s">
        <v>639</v>
      </c>
      <c r="B1393" s="226" t="s">
        <v>1235</v>
      </c>
      <c r="C1393" s="226" t="s">
        <v>630</v>
      </c>
      <c r="D1393" s="226" t="s">
        <v>90</v>
      </c>
      <c r="E1393" s="226" t="s">
        <v>619</v>
      </c>
      <c r="F1393" s="226">
        <v>0.19166666666666665</v>
      </c>
      <c r="G1393" s="226">
        <v>0.19166666666666665</v>
      </c>
    </row>
    <row r="1394" spans="1:7">
      <c r="A1394" s="226" t="s">
        <v>639</v>
      </c>
      <c r="B1394" s="226" t="s">
        <v>1235</v>
      </c>
      <c r="C1394" s="226" t="s">
        <v>630</v>
      </c>
      <c r="D1394" s="226" t="s">
        <v>90</v>
      </c>
      <c r="E1394" s="226" t="s">
        <v>620</v>
      </c>
      <c r="F1394" s="226">
        <v>0.19166666666666665</v>
      </c>
      <c r="G1394" s="226">
        <v>0.19166666666666665</v>
      </c>
    </row>
    <row r="1395" spans="1:7">
      <c r="A1395" s="226" t="s">
        <v>639</v>
      </c>
      <c r="B1395" s="226" t="s">
        <v>1235</v>
      </c>
      <c r="C1395" s="226" t="s">
        <v>630</v>
      </c>
      <c r="D1395" s="226" t="s">
        <v>90</v>
      </c>
      <c r="E1395" s="226" t="s">
        <v>660</v>
      </c>
      <c r="F1395" s="226">
        <v>0.19166666666666665</v>
      </c>
      <c r="G1395" s="226">
        <v>0.19166666666666665</v>
      </c>
    </row>
    <row r="1396" spans="1:7">
      <c r="A1396" s="226" t="s">
        <v>639</v>
      </c>
      <c r="B1396" s="226" t="s">
        <v>1235</v>
      </c>
      <c r="C1396" s="226" t="s">
        <v>630</v>
      </c>
      <c r="D1396" s="226" t="s">
        <v>90</v>
      </c>
      <c r="E1396" s="226" t="s">
        <v>661</v>
      </c>
      <c r="F1396" s="226">
        <v>0.19166666666666665</v>
      </c>
      <c r="G1396" s="226">
        <v>0.19166666666666665</v>
      </c>
    </row>
    <row r="1397" spans="1:7">
      <c r="A1397" s="226" t="s">
        <v>639</v>
      </c>
      <c r="B1397" s="226" t="s">
        <v>1235</v>
      </c>
      <c r="C1397" s="226" t="s">
        <v>630</v>
      </c>
      <c r="D1397" s="226" t="s">
        <v>90</v>
      </c>
      <c r="E1397" s="226" t="s">
        <v>662</v>
      </c>
      <c r="F1397" s="226">
        <v>0.19166666666666665</v>
      </c>
      <c r="G1397" s="226">
        <v>0.19166666666666665</v>
      </c>
    </row>
    <row r="1398" spans="1:7">
      <c r="A1398" s="226" t="s">
        <v>639</v>
      </c>
      <c r="B1398" s="226" t="s">
        <v>1235</v>
      </c>
      <c r="C1398" s="226" t="s">
        <v>630</v>
      </c>
      <c r="D1398" s="226" t="s">
        <v>90</v>
      </c>
      <c r="E1398" s="226" t="s">
        <v>663</v>
      </c>
      <c r="F1398" s="226">
        <v>0.91780054048313064</v>
      </c>
      <c r="G1398" s="226">
        <v>0.19166666666666665</v>
      </c>
    </row>
    <row r="1399" spans="1:7">
      <c r="A1399" s="226" t="s">
        <v>639</v>
      </c>
      <c r="B1399" s="226" t="s">
        <v>1235</v>
      </c>
      <c r="C1399" s="226" t="s">
        <v>630</v>
      </c>
      <c r="D1399" s="226" t="s">
        <v>90</v>
      </c>
      <c r="E1399" s="226" t="s">
        <v>664</v>
      </c>
      <c r="F1399" s="226">
        <v>0.91780054048313064</v>
      </c>
      <c r="G1399" s="226">
        <v>0</v>
      </c>
    </row>
    <row r="1400" spans="1:7">
      <c r="A1400" s="226" t="s">
        <v>639</v>
      </c>
      <c r="B1400" s="226" t="s">
        <v>1235</v>
      </c>
      <c r="C1400" s="226" t="s">
        <v>630</v>
      </c>
      <c r="D1400" s="226" t="s">
        <v>90</v>
      </c>
      <c r="E1400" s="226" t="s">
        <v>665</v>
      </c>
      <c r="F1400" s="226">
        <v>0.91780054048313064</v>
      </c>
      <c r="G1400" s="226">
        <v>0</v>
      </c>
    </row>
    <row r="1401" spans="1:7">
      <c r="A1401" s="226" t="s">
        <v>639</v>
      </c>
      <c r="B1401" s="226" t="s">
        <v>1235</v>
      </c>
      <c r="C1401" s="226" t="s">
        <v>630</v>
      </c>
      <c r="D1401" s="226" t="s">
        <v>90</v>
      </c>
      <c r="E1401" s="226" t="s">
        <v>666</v>
      </c>
      <c r="F1401" s="226">
        <v>0.91780054048313064</v>
      </c>
      <c r="G1401" s="226">
        <v>0</v>
      </c>
    </row>
    <row r="1402" spans="1:7">
      <c r="A1402" s="226" t="s">
        <v>639</v>
      </c>
      <c r="B1402" s="226" t="s">
        <v>1235</v>
      </c>
      <c r="C1402" s="226" t="s">
        <v>630</v>
      </c>
      <c r="D1402" s="226" t="s">
        <v>90</v>
      </c>
      <c r="E1402" s="226" t="s">
        <v>667</v>
      </c>
      <c r="F1402" s="226">
        <v>0.91780054048313064</v>
      </c>
      <c r="G1402" s="226">
        <v>0</v>
      </c>
    </row>
    <row r="1403" spans="1:7">
      <c r="A1403" s="226" t="s">
        <v>639</v>
      </c>
      <c r="B1403" s="226" t="s">
        <v>1235</v>
      </c>
      <c r="C1403" s="226" t="s">
        <v>630</v>
      </c>
      <c r="D1403" s="226" t="s">
        <v>29</v>
      </c>
      <c r="E1403" s="226" t="s">
        <v>661</v>
      </c>
      <c r="F1403" s="226">
        <v>0.33333333333333331</v>
      </c>
      <c r="G1403" s="226">
        <v>0.33333333333333331</v>
      </c>
    </row>
    <row r="1404" spans="1:7">
      <c r="A1404" s="226" t="s">
        <v>639</v>
      </c>
      <c r="B1404" s="226" t="s">
        <v>1235</v>
      </c>
      <c r="C1404" s="226" t="s">
        <v>630</v>
      </c>
      <c r="D1404" s="226" t="s">
        <v>29</v>
      </c>
      <c r="E1404" s="226" t="s">
        <v>662</v>
      </c>
      <c r="F1404" s="226">
        <v>0.33333333333333331</v>
      </c>
      <c r="G1404" s="226">
        <v>0.33333333333333331</v>
      </c>
    </row>
    <row r="1405" spans="1:7">
      <c r="A1405" s="226" t="s">
        <v>639</v>
      </c>
      <c r="B1405" s="226" t="s">
        <v>1235</v>
      </c>
      <c r="C1405" s="226" t="s">
        <v>630</v>
      </c>
      <c r="D1405" s="226" t="s">
        <v>29</v>
      </c>
      <c r="E1405" s="226" t="s">
        <v>663</v>
      </c>
      <c r="F1405" s="226">
        <v>0.33333333333333331</v>
      </c>
      <c r="G1405" s="226">
        <v>0.33333333333333331</v>
      </c>
    </row>
    <row r="1406" spans="1:7">
      <c r="A1406" s="226" t="s">
        <v>639</v>
      </c>
      <c r="B1406" s="226" t="s">
        <v>1235</v>
      </c>
      <c r="C1406" s="226" t="s">
        <v>630</v>
      </c>
      <c r="D1406" s="226" t="s">
        <v>29</v>
      </c>
      <c r="E1406" s="226" t="s">
        <v>664</v>
      </c>
      <c r="F1406" s="226">
        <v>0</v>
      </c>
      <c r="G1406" s="226">
        <v>0</v>
      </c>
    </row>
    <row r="1407" spans="1:7">
      <c r="A1407" s="226" t="s">
        <v>639</v>
      </c>
      <c r="B1407" s="226" t="s">
        <v>1235</v>
      </c>
      <c r="C1407" s="226" t="s">
        <v>630</v>
      </c>
      <c r="D1407" s="226" t="s">
        <v>29</v>
      </c>
      <c r="E1407" s="226" t="s">
        <v>665</v>
      </c>
      <c r="F1407" s="226">
        <v>0</v>
      </c>
      <c r="G1407" s="226">
        <v>0</v>
      </c>
    </row>
    <row r="1408" spans="1:7">
      <c r="A1408" s="226" t="s">
        <v>639</v>
      </c>
      <c r="B1408" s="226" t="s">
        <v>1235</v>
      </c>
      <c r="C1408" s="226" t="s">
        <v>630</v>
      </c>
      <c r="D1408" s="226" t="s">
        <v>29</v>
      </c>
      <c r="E1408" s="226" t="s">
        <v>666</v>
      </c>
      <c r="F1408" s="226">
        <v>0</v>
      </c>
      <c r="G1408" s="226">
        <v>0</v>
      </c>
    </row>
    <row r="1409" spans="1:7">
      <c r="A1409" s="226" t="s">
        <v>639</v>
      </c>
      <c r="B1409" s="226" t="s">
        <v>1235</v>
      </c>
      <c r="C1409" s="226" t="s">
        <v>630</v>
      </c>
      <c r="D1409" s="226" t="s">
        <v>29</v>
      </c>
      <c r="E1409" s="226" t="s">
        <v>667</v>
      </c>
      <c r="F1409" s="226">
        <v>0</v>
      </c>
      <c r="G1409" s="226">
        <v>0</v>
      </c>
    </row>
    <row r="1410" spans="1:7">
      <c r="A1410" s="226" t="s">
        <v>639</v>
      </c>
      <c r="B1410" s="226" t="s">
        <v>1235</v>
      </c>
      <c r="C1410" s="226" t="s">
        <v>963</v>
      </c>
      <c r="D1410" s="226" t="s">
        <v>19</v>
      </c>
      <c r="E1410" s="226" t="s">
        <v>618</v>
      </c>
      <c r="F1410" s="226">
        <v>0</v>
      </c>
      <c r="G1410" s="226">
        <v>0</v>
      </c>
    </row>
    <row r="1411" spans="1:7">
      <c r="A1411" s="226" t="s">
        <v>639</v>
      </c>
      <c r="B1411" s="226" t="s">
        <v>1235</v>
      </c>
      <c r="C1411" s="226" t="s">
        <v>963</v>
      </c>
      <c r="D1411" s="226" t="s">
        <v>19</v>
      </c>
      <c r="E1411" s="226" t="s">
        <v>619</v>
      </c>
      <c r="F1411" s="226">
        <v>0</v>
      </c>
      <c r="G1411" s="226">
        <v>0</v>
      </c>
    </row>
    <row r="1412" spans="1:7">
      <c r="A1412" s="226" t="s">
        <v>639</v>
      </c>
      <c r="B1412" s="226" t="s">
        <v>1235</v>
      </c>
      <c r="C1412" s="226" t="s">
        <v>963</v>
      </c>
      <c r="D1412" s="226" t="s">
        <v>19</v>
      </c>
      <c r="E1412" s="226" t="s">
        <v>620</v>
      </c>
      <c r="F1412" s="226">
        <v>0</v>
      </c>
      <c r="G1412" s="226">
        <v>0</v>
      </c>
    </row>
    <row r="1413" spans="1:7">
      <c r="A1413" s="226" t="s">
        <v>639</v>
      </c>
      <c r="B1413" s="226" t="s">
        <v>1235</v>
      </c>
      <c r="C1413" s="226" t="s">
        <v>963</v>
      </c>
      <c r="D1413" s="226" t="s">
        <v>19</v>
      </c>
      <c r="E1413" s="226" t="s">
        <v>660</v>
      </c>
      <c r="F1413" s="226">
        <v>0</v>
      </c>
      <c r="G1413" s="226">
        <v>0</v>
      </c>
    </row>
    <row r="1414" spans="1:7">
      <c r="A1414" s="226" t="s">
        <v>639</v>
      </c>
      <c r="B1414" s="226" t="s">
        <v>1235</v>
      </c>
      <c r="C1414" s="226" t="s">
        <v>963</v>
      </c>
      <c r="D1414" s="226" t="s">
        <v>19</v>
      </c>
      <c r="E1414" s="226" t="s">
        <v>661</v>
      </c>
      <c r="F1414" s="226">
        <v>0</v>
      </c>
      <c r="G1414" s="226">
        <v>0</v>
      </c>
    </row>
    <row r="1415" spans="1:7">
      <c r="A1415" s="226" t="s">
        <v>639</v>
      </c>
      <c r="B1415" s="226" t="s">
        <v>1235</v>
      </c>
      <c r="C1415" s="226" t="s">
        <v>963</v>
      </c>
      <c r="D1415" s="226" t="s">
        <v>19</v>
      </c>
      <c r="E1415" s="226" t="s">
        <v>662</v>
      </c>
      <c r="F1415" s="226">
        <v>0</v>
      </c>
      <c r="G1415" s="226">
        <v>0</v>
      </c>
    </row>
    <row r="1416" spans="1:7">
      <c r="A1416" s="226" t="s">
        <v>639</v>
      </c>
      <c r="B1416" s="226" t="s">
        <v>1235</v>
      </c>
      <c r="C1416" s="226" t="s">
        <v>963</v>
      </c>
      <c r="D1416" s="226" t="s">
        <v>19</v>
      </c>
      <c r="E1416" s="226" t="s">
        <v>663</v>
      </c>
      <c r="F1416" s="226">
        <v>0</v>
      </c>
      <c r="G1416" s="226">
        <v>0</v>
      </c>
    </row>
    <row r="1417" spans="1:7">
      <c r="A1417" s="226" t="s">
        <v>639</v>
      </c>
      <c r="B1417" s="226" t="s">
        <v>1235</v>
      </c>
      <c r="C1417" s="226" t="s">
        <v>963</v>
      </c>
      <c r="D1417" s="226" t="s">
        <v>19</v>
      </c>
      <c r="E1417" s="226" t="s">
        <v>664</v>
      </c>
      <c r="F1417" s="226">
        <v>0</v>
      </c>
      <c r="G1417" s="226">
        <v>0</v>
      </c>
    </row>
    <row r="1418" spans="1:7">
      <c r="A1418" s="226" t="s">
        <v>639</v>
      </c>
      <c r="B1418" s="226" t="s">
        <v>1235</v>
      </c>
      <c r="C1418" s="226" t="s">
        <v>963</v>
      </c>
      <c r="D1418" s="226" t="s">
        <v>19</v>
      </c>
      <c r="E1418" s="226" t="s">
        <v>665</v>
      </c>
      <c r="F1418" s="226">
        <v>0</v>
      </c>
      <c r="G1418" s="226">
        <v>0</v>
      </c>
    </row>
    <row r="1419" spans="1:7">
      <c r="A1419" s="226" t="s">
        <v>639</v>
      </c>
      <c r="B1419" s="226" t="s">
        <v>1235</v>
      </c>
      <c r="C1419" s="226" t="s">
        <v>963</v>
      </c>
      <c r="D1419" s="226" t="s">
        <v>19</v>
      </c>
      <c r="E1419" s="226" t="s">
        <v>666</v>
      </c>
      <c r="F1419" s="226">
        <v>0</v>
      </c>
      <c r="G1419" s="226">
        <v>0</v>
      </c>
    </row>
    <row r="1420" spans="1:7">
      <c r="A1420" s="226" t="s">
        <v>639</v>
      </c>
      <c r="B1420" s="226" t="s">
        <v>1235</v>
      </c>
      <c r="C1420" s="226" t="s">
        <v>963</v>
      </c>
      <c r="D1420" s="226" t="s">
        <v>19</v>
      </c>
      <c r="E1420" s="226" t="s">
        <v>667</v>
      </c>
      <c r="F1420" s="226">
        <v>0</v>
      </c>
      <c r="G1420" s="226">
        <v>0</v>
      </c>
    </row>
    <row r="1421" spans="1:7">
      <c r="A1421" s="226" t="s">
        <v>639</v>
      </c>
      <c r="B1421" s="226" t="s">
        <v>1235</v>
      </c>
      <c r="C1421" s="226" t="s">
        <v>626</v>
      </c>
      <c r="D1421" s="226" t="s">
        <v>18</v>
      </c>
      <c r="E1421" s="226" t="s">
        <v>618</v>
      </c>
      <c r="F1421" s="226">
        <v>0</v>
      </c>
      <c r="G1421" s="226">
        <v>0</v>
      </c>
    </row>
    <row r="1422" spans="1:7">
      <c r="A1422" s="226" t="s">
        <v>639</v>
      </c>
      <c r="B1422" s="226" t="s">
        <v>1235</v>
      </c>
      <c r="C1422" s="226" t="s">
        <v>626</v>
      </c>
      <c r="D1422" s="226" t="s">
        <v>18</v>
      </c>
      <c r="E1422" s="226" t="s">
        <v>619</v>
      </c>
      <c r="F1422" s="226">
        <v>0</v>
      </c>
      <c r="G1422" s="226">
        <v>0</v>
      </c>
    </row>
    <row r="1423" spans="1:7">
      <c r="A1423" s="226" t="s">
        <v>639</v>
      </c>
      <c r="B1423" s="226" t="s">
        <v>1235</v>
      </c>
      <c r="C1423" s="226" t="s">
        <v>626</v>
      </c>
      <c r="D1423" s="226" t="s">
        <v>18</v>
      </c>
      <c r="E1423" s="226" t="s">
        <v>620</v>
      </c>
      <c r="F1423" s="226">
        <v>0</v>
      </c>
      <c r="G1423" s="226">
        <v>0</v>
      </c>
    </row>
    <row r="1424" spans="1:7">
      <c r="A1424" s="226" t="s">
        <v>639</v>
      </c>
      <c r="B1424" s="226" t="s">
        <v>1235</v>
      </c>
      <c r="C1424" s="226" t="s">
        <v>626</v>
      </c>
      <c r="D1424" s="226" t="s">
        <v>18</v>
      </c>
      <c r="E1424" s="226" t="s">
        <v>660</v>
      </c>
      <c r="F1424" s="226">
        <v>0</v>
      </c>
      <c r="G1424" s="226">
        <v>0</v>
      </c>
    </row>
    <row r="1425" spans="1:7">
      <c r="A1425" s="226" t="s">
        <v>639</v>
      </c>
      <c r="B1425" s="226" t="s">
        <v>1235</v>
      </c>
      <c r="C1425" s="226" t="s">
        <v>626</v>
      </c>
      <c r="D1425" s="226" t="s">
        <v>18</v>
      </c>
      <c r="E1425" s="226" t="s">
        <v>661</v>
      </c>
      <c r="F1425" s="226">
        <v>0</v>
      </c>
      <c r="G1425" s="226">
        <v>0</v>
      </c>
    </row>
    <row r="1426" spans="1:7">
      <c r="A1426" s="226" t="s">
        <v>639</v>
      </c>
      <c r="B1426" s="226" t="s">
        <v>1235</v>
      </c>
      <c r="C1426" s="226" t="s">
        <v>626</v>
      </c>
      <c r="D1426" s="226" t="s">
        <v>18</v>
      </c>
      <c r="E1426" s="226" t="s">
        <v>662</v>
      </c>
      <c r="F1426" s="226">
        <v>0</v>
      </c>
      <c r="G1426" s="226">
        <v>0</v>
      </c>
    </row>
    <row r="1427" spans="1:7">
      <c r="A1427" s="226" t="s">
        <v>639</v>
      </c>
      <c r="B1427" s="226" t="s">
        <v>1235</v>
      </c>
      <c r="C1427" s="226" t="s">
        <v>626</v>
      </c>
      <c r="D1427" s="226" t="s">
        <v>18</v>
      </c>
      <c r="E1427" s="226" t="s">
        <v>663</v>
      </c>
      <c r="F1427" s="226">
        <v>3.6854340976409918E-2</v>
      </c>
      <c r="G1427" s="226">
        <v>0</v>
      </c>
    </row>
    <row r="1428" spans="1:7">
      <c r="A1428" s="226" t="s">
        <v>639</v>
      </c>
      <c r="B1428" s="226" t="s">
        <v>1235</v>
      </c>
      <c r="C1428" s="226" t="s">
        <v>626</v>
      </c>
      <c r="D1428" s="226" t="s">
        <v>18</v>
      </c>
      <c r="E1428" s="226" t="s">
        <v>664</v>
      </c>
      <c r="F1428" s="226">
        <v>3.6854340976409918E-2</v>
      </c>
      <c r="G1428" s="226">
        <v>0</v>
      </c>
    </row>
    <row r="1429" spans="1:7">
      <c r="A1429" s="226" t="s">
        <v>639</v>
      </c>
      <c r="B1429" s="226" t="s">
        <v>1235</v>
      </c>
      <c r="C1429" s="226" t="s">
        <v>626</v>
      </c>
      <c r="D1429" s="226" t="s">
        <v>18</v>
      </c>
      <c r="E1429" s="226" t="s">
        <v>665</v>
      </c>
      <c r="F1429" s="226">
        <v>3.6854340976409918E-2</v>
      </c>
      <c r="G1429" s="226">
        <v>0</v>
      </c>
    </row>
    <row r="1430" spans="1:7">
      <c r="A1430" s="226" t="s">
        <v>639</v>
      </c>
      <c r="B1430" s="226" t="s">
        <v>1235</v>
      </c>
      <c r="C1430" s="226" t="s">
        <v>626</v>
      </c>
      <c r="D1430" s="226" t="s">
        <v>18</v>
      </c>
      <c r="E1430" s="226" t="s">
        <v>666</v>
      </c>
      <c r="F1430" s="226">
        <v>3.6854340976409918E-2</v>
      </c>
      <c r="G1430" s="226">
        <v>0</v>
      </c>
    </row>
    <row r="1431" spans="1:7">
      <c r="A1431" s="226" t="s">
        <v>639</v>
      </c>
      <c r="B1431" s="226" t="s">
        <v>1235</v>
      </c>
      <c r="C1431" s="226" t="s">
        <v>626</v>
      </c>
      <c r="D1431" s="226" t="s">
        <v>18</v>
      </c>
      <c r="E1431" s="226" t="s">
        <v>667</v>
      </c>
      <c r="F1431" s="226">
        <v>3.6854340976409918E-2</v>
      </c>
      <c r="G1431" s="226">
        <v>0</v>
      </c>
    </row>
    <row r="1432" spans="1:7">
      <c r="A1432" s="226" t="s">
        <v>639</v>
      </c>
      <c r="B1432" s="226" t="s">
        <v>1235</v>
      </c>
      <c r="C1432" s="226" t="s">
        <v>626</v>
      </c>
      <c r="D1432" s="226" t="s">
        <v>91</v>
      </c>
      <c r="E1432" s="226" t="s">
        <v>618</v>
      </c>
      <c r="F1432" s="226">
        <v>6.4999999999999997E-3</v>
      </c>
      <c r="G1432" s="226">
        <v>6.4999999999999997E-3</v>
      </c>
    </row>
    <row r="1433" spans="1:7">
      <c r="A1433" s="226" t="s">
        <v>639</v>
      </c>
      <c r="B1433" s="226" t="s">
        <v>1235</v>
      </c>
      <c r="C1433" s="226" t="s">
        <v>626</v>
      </c>
      <c r="D1433" s="226" t="s">
        <v>91</v>
      </c>
      <c r="E1433" s="226" t="s">
        <v>619</v>
      </c>
      <c r="F1433" s="226">
        <v>0</v>
      </c>
      <c r="G1433" s="226">
        <v>0</v>
      </c>
    </row>
    <row r="1434" spans="1:7">
      <c r="A1434" s="226" t="s">
        <v>639</v>
      </c>
      <c r="B1434" s="226" t="s">
        <v>1235</v>
      </c>
      <c r="C1434" s="226" t="s">
        <v>626</v>
      </c>
      <c r="D1434" s="226" t="s">
        <v>91</v>
      </c>
      <c r="E1434" s="226" t="s">
        <v>620</v>
      </c>
      <c r="F1434" s="226">
        <v>0</v>
      </c>
      <c r="G1434" s="226">
        <v>0</v>
      </c>
    </row>
    <row r="1435" spans="1:7">
      <c r="A1435" s="226" t="s">
        <v>639</v>
      </c>
      <c r="B1435" s="226" t="s">
        <v>1235</v>
      </c>
      <c r="C1435" s="226" t="s">
        <v>626</v>
      </c>
      <c r="D1435" s="226" t="s">
        <v>91</v>
      </c>
      <c r="E1435" s="226" t="s">
        <v>660</v>
      </c>
      <c r="F1435" s="226">
        <v>0</v>
      </c>
      <c r="G1435" s="226">
        <v>0</v>
      </c>
    </row>
    <row r="1436" spans="1:7">
      <c r="A1436" s="226" t="s">
        <v>639</v>
      </c>
      <c r="B1436" s="226" t="s">
        <v>1235</v>
      </c>
      <c r="C1436" s="226" t="s">
        <v>626</v>
      </c>
      <c r="D1436" s="226" t="s">
        <v>91</v>
      </c>
      <c r="E1436" s="226" t="s">
        <v>661</v>
      </c>
      <c r="F1436" s="226">
        <v>0</v>
      </c>
      <c r="G1436" s="226">
        <v>0</v>
      </c>
    </row>
    <row r="1437" spans="1:7">
      <c r="A1437" s="226" t="s">
        <v>639</v>
      </c>
      <c r="B1437" s="226" t="s">
        <v>1235</v>
      </c>
      <c r="C1437" s="226" t="s">
        <v>626</v>
      </c>
      <c r="D1437" s="226" t="s">
        <v>91</v>
      </c>
      <c r="E1437" s="226" t="s">
        <v>662</v>
      </c>
      <c r="F1437" s="226">
        <v>0</v>
      </c>
      <c r="G1437" s="226">
        <v>0</v>
      </c>
    </row>
    <row r="1438" spans="1:7">
      <c r="A1438" s="226" t="s">
        <v>639</v>
      </c>
      <c r="B1438" s="226" t="s">
        <v>1235</v>
      </c>
      <c r="C1438" s="226" t="s">
        <v>626</v>
      </c>
      <c r="D1438" s="226" t="s">
        <v>91</v>
      </c>
      <c r="E1438" s="226" t="s">
        <v>663</v>
      </c>
      <c r="F1438" s="226">
        <v>9.7357769149978169E-4</v>
      </c>
      <c r="G1438" s="226">
        <v>0</v>
      </c>
    </row>
    <row r="1439" spans="1:7">
      <c r="A1439" s="226" t="s">
        <v>639</v>
      </c>
      <c r="B1439" s="226" t="s">
        <v>1235</v>
      </c>
      <c r="C1439" s="226" t="s">
        <v>626</v>
      </c>
      <c r="D1439" s="226" t="s">
        <v>91</v>
      </c>
      <c r="E1439" s="226" t="s">
        <v>664</v>
      </c>
      <c r="F1439" s="226">
        <v>9.7357769149978169E-4</v>
      </c>
      <c r="G1439" s="226">
        <v>0</v>
      </c>
    </row>
    <row r="1440" spans="1:7">
      <c r="A1440" s="226" t="s">
        <v>639</v>
      </c>
      <c r="B1440" s="226" t="s">
        <v>1235</v>
      </c>
      <c r="C1440" s="226" t="s">
        <v>626</v>
      </c>
      <c r="D1440" s="226" t="s">
        <v>91</v>
      </c>
      <c r="E1440" s="226" t="s">
        <v>665</v>
      </c>
      <c r="F1440" s="226">
        <v>9.7357769149978169E-4</v>
      </c>
      <c r="G1440" s="226">
        <v>0</v>
      </c>
    </row>
    <row r="1441" spans="1:7">
      <c r="A1441" s="226" t="s">
        <v>639</v>
      </c>
      <c r="B1441" s="226" t="s">
        <v>1235</v>
      </c>
      <c r="C1441" s="226" t="s">
        <v>626</v>
      </c>
      <c r="D1441" s="226" t="s">
        <v>91</v>
      </c>
      <c r="E1441" s="226" t="s">
        <v>666</v>
      </c>
      <c r="F1441" s="226">
        <v>9.7357769149978169E-4</v>
      </c>
      <c r="G1441" s="226">
        <v>0</v>
      </c>
    </row>
    <row r="1442" spans="1:7">
      <c r="A1442" s="226" t="s">
        <v>639</v>
      </c>
      <c r="B1442" s="226" t="s">
        <v>1235</v>
      </c>
      <c r="C1442" s="226" t="s">
        <v>626</v>
      </c>
      <c r="D1442" s="226" t="s">
        <v>91</v>
      </c>
      <c r="E1442" s="226" t="s">
        <v>667</v>
      </c>
      <c r="F1442" s="226">
        <v>9.7357769149978169E-4</v>
      </c>
      <c r="G1442" s="226">
        <v>0</v>
      </c>
    </row>
    <row r="1443" spans="1:7">
      <c r="A1443" s="226" t="s">
        <v>639</v>
      </c>
      <c r="B1443" s="226" t="s">
        <v>1235</v>
      </c>
      <c r="C1443" s="226" t="s">
        <v>626</v>
      </c>
      <c r="D1443" s="226" t="s">
        <v>8</v>
      </c>
      <c r="E1443" s="226" t="s">
        <v>618</v>
      </c>
      <c r="F1443" s="226">
        <v>0</v>
      </c>
      <c r="G1443" s="226">
        <v>0</v>
      </c>
    </row>
    <row r="1444" spans="1:7">
      <c r="A1444" s="226" t="s">
        <v>639</v>
      </c>
      <c r="B1444" s="226" t="s">
        <v>1235</v>
      </c>
      <c r="C1444" s="226" t="s">
        <v>626</v>
      </c>
      <c r="D1444" s="226" t="s">
        <v>8</v>
      </c>
      <c r="E1444" s="226" t="s">
        <v>619</v>
      </c>
      <c r="F1444" s="226">
        <v>0</v>
      </c>
      <c r="G1444" s="226">
        <v>0</v>
      </c>
    </row>
    <row r="1445" spans="1:7">
      <c r="A1445" s="226" t="s">
        <v>639</v>
      </c>
      <c r="B1445" s="226" t="s">
        <v>1235</v>
      </c>
      <c r="C1445" s="226" t="s">
        <v>626</v>
      </c>
      <c r="D1445" s="226" t="s">
        <v>8</v>
      </c>
      <c r="E1445" s="226" t="s">
        <v>620</v>
      </c>
      <c r="F1445" s="226">
        <v>0</v>
      </c>
      <c r="G1445" s="226">
        <v>0</v>
      </c>
    </row>
    <row r="1446" spans="1:7">
      <c r="A1446" s="226" t="s">
        <v>639</v>
      </c>
      <c r="B1446" s="226" t="s">
        <v>1235</v>
      </c>
      <c r="C1446" s="226" t="s">
        <v>626</v>
      </c>
      <c r="D1446" s="226" t="s">
        <v>8</v>
      </c>
      <c r="E1446" s="226" t="s">
        <v>660</v>
      </c>
      <c r="F1446" s="226">
        <v>0</v>
      </c>
      <c r="G1446" s="226">
        <v>0</v>
      </c>
    </row>
    <row r="1447" spans="1:7">
      <c r="A1447" s="226" t="s">
        <v>639</v>
      </c>
      <c r="B1447" s="226" t="s">
        <v>1235</v>
      </c>
      <c r="C1447" s="226" t="s">
        <v>626</v>
      </c>
      <c r="D1447" s="226" t="s">
        <v>8</v>
      </c>
      <c r="E1447" s="226" t="s">
        <v>661</v>
      </c>
      <c r="F1447" s="226">
        <v>0</v>
      </c>
      <c r="G1447" s="226">
        <v>0</v>
      </c>
    </row>
    <row r="1448" spans="1:7">
      <c r="A1448" s="226" t="s">
        <v>639</v>
      </c>
      <c r="B1448" s="226" t="s">
        <v>1235</v>
      </c>
      <c r="C1448" s="226" t="s">
        <v>626</v>
      </c>
      <c r="D1448" s="226" t="s">
        <v>8</v>
      </c>
      <c r="E1448" s="226" t="s">
        <v>662</v>
      </c>
      <c r="F1448" s="226">
        <v>0</v>
      </c>
      <c r="G1448" s="226">
        <v>0</v>
      </c>
    </row>
    <row r="1449" spans="1:7">
      <c r="A1449" s="226" t="s">
        <v>639</v>
      </c>
      <c r="B1449" s="226" t="s">
        <v>1235</v>
      </c>
      <c r="C1449" s="226" t="s">
        <v>626</v>
      </c>
      <c r="D1449" s="226" t="s">
        <v>8</v>
      </c>
      <c r="E1449" s="226" t="s">
        <v>663</v>
      </c>
      <c r="F1449" s="226">
        <v>0</v>
      </c>
      <c r="G1449" s="226">
        <v>0</v>
      </c>
    </row>
    <row r="1450" spans="1:7">
      <c r="A1450" s="226" t="s">
        <v>639</v>
      </c>
      <c r="B1450" s="226" t="s">
        <v>1235</v>
      </c>
      <c r="C1450" s="226" t="s">
        <v>626</v>
      </c>
      <c r="D1450" s="226" t="s">
        <v>8</v>
      </c>
      <c r="E1450" s="226" t="s">
        <v>664</v>
      </c>
      <c r="F1450" s="226">
        <v>0</v>
      </c>
      <c r="G1450" s="226">
        <v>0</v>
      </c>
    </row>
    <row r="1451" spans="1:7">
      <c r="A1451" s="226" t="s">
        <v>639</v>
      </c>
      <c r="B1451" s="226" t="s">
        <v>1235</v>
      </c>
      <c r="C1451" s="226" t="s">
        <v>626</v>
      </c>
      <c r="D1451" s="226" t="s">
        <v>8</v>
      </c>
      <c r="E1451" s="226" t="s">
        <v>665</v>
      </c>
      <c r="F1451" s="226">
        <v>0</v>
      </c>
      <c r="G1451" s="226">
        <v>0</v>
      </c>
    </row>
    <row r="1452" spans="1:7">
      <c r="A1452" s="226" t="s">
        <v>639</v>
      </c>
      <c r="B1452" s="226" t="s">
        <v>1235</v>
      </c>
      <c r="C1452" s="226" t="s">
        <v>626</v>
      </c>
      <c r="D1452" s="226" t="s">
        <v>8</v>
      </c>
      <c r="E1452" s="226" t="s">
        <v>666</v>
      </c>
      <c r="F1452" s="226">
        <v>0</v>
      </c>
      <c r="G1452" s="226">
        <v>0</v>
      </c>
    </row>
    <row r="1453" spans="1:7">
      <c r="A1453" s="226" t="s">
        <v>639</v>
      </c>
      <c r="B1453" s="226" t="s">
        <v>1235</v>
      </c>
      <c r="C1453" s="226" t="s">
        <v>626</v>
      </c>
      <c r="D1453" s="226" t="s">
        <v>8</v>
      </c>
      <c r="E1453" s="226" t="s">
        <v>667</v>
      </c>
      <c r="F1453" s="226">
        <v>0</v>
      </c>
      <c r="G1453" s="226">
        <v>0</v>
      </c>
    </row>
    <row r="1454" spans="1:7">
      <c r="A1454" s="226" t="s">
        <v>639</v>
      </c>
      <c r="B1454" s="226" t="s">
        <v>1235</v>
      </c>
      <c r="C1454" s="226" t="s">
        <v>625</v>
      </c>
      <c r="D1454" s="226" t="s">
        <v>5</v>
      </c>
      <c r="E1454" s="226" t="s">
        <v>618</v>
      </c>
      <c r="F1454" s="226">
        <v>0</v>
      </c>
      <c r="G1454" s="226">
        <v>0</v>
      </c>
    </row>
    <row r="1455" spans="1:7">
      <c r="A1455" s="226" t="s">
        <v>639</v>
      </c>
      <c r="B1455" s="226" t="s">
        <v>1235</v>
      </c>
      <c r="C1455" s="226" t="s">
        <v>625</v>
      </c>
      <c r="D1455" s="226" t="s">
        <v>5</v>
      </c>
      <c r="E1455" s="226" t="s">
        <v>619</v>
      </c>
      <c r="F1455" s="226">
        <v>0</v>
      </c>
      <c r="G1455" s="226">
        <v>0</v>
      </c>
    </row>
    <row r="1456" spans="1:7">
      <c r="A1456" s="226" t="s">
        <v>639</v>
      </c>
      <c r="B1456" s="226" t="s">
        <v>1235</v>
      </c>
      <c r="C1456" s="226" t="s">
        <v>625</v>
      </c>
      <c r="D1456" s="226" t="s">
        <v>5</v>
      </c>
      <c r="E1456" s="226" t="s">
        <v>620</v>
      </c>
      <c r="F1456" s="226">
        <v>0</v>
      </c>
      <c r="G1456" s="226">
        <v>0</v>
      </c>
    </row>
    <row r="1457" spans="1:7">
      <c r="A1457" s="226" t="s">
        <v>639</v>
      </c>
      <c r="B1457" s="226" t="s">
        <v>1235</v>
      </c>
      <c r="C1457" s="226" t="s">
        <v>625</v>
      </c>
      <c r="D1457" s="226" t="s">
        <v>5</v>
      </c>
      <c r="E1457" s="226" t="s">
        <v>660</v>
      </c>
      <c r="F1457" s="226">
        <v>0</v>
      </c>
      <c r="G1457" s="226">
        <v>0</v>
      </c>
    </row>
    <row r="1458" spans="1:7">
      <c r="A1458" s="226" t="s">
        <v>639</v>
      </c>
      <c r="B1458" s="226" t="s">
        <v>1235</v>
      </c>
      <c r="C1458" s="226" t="s">
        <v>625</v>
      </c>
      <c r="D1458" s="226" t="s">
        <v>5</v>
      </c>
      <c r="E1458" s="226" t="s">
        <v>661</v>
      </c>
      <c r="F1458" s="226">
        <v>0</v>
      </c>
      <c r="G1458" s="226">
        <v>0</v>
      </c>
    </row>
    <row r="1459" spans="1:7">
      <c r="A1459" s="226" t="s">
        <v>639</v>
      </c>
      <c r="B1459" s="226" t="s">
        <v>1235</v>
      </c>
      <c r="C1459" s="226" t="s">
        <v>625</v>
      </c>
      <c r="D1459" s="226" t="s">
        <v>5</v>
      </c>
      <c r="E1459" s="226" t="s">
        <v>662</v>
      </c>
      <c r="F1459" s="226">
        <v>0</v>
      </c>
      <c r="G1459" s="226">
        <v>0</v>
      </c>
    </row>
    <row r="1460" spans="1:7">
      <c r="A1460" s="226" t="s">
        <v>639</v>
      </c>
      <c r="B1460" s="226" t="s">
        <v>1235</v>
      </c>
      <c r="C1460" s="226" t="s">
        <v>625</v>
      </c>
      <c r="D1460" s="226" t="s">
        <v>5</v>
      </c>
      <c r="E1460" s="226" t="s">
        <v>663</v>
      </c>
      <c r="F1460" s="226">
        <v>0</v>
      </c>
      <c r="G1460" s="226">
        <v>0</v>
      </c>
    </row>
    <row r="1461" spans="1:7">
      <c r="A1461" s="226" t="s">
        <v>639</v>
      </c>
      <c r="B1461" s="226" t="s">
        <v>1235</v>
      </c>
      <c r="C1461" s="226" t="s">
        <v>625</v>
      </c>
      <c r="D1461" s="226" t="s">
        <v>5</v>
      </c>
      <c r="E1461" s="226" t="s">
        <v>664</v>
      </c>
      <c r="F1461" s="226">
        <v>0</v>
      </c>
      <c r="G1461" s="226">
        <v>0</v>
      </c>
    </row>
    <row r="1462" spans="1:7">
      <c r="A1462" s="226" t="s">
        <v>639</v>
      </c>
      <c r="B1462" s="226" t="s">
        <v>1235</v>
      </c>
      <c r="C1462" s="226" t="s">
        <v>625</v>
      </c>
      <c r="D1462" s="226" t="s">
        <v>5</v>
      </c>
      <c r="E1462" s="226" t="s">
        <v>665</v>
      </c>
      <c r="F1462" s="226">
        <v>0</v>
      </c>
      <c r="G1462" s="226">
        <v>0</v>
      </c>
    </row>
    <row r="1463" spans="1:7">
      <c r="A1463" s="226" t="s">
        <v>639</v>
      </c>
      <c r="B1463" s="226" t="s">
        <v>1235</v>
      </c>
      <c r="C1463" s="226" t="s">
        <v>625</v>
      </c>
      <c r="D1463" s="226" t="s">
        <v>5</v>
      </c>
      <c r="E1463" s="226" t="s">
        <v>666</v>
      </c>
      <c r="F1463" s="226">
        <v>0</v>
      </c>
      <c r="G1463" s="226">
        <v>0</v>
      </c>
    </row>
    <row r="1464" spans="1:7">
      <c r="A1464" s="226" t="s">
        <v>639</v>
      </c>
      <c r="B1464" s="226" t="s">
        <v>1235</v>
      </c>
      <c r="C1464" s="226" t="s">
        <v>625</v>
      </c>
      <c r="D1464" s="226" t="s">
        <v>5</v>
      </c>
      <c r="E1464" s="226" t="s">
        <v>667</v>
      </c>
      <c r="F1464" s="226">
        <v>0</v>
      </c>
      <c r="G1464" s="226">
        <v>0</v>
      </c>
    </row>
    <row r="1465" spans="1:7">
      <c r="A1465" s="226" t="s">
        <v>639</v>
      </c>
      <c r="B1465" s="226" t="s">
        <v>1235</v>
      </c>
      <c r="C1465" s="226" t="s">
        <v>625</v>
      </c>
      <c r="D1465" s="226" t="s">
        <v>88</v>
      </c>
      <c r="E1465" s="226" t="s">
        <v>618</v>
      </c>
      <c r="F1465" s="226">
        <v>0</v>
      </c>
      <c r="G1465" s="226">
        <v>0</v>
      </c>
    </row>
    <row r="1466" spans="1:7">
      <c r="A1466" s="226" t="s">
        <v>639</v>
      </c>
      <c r="B1466" s="226" t="s">
        <v>1235</v>
      </c>
      <c r="C1466" s="226" t="s">
        <v>625</v>
      </c>
      <c r="D1466" s="226" t="s">
        <v>88</v>
      </c>
      <c r="E1466" s="226" t="s">
        <v>619</v>
      </c>
      <c r="F1466" s="226">
        <v>0.37079892588658198</v>
      </c>
      <c r="G1466" s="226">
        <v>0.3706666666666667</v>
      </c>
    </row>
    <row r="1467" spans="1:7">
      <c r="A1467" s="226" t="s">
        <v>639</v>
      </c>
      <c r="B1467" s="226" t="s">
        <v>1235</v>
      </c>
      <c r="C1467" s="226" t="s">
        <v>625</v>
      </c>
      <c r="D1467" s="226" t="s">
        <v>88</v>
      </c>
      <c r="E1467" s="226" t="s">
        <v>620</v>
      </c>
      <c r="F1467" s="226">
        <v>0.37079892588658198</v>
      </c>
      <c r="G1467" s="226">
        <v>0.3706666666666667</v>
      </c>
    </row>
    <row r="1468" spans="1:7">
      <c r="A1468" s="226" t="s">
        <v>639</v>
      </c>
      <c r="B1468" s="226" t="s">
        <v>1235</v>
      </c>
      <c r="C1468" s="226" t="s">
        <v>625</v>
      </c>
      <c r="D1468" s="226" t="s">
        <v>88</v>
      </c>
      <c r="E1468" s="226" t="s">
        <v>660</v>
      </c>
      <c r="F1468" s="226">
        <v>0.37079892588658198</v>
      </c>
      <c r="G1468" s="226">
        <v>0.3706666666666667</v>
      </c>
    </row>
    <row r="1469" spans="1:7">
      <c r="A1469" s="226" t="s">
        <v>639</v>
      </c>
      <c r="B1469" s="226" t="s">
        <v>1235</v>
      </c>
      <c r="C1469" s="226" t="s">
        <v>625</v>
      </c>
      <c r="D1469" s="226" t="s">
        <v>88</v>
      </c>
      <c r="E1469" s="226" t="s">
        <v>661</v>
      </c>
      <c r="F1469" s="226">
        <v>0.37079892588658198</v>
      </c>
      <c r="G1469" s="226">
        <v>0.3706666666666667</v>
      </c>
    </row>
    <row r="1470" spans="1:7">
      <c r="A1470" s="226" t="s">
        <v>639</v>
      </c>
      <c r="B1470" s="226" t="s">
        <v>1235</v>
      </c>
      <c r="C1470" s="226" t="s">
        <v>625</v>
      </c>
      <c r="D1470" s="226" t="s">
        <v>88</v>
      </c>
      <c r="E1470" s="226" t="s">
        <v>662</v>
      </c>
      <c r="F1470" s="226">
        <v>0.37079892588658198</v>
      </c>
      <c r="G1470" s="226">
        <v>0.3706666666666667</v>
      </c>
    </row>
    <row r="1471" spans="1:7">
      <c r="A1471" s="226" t="s">
        <v>639</v>
      </c>
      <c r="B1471" s="226" t="s">
        <v>1235</v>
      </c>
      <c r="C1471" s="226" t="s">
        <v>625</v>
      </c>
      <c r="D1471" s="226" t="s">
        <v>88</v>
      </c>
      <c r="E1471" s="226" t="s">
        <v>663</v>
      </c>
      <c r="F1471" s="226">
        <v>0.37079892588658198</v>
      </c>
      <c r="G1471" s="226">
        <v>0.3706666666666667</v>
      </c>
    </row>
    <row r="1472" spans="1:7">
      <c r="A1472" s="226" t="s">
        <v>639</v>
      </c>
      <c r="B1472" s="226" t="s">
        <v>1235</v>
      </c>
      <c r="C1472" s="226" t="s">
        <v>625</v>
      </c>
      <c r="D1472" s="226" t="s">
        <v>88</v>
      </c>
      <c r="E1472" s="226" t="s">
        <v>664</v>
      </c>
      <c r="F1472" s="226">
        <v>8.1815928911127114E-2</v>
      </c>
      <c r="G1472" s="226">
        <v>0</v>
      </c>
    </row>
    <row r="1473" spans="1:7">
      <c r="A1473" s="226" t="s">
        <v>639</v>
      </c>
      <c r="B1473" s="226" t="s">
        <v>1235</v>
      </c>
      <c r="C1473" s="226" t="s">
        <v>625</v>
      </c>
      <c r="D1473" s="226" t="s">
        <v>88</v>
      </c>
      <c r="E1473" s="226" t="s">
        <v>665</v>
      </c>
      <c r="F1473" s="226">
        <v>8.1815928911127114E-2</v>
      </c>
      <c r="G1473" s="226">
        <v>0</v>
      </c>
    </row>
    <row r="1474" spans="1:7">
      <c r="A1474" s="226" t="s">
        <v>639</v>
      </c>
      <c r="B1474" s="226" t="s">
        <v>1235</v>
      </c>
      <c r="C1474" s="226" t="s">
        <v>625</v>
      </c>
      <c r="D1474" s="226" t="s">
        <v>88</v>
      </c>
      <c r="E1474" s="226" t="s">
        <v>666</v>
      </c>
      <c r="F1474" s="226">
        <v>8.1815928911127114E-2</v>
      </c>
      <c r="G1474" s="226">
        <v>0</v>
      </c>
    </row>
    <row r="1475" spans="1:7">
      <c r="A1475" s="226" t="s">
        <v>639</v>
      </c>
      <c r="B1475" s="226" t="s">
        <v>1235</v>
      </c>
      <c r="C1475" s="226" t="s">
        <v>625</v>
      </c>
      <c r="D1475" s="226" t="s">
        <v>88</v>
      </c>
      <c r="E1475" s="226" t="s">
        <v>667</v>
      </c>
      <c r="F1475" s="226">
        <v>8.1815928911127114E-2</v>
      </c>
      <c r="G1475" s="226">
        <v>0</v>
      </c>
    </row>
    <row r="1476" spans="1:7">
      <c r="A1476" s="226" t="s">
        <v>639</v>
      </c>
      <c r="B1476" s="226" t="s">
        <v>1235</v>
      </c>
      <c r="C1476" s="226" t="s">
        <v>625</v>
      </c>
      <c r="D1476" s="226" t="s">
        <v>89</v>
      </c>
      <c r="E1476" s="226" t="s">
        <v>618</v>
      </c>
      <c r="F1476" s="226">
        <v>2.75E-2</v>
      </c>
      <c r="G1476" s="226">
        <v>2.75E-2</v>
      </c>
    </row>
    <row r="1477" spans="1:7">
      <c r="A1477" s="226" t="s">
        <v>639</v>
      </c>
      <c r="B1477" s="226" t="s">
        <v>1235</v>
      </c>
      <c r="C1477" s="226" t="s">
        <v>625</v>
      </c>
      <c r="D1477" s="226" t="s">
        <v>89</v>
      </c>
      <c r="E1477" s="226" t="s">
        <v>619</v>
      </c>
      <c r="F1477" s="226">
        <v>0.42658333333333331</v>
      </c>
      <c r="G1477" s="226">
        <v>0.42658333333333331</v>
      </c>
    </row>
    <row r="1478" spans="1:7">
      <c r="A1478" s="226" t="s">
        <v>639</v>
      </c>
      <c r="B1478" s="226" t="s">
        <v>1235</v>
      </c>
      <c r="C1478" s="226" t="s">
        <v>625</v>
      </c>
      <c r="D1478" s="226" t="s">
        <v>89</v>
      </c>
      <c r="E1478" s="226" t="s">
        <v>620</v>
      </c>
      <c r="F1478" s="226">
        <v>0.42658333333333331</v>
      </c>
      <c r="G1478" s="226">
        <v>0.42658333333333331</v>
      </c>
    </row>
    <row r="1479" spans="1:7">
      <c r="A1479" s="226" t="s">
        <v>639</v>
      </c>
      <c r="B1479" s="226" t="s">
        <v>1235</v>
      </c>
      <c r="C1479" s="226" t="s">
        <v>625</v>
      </c>
      <c r="D1479" s="226" t="s">
        <v>89</v>
      </c>
      <c r="E1479" s="226" t="s">
        <v>660</v>
      </c>
      <c r="F1479" s="226">
        <v>0.42658333333333331</v>
      </c>
      <c r="G1479" s="226">
        <v>0.42658333333333331</v>
      </c>
    </row>
    <row r="1480" spans="1:7">
      <c r="A1480" s="226" t="s">
        <v>639</v>
      </c>
      <c r="B1480" s="226" t="s">
        <v>1235</v>
      </c>
      <c r="C1480" s="226" t="s">
        <v>625</v>
      </c>
      <c r="D1480" s="226" t="s">
        <v>89</v>
      </c>
      <c r="E1480" s="226" t="s">
        <v>661</v>
      </c>
      <c r="F1480" s="226">
        <v>0.42658333333333331</v>
      </c>
      <c r="G1480" s="226">
        <v>0.42658333333333331</v>
      </c>
    </row>
    <row r="1481" spans="1:7">
      <c r="A1481" s="226" t="s">
        <v>639</v>
      </c>
      <c r="B1481" s="226" t="s">
        <v>1235</v>
      </c>
      <c r="C1481" s="226" t="s">
        <v>625</v>
      </c>
      <c r="D1481" s="226" t="s">
        <v>89</v>
      </c>
      <c r="E1481" s="226" t="s">
        <v>662</v>
      </c>
      <c r="F1481" s="226">
        <v>0.42658333333333331</v>
      </c>
      <c r="G1481" s="226">
        <v>0.42658333333333331</v>
      </c>
    </row>
    <row r="1482" spans="1:7">
      <c r="A1482" s="226" t="s">
        <v>639</v>
      </c>
      <c r="B1482" s="226" t="s">
        <v>1235</v>
      </c>
      <c r="C1482" s="226" t="s">
        <v>625</v>
      </c>
      <c r="D1482" s="226" t="s">
        <v>89</v>
      </c>
      <c r="E1482" s="226" t="s">
        <v>663</v>
      </c>
      <c r="F1482" s="226">
        <v>0.42658333333333331</v>
      </c>
      <c r="G1482" s="226">
        <v>0.42658333333333331</v>
      </c>
    </row>
    <row r="1483" spans="1:7">
      <c r="A1483" s="226" t="s">
        <v>639</v>
      </c>
      <c r="B1483" s="226" t="s">
        <v>1235</v>
      </c>
      <c r="C1483" s="226" t="s">
        <v>625</v>
      </c>
      <c r="D1483" s="226" t="s">
        <v>89</v>
      </c>
      <c r="E1483" s="226" t="s">
        <v>664</v>
      </c>
      <c r="F1483" s="226">
        <v>9.9110208994677762E-2</v>
      </c>
      <c r="G1483" s="226">
        <v>0</v>
      </c>
    </row>
    <row r="1484" spans="1:7">
      <c r="A1484" s="226" t="s">
        <v>639</v>
      </c>
      <c r="B1484" s="226" t="s">
        <v>1235</v>
      </c>
      <c r="C1484" s="226" t="s">
        <v>625</v>
      </c>
      <c r="D1484" s="226" t="s">
        <v>89</v>
      </c>
      <c r="E1484" s="226" t="s">
        <v>665</v>
      </c>
      <c r="F1484" s="226">
        <v>9.9110208994677762E-2</v>
      </c>
      <c r="G1484" s="226">
        <v>0</v>
      </c>
    </row>
    <row r="1485" spans="1:7">
      <c r="A1485" s="226" t="s">
        <v>639</v>
      </c>
      <c r="B1485" s="226" t="s">
        <v>1235</v>
      </c>
      <c r="C1485" s="226" t="s">
        <v>625</v>
      </c>
      <c r="D1485" s="226" t="s">
        <v>89</v>
      </c>
      <c r="E1485" s="226" t="s">
        <v>666</v>
      </c>
      <c r="F1485" s="226">
        <v>9.9110208994677762E-2</v>
      </c>
      <c r="G1485" s="226">
        <v>0</v>
      </c>
    </row>
    <row r="1486" spans="1:7">
      <c r="A1486" s="226" t="s">
        <v>639</v>
      </c>
      <c r="B1486" s="226" t="s">
        <v>1235</v>
      </c>
      <c r="C1486" s="226" t="s">
        <v>625</v>
      </c>
      <c r="D1486" s="226" t="s">
        <v>89</v>
      </c>
      <c r="E1486" s="226" t="s">
        <v>667</v>
      </c>
      <c r="F1486" s="226">
        <v>9.9110208994677762E-2</v>
      </c>
      <c r="G1486" s="226">
        <v>0</v>
      </c>
    </row>
    <row r="1487" spans="1:7">
      <c r="A1487" s="226" t="s">
        <v>639</v>
      </c>
      <c r="B1487" s="226" t="s">
        <v>1235</v>
      </c>
      <c r="C1487" s="226" t="s">
        <v>963</v>
      </c>
      <c r="D1487" s="226" t="s">
        <v>20</v>
      </c>
      <c r="E1487" s="226" t="s">
        <v>618</v>
      </c>
      <c r="F1487" s="226">
        <v>0</v>
      </c>
      <c r="G1487" s="226">
        <v>0</v>
      </c>
    </row>
    <row r="1488" spans="1:7">
      <c r="A1488" s="226" t="s">
        <v>639</v>
      </c>
      <c r="B1488" s="226" t="s">
        <v>1235</v>
      </c>
      <c r="C1488" s="226" t="s">
        <v>963</v>
      </c>
      <c r="D1488" s="226" t="s">
        <v>20</v>
      </c>
      <c r="E1488" s="226" t="s">
        <v>619</v>
      </c>
      <c r="F1488" s="226">
        <v>0</v>
      </c>
      <c r="G1488" s="226">
        <v>0</v>
      </c>
    </row>
    <row r="1489" spans="1:7">
      <c r="A1489" s="226" t="s">
        <v>639</v>
      </c>
      <c r="B1489" s="226" t="s">
        <v>1235</v>
      </c>
      <c r="C1489" s="226" t="s">
        <v>963</v>
      </c>
      <c r="D1489" s="226" t="s">
        <v>20</v>
      </c>
      <c r="E1489" s="226" t="s">
        <v>620</v>
      </c>
      <c r="F1489" s="226">
        <v>0</v>
      </c>
      <c r="G1489" s="226">
        <v>0</v>
      </c>
    </row>
    <row r="1490" spans="1:7">
      <c r="A1490" s="226" t="s">
        <v>639</v>
      </c>
      <c r="B1490" s="226" t="s">
        <v>1235</v>
      </c>
      <c r="C1490" s="226" t="s">
        <v>963</v>
      </c>
      <c r="D1490" s="226" t="s">
        <v>20</v>
      </c>
      <c r="E1490" s="226" t="s">
        <v>660</v>
      </c>
      <c r="F1490" s="226">
        <v>0</v>
      </c>
      <c r="G1490" s="226">
        <v>0</v>
      </c>
    </row>
    <row r="1491" spans="1:7">
      <c r="A1491" s="226" t="s">
        <v>639</v>
      </c>
      <c r="B1491" s="226" t="s">
        <v>1235</v>
      </c>
      <c r="C1491" s="226" t="s">
        <v>963</v>
      </c>
      <c r="D1491" s="226" t="s">
        <v>20</v>
      </c>
      <c r="E1491" s="226" t="s">
        <v>661</v>
      </c>
      <c r="F1491" s="226">
        <v>0</v>
      </c>
      <c r="G1491" s="226">
        <v>0</v>
      </c>
    </row>
    <row r="1492" spans="1:7">
      <c r="A1492" s="226" t="s">
        <v>639</v>
      </c>
      <c r="B1492" s="226" t="s">
        <v>1235</v>
      </c>
      <c r="C1492" s="226" t="s">
        <v>963</v>
      </c>
      <c r="D1492" s="226" t="s">
        <v>20</v>
      </c>
      <c r="E1492" s="226" t="s">
        <v>662</v>
      </c>
      <c r="F1492" s="226">
        <v>0</v>
      </c>
      <c r="G1492" s="226">
        <v>0</v>
      </c>
    </row>
    <row r="1493" spans="1:7">
      <c r="A1493" s="226" t="s">
        <v>639</v>
      </c>
      <c r="B1493" s="226" t="s">
        <v>1235</v>
      </c>
      <c r="C1493" s="226" t="s">
        <v>963</v>
      </c>
      <c r="D1493" s="226" t="s">
        <v>20</v>
      </c>
      <c r="E1493" s="226" t="s">
        <v>663</v>
      </c>
      <c r="F1493" s="226">
        <v>0</v>
      </c>
      <c r="G1493" s="226">
        <v>0</v>
      </c>
    </row>
    <row r="1494" spans="1:7">
      <c r="A1494" s="226" t="s">
        <v>639</v>
      </c>
      <c r="B1494" s="226" t="s">
        <v>1235</v>
      </c>
      <c r="C1494" s="226" t="s">
        <v>963</v>
      </c>
      <c r="D1494" s="226" t="s">
        <v>20</v>
      </c>
      <c r="E1494" s="226" t="s">
        <v>664</v>
      </c>
      <c r="F1494" s="226">
        <v>0</v>
      </c>
      <c r="G1494" s="226">
        <v>0</v>
      </c>
    </row>
    <row r="1495" spans="1:7">
      <c r="A1495" s="226" t="s">
        <v>639</v>
      </c>
      <c r="B1495" s="226" t="s">
        <v>1235</v>
      </c>
      <c r="C1495" s="226" t="s">
        <v>963</v>
      </c>
      <c r="D1495" s="226" t="s">
        <v>20</v>
      </c>
      <c r="E1495" s="226" t="s">
        <v>665</v>
      </c>
      <c r="F1495" s="226">
        <v>0</v>
      </c>
      <c r="G1495" s="226">
        <v>0</v>
      </c>
    </row>
    <row r="1496" spans="1:7">
      <c r="A1496" s="226" t="s">
        <v>639</v>
      </c>
      <c r="B1496" s="226" t="s">
        <v>1235</v>
      </c>
      <c r="C1496" s="226" t="s">
        <v>963</v>
      </c>
      <c r="D1496" s="226" t="s">
        <v>20</v>
      </c>
      <c r="E1496" s="226" t="s">
        <v>666</v>
      </c>
      <c r="F1496" s="226">
        <v>0</v>
      </c>
      <c r="G1496" s="226">
        <v>0</v>
      </c>
    </row>
    <row r="1497" spans="1:7">
      <c r="A1497" s="226" t="s">
        <v>639</v>
      </c>
      <c r="B1497" s="226" t="s">
        <v>1235</v>
      </c>
      <c r="C1497" s="226" t="s">
        <v>963</v>
      </c>
      <c r="D1497" s="226" t="s">
        <v>20</v>
      </c>
      <c r="E1497" s="226" t="s">
        <v>667</v>
      </c>
      <c r="F1497" s="226">
        <v>0</v>
      </c>
      <c r="G1497" s="226">
        <v>0</v>
      </c>
    </row>
    <row r="1498" spans="1:7">
      <c r="A1498" s="226" t="s">
        <v>639</v>
      </c>
      <c r="B1498" s="226" t="s">
        <v>1235</v>
      </c>
      <c r="C1498" s="226" t="s">
        <v>627</v>
      </c>
      <c r="D1498" s="226" t="s">
        <v>11</v>
      </c>
      <c r="E1498" s="226" t="s">
        <v>618</v>
      </c>
      <c r="F1498" s="226">
        <v>0</v>
      </c>
      <c r="G1498" s="226">
        <v>0</v>
      </c>
    </row>
    <row r="1499" spans="1:7">
      <c r="A1499" s="226" t="s">
        <v>639</v>
      </c>
      <c r="B1499" s="226" t="s">
        <v>1235</v>
      </c>
      <c r="C1499" s="226" t="s">
        <v>627</v>
      </c>
      <c r="D1499" s="226" t="s">
        <v>11</v>
      </c>
      <c r="E1499" s="226" t="s">
        <v>619</v>
      </c>
      <c r="F1499" s="226">
        <v>0</v>
      </c>
      <c r="G1499" s="226">
        <v>0</v>
      </c>
    </row>
    <row r="1500" spans="1:7">
      <c r="A1500" s="226" t="s">
        <v>639</v>
      </c>
      <c r="B1500" s="226" t="s">
        <v>1235</v>
      </c>
      <c r="C1500" s="226" t="s">
        <v>627</v>
      </c>
      <c r="D1500" s="226" t="s">
        <v>11</v>
      </c>
      <c r="E1500" s="226" t="s">
        <v>620</v>
      </c>
      <c r="F1500" s="226">
        <v>0</v>
      </c>
      <c r="G1500" s="226">
        <v>0</v>
      </c>
    </row>
    <row r="1501" spans="1:7">
      <c r="A1501" s="226" t="s">
        <v>639</v>
      </c>
      <c r="B1501" s="226" t="s">
        <v>1235</v>
      </c>
      <c r="C1501" s="226" t="s">
        <v>627</v>
      </c>
      <c r="D1501" s="226" t="s">
        <v>11</v>
      </c>
      <c r="E1501" s="226" t="s">
        <v>660</v>
      </c>
      <c r="F1501" s="226">
        <v>0</v>
      </c>
      <c r="G1501" s="226">
        <v>0</v>
      </c>
    </row>
    <row r="1502" spans="1:7">
      <c r="A1502" s="226" t="s">
        <v>639</v>
      </c>
      <c r="B1502" s="226" t="s">
        <v>1235</v>
      </c>
      <c r="C1502" s="226" t="s">
        <v>627</v>
      </c>
      <c r="D1502" s="226" t="s">
        <v>11</v>
      </c>
      <c r="E1502" s="226" t="s">
        <v>661</v>
      </c>
      <c r="F1502" s="226">
        <v>0</v>
      </c>
      <c r="G1502" s="226">
        <v>0</v>
      </c>
    </row>
    <row r="1503" spans="1:7">
      <c r="A1503" s="226" t="s">
        <v>639</v>
      </c>
      <c r="B1503" s="226" t="s">
        <v>1235</v>
      </c>
      <c r="C1503" s="226" t="s">
        <v>627</v>
      </c>
      <c r="D1503" s="226" t="s">
        <v>11</v>
      </c>
      <c r="E1503" s="226" t="s">
        <v>662</v>
      </c>
      <c r="F1503" s="226">
        <v>0</v>
      </c>
      <c r="G1503" s="226">
        <v>0</v>
      </c>
    </row>
    <row r="1504" spans="1:7">
      <c r="A1504" s="226" t="s">
        <v>639</v>
      </c>
      <c r="B1504" s="226" t="s">
        <v>1235</v>
      </c>
      <c r="C1504" s="226" t="s">
        <v>627</v>
      </c>
      <c r="D1504" s="226" t="s">
        <v>11</v>
      </c>
      <c r="E1504" s="226" t="s">
        <v>663</v>
      </c>
      <c r="F1504" s="226">
        <v>4.9825936109701555E-2</v>
      </c>
      <c r="G1504" s="226">
        <v>0</v>
      </c>
    </row>
    <row r="1505" spans="1:7">
      <c r="A1505" s="226" t="s">
        <v>639</v>
      </c>
      <c r="B1505" s="226" t="s">
        <v>1235</v>
      </c>
      <c r="C1505" s="226" t="s">
        <v>627</v>
      </c>
      <c r="D1505" s="226" t="s">
        <v>11</v>
      </c>
      <c r="E1505" s="226" t="s">
        <v>664</v>
      </c>
      <c r="F1505" s="226">
        <v>4.9825936109701555E-2</v>
      </c>
      <c r="G1505" s="226">
        <v>0</v>
      </c>
    </row>
    <row r="1506" spans="1:7">
      <c r="A1506" s="226" t="s">
        <v>639</v>
      </c>
      <c r="B1506" s="226" t="s">
        <v>1235</v>
      </c>
      <c r="C1506" s="226" t="s">
        <v>627</v>
      </c>
      <c r="D1506" s="226" t="s">
        <v>11</v>
      </c>
      <c r="E1506" s="226" t="s">
        <v>665</v>
      </c>
      <c r="F1506" s="226">
        <v>4.9825936109701555E-2</v>
      </c>
      <c r="G1506" s="226">
        <v>0</v>
      </c>
    </row>
    <row r="1507" spans="1:7">
      <c r="A1507" s="226" t="s">
        <v>639</v>
      </c>
      <c r="B1507" s="226" t="s">
        <v>1235</v>
      </c>
      <c r="C1507" s="226" t="s">
        <v>627</v>
      </c>
      <c r="D1507" s="226" t="s">
        <v>11</v>
      </c>
      <c r="E1507" s="226" t="s">
        <v>666</v>
      </c>
      <c r="F1507" s="226">
        <v>4.9825936109701555E-2</v>
      </c>
      <c r="G1507" s="226">
        <v>0</v>
      </c>
    </row>
    <row r="1508" spans="1:7">
      <c r="A1508" s="226" t="s">
        <v>639</v>
      </c>
      <c r="B1508" s="226" t="s">
        <v>1235</v>
      </c>
      <c r="C1508" s="226" t="s">
        <v>627</v>
      </c>
      <c r="D1508" s="226" t="s">
        <v>11</v>
      </c>
      <c r="E1508" s="226" t="s">
        <v>667</v>
      </c>
      <c r="F1508" s="226">
        <v>4.9825936109701555E-2</v>
      </c>
      <c r="G1508" s="226">
        <v>0</v>
      </c>
    </row>
    <row r="1509" spans="1:7">
      <c r="A1509" s="226" t="s">
        <v>639</v>
      </c>
      <c r="B1509" s="226" t="s">
        <v>1235</v>
      </c>
      <c r="C1509" s="226" t="s">
        <v>627</v>
      </c>
      <c r="D1509" s="226" t="s">
        <v>12</v>
      </c>
      <c r="E1509" s="226" t="s">
        <v>618</v>
      </c>
      <c r="F1509" s="226">
        <v>0</v>
      </c>
      <c r="G1509" s="226">
        <v>0</v>
      </c>
    </row>
    <row r="1510" spans="1:7">
      <c r="A1510" s="226" t="s">
        <v>639</v>
      </c>
      <c r="B1510" s="226" t="s">
        <v>1235</v>
      </c>
      <c r="C1510" s="226" t="s">
        <v>627</v>
      </c>
      <c r="D1510" s="226" t="s">
        <v>12</v>
      </c>
      <c r="E1510" s="226" t="s">
        <v>619</v>
      </c>
      <c r="F1510" s="226">
        <v>1.7151449860849273E-2</v>
      </c>
      <c r="G1510" s="226">
        <v>1.6666666666666666E-2</v>
      </c>
    </row>
    <row r="1511" spans="1:7">
      <c r="A1511" s="226" t="s">
        <v>639</v>
      </c>
      <c r="B1511" s="226" t="s">
        <v>1235</v>
      </c>
      <c r="C1511" s="226" t="s">
        <v>627</v>
      </c>
      <c r="D1511" s="226" t="s">
        <v>12</v>
      </c>
      <c r="E1511" s="226" t="s">
        <v>620</v>
      </c>
      <c r="F1511" s="226">
        <v>1.7151449860849273E-2</v>
      </c>
      <c r="G1511" s="226">
        <v>1.6666666666666666E-2</v>
      </c>
    </row>
    <row r="1512" spans="1:7">
      <c r="A1512" s="226" t="s">
        <v>639</v>
      </c>
      <c r="B1512" s="226" t="s">
        <v>1235</v>
      </c>
      <c r="C1512" s="226" t="s">
        <v>627</v>
      </c>
      <c r="D1512" s="226" t="s">
        <v>12</v>
      </c>
      <c r="E1512" s="226" t="s">
        <v>660</v>
      </c>
      <c r="F1512" s="226">
        <v>1.7151449860849273E-2</v>
      </c>
      <c r="G1512" s="226">
        <v>1.6666666666666666E-2</v>
      </c>
    </row>
    <row r="1513" spans="1:7">
      <c r="A1513" s="226" t="s">
        <v>639</v>
      </c>
      <c r="B1513" s="226" t="s">
        <v>1235</v>
      </c>
      <c r="C1513" s="226" t="s">
        <v>627</v>
      </c>
      <c r="D1513" s="226" t="s">
        <v>12</v>
      </c>
      <c r="E1513" s="226" t="s">
        <v>661</v>
      </c>
      <c r="F1513" s="226">
        <v>1.7151449860849273E-2</v>
      </c>
      <c r="G1513" s="226">
        <v>1.6666666666666666E-2</v>
      </c>
    </row>
    <row r="1514" spans="1:7">
      <c r="A1514" s="226" t="s">
        <v>639</v>
      </c>
      <c r="B1514" s="226" t="s">
        <v>1235</v>
      </c>
      <c r="C1514" s="226" t="s">
        <v>627</v>
      </c>
      <c r="D1514" s="226" t="s">
        <v>12</v>
      </c>
      <c r="E1514" s="226" t="s">
        <v>662</v>
      </c>
      <c r="F1514" s="226">
        <v>1.7151449860849273E-2</v>
      </c>
      <c r="G1514" s="226">
        <v>1.6666666666666666E-2</v>
      </c>
    </row>
    <row r="1515" spans="1:7">
      <c r="A1515" s="226" t="s">
        <v>639</v>
      </c>
      <c r="B1515" s="226" t="s">
        <v>1235</v>
      </c>
      <c r="C1515" s="226" t="s">
        <v>627</v>
      </c>
      <c r="D1515" s="226" t="s">
        <v>12</v>
      </c>
      <c r="E1515" s="226" t="s">
        <v>663</v>
      </c>
      <c r="F1515" s="226">
        <v>2.3392416714853845E-2</v>
      </c>
      <c r="G1515" s="226">
        <v>1.6666666666666666E-2</v>
      </c>
    </row>
    <row r="1516" spans="1:7">
      <c r="A1516" s="226" t="s">
        <v>639</v>
      </c>
      <c r="B1516" s="226" t="s">
        <v>1235</v>
      </c>
      <c r="C1516" s="226" t="s">
        <v>627</v>
      </c>
      <c r="D1516" s="226" t="s">
        <v>12</v>
      </c>
      <c r="E1516" s="226" t="s">
        <v>664</v>
      </c>
      <c r="F1516" s="226">
        <v>2.3392416714853845E-2</v>
      </c>
      <c r="G1516" s="226">
        <v>0</v>
      </c>
    </row>
    <row r="1517" spans="1:7">
      <c r="A1517" s="226" t="s">
        <v>639</v>
      </c>
      <c r="B1517" s="226" t="s">
        <v>1235</v>
      </c>
      <c r="C1517" s="226" t="s">
        <v>627</v>
      </c>
      <c r="D1517" s="226" t="s">
        <v>12</v>
      </c>
      <c r="E1517" s="226" t="s">
        <v>665</v>
      </c>
      <c r="F1517" s="226">
        <v>2.3392416714853845E-2</v>
      </c>
      <c r="G1517" s="226">
        <v>0</v>
      </c>
    </row>
    <row r="1518" spans="1:7">
      <c r="A1518" s="226" t="s">
        <v>639</v>
      </c>
      <c r="B1518" s="226" t="s">
        <v>1235</v>
      </c>
      <c r="C1518" s="226" t="s">
        <v>627</v>
      </c>
      <c r="D1518" s="226" t="s">
        <v>12</v>
      </c>
      <c r="E1518" s="226" t="s">
        <v>666</v>
      </c>
      <c r="F1518" s="226">
        <v>2.3392416714853845E-2</v>
      </c>
      <c r="G1518" s="226">
        <v>0</v>
      </c>
    </row>
    <row r="1519" spans="1:7">
      <c r="A1519" s="226" t="s">
        <v>639</v>
      </c>
      <c r="B1519" s="226" t="s">
        <v>1235</v>
      </c>
      <c r="C1519" s="226" t="s">
        <v>627</v>
      </c>
      <c r="D1519" s="226" t="s">
        <v>12</v>
      </c>
      <c r="E1519" s="226" t="s">
        <v>667</v>
      </c>
      <c r="F1519" s="226">
        <v>2.3392416714853845E-2</v>
      </c>
      <c r="G1519" s="226">
        <v>0</v>
      </c>
    </row>
    <row r="1520" spans="1:7">
      <c r="A1520" s="226" t="s">
        <v>639</v>
      </c>
      <c r="B1520" s="226" t="s">
        <v>1235</v>
      </c>
      <c r="C1520" s="226" t="s">
        <v>626</v>
      </c>
      <c r="D1520" s="226" t="s">
        <v>9</v>
      </c>
      <c r="E1520" s="226" t="s">
        <v>618</v>
      </c>
      <c r="F1520" s="226">
        <v>1E-3</v>
      </c>
      <c r="G1520" s="226">
        <v>1E-3</v>
      </c>
    </row>
    <row r="1521" spans="1:7">
      <c r="A1521" s="226" t="s">
        <v>639</v>
      </c>
      <c r="B1521" s="226" t="s">
        <v>1235</v>
      </c>
      <c r="C1521" s="226" t="s">
        <v>626</v>
      </c>
      <c r="D1521" s="226" t="s">
        <v>9</v>
      </c>
      <c r="E1521" s="226" t="s">
        <v>619</v>
      </c>
      <c r="F1521" s="226">
        <v>6.6666666666666666E-2</v>
      </c>
      <c r="G1521" s="226">
        <v>6.6666666666666666E-2</v>
      </c>
    </row>
    <row r="1522" spans="1:7">
      <c r="A1522" s="226" t="s">
        <v>639</v>
      </c>
      <c r="B1522" s="226" t="s">
        <v>1235</v>
      </c>
      <c r="C1522" s="226" t="s">
        <v>626</v>
      </c>
      <c r="D1522" s="226" t="s">
        <v>9</v>
      </c>
      <c r="E1522" s="226" t="s">
        <v>620</v>
      </c>
      <c r="F1522" s="226">
        <v>6.6666666666666666E-2</v>
      </c>
      <c r="G1522" s="226">
        <v>6.6666666666666666E-2</v>
      </c>
    </row>
    <row r="1523" spans="1:7">
      <c r="A1523" s="226" t="s">
        <v>639</v>
      </c>
      <c r="B1523" s="226" t="s">
        <v>1235</v>
      </c>
      <c r="C1523" s="226" t="s">
        <v>626</v>
      </c>
      <c r="D1523" s="226" t="s">
        <v>9</v>
      </c>
      <c r="E1523" s="226" t="s">
        <v>660</v>
      </c>
      <c r="F1523" s="226">
        <v>6.6666666666666666E-2</v>
      </c>
      <c r="G1523" s="226">
        <v>6.6666666666666666E-2</v>
      </c>
    </row>
    <row r="1524" spans="1:7">
      <c r="A1524" s="226" t="s">
        <v>639</v>
      </c>
      <c r="B1524" s="226" t="s">
        <v>1235</v>
      </c>
      <c r="C1524" s="226" t="s">
        <v>626</v>
      </c>
      <c r="D1524" s="226" t="s">
        <v>9</v>
      </c>
      <c r="E1524" s="226" t="s">
        <v>661</v>
      </c>
      <c r="F1524" s="226">
        <v>6.6666666666666666E-2</v>
      </c>
      <c r="G1524" s="226">
        <v>6.6666666666666666E-2</v>
      </c>
    </row>
    <row r="1525" spans="1:7">
      <c r="A1525" s="226" t="s">
        <v>639</v>
      </c>
      <c r="B1525" s="226" t="s">
        <v>1235</v>
      </c>
      <c r="C1525" s="226" t="s">
        <v>626</v>
      </c>
      <c r="D1525" s="226" t="s">
        <v>9</v>
      </c>
      <c r="E1525" s="226" t="s">
        <v>662</v>
      </c>
      <c r="F1525" s="226">
        <v>6.6666666666666666E-2</v>
      </c>
      <c r="G1525" s="226">
        <v>6.6666666666666666E-2</v>
      </c>
    </row>
    <row r="1526" spans="1:7">
      <c r="A1526" s="226" t="s">
        <v>639</v>
      </c>
      <c r="B1526" s="226" t="s">
        <v>1235</v>
      </c>
      <c r="C1526" s="226" t="s">
        <v>626</v>
      </c>
      <c r="D1526" s="226" t="s">
        <v>9</v>
      </c>
      <c r="E1526" s="226" t="s">
        <v>663</v>
      </c>
      <c r="F1526" s="226">
        <v>6.6666666666666666E-2</v>
      </c>
      <c r="G1526" s="226">
        <v>6.6666666666666666E-2</v>
      </c>
    </row>
    <row r="1527" spans="1:7">
      <c r="A1527" s="226" t="s">
        <v>639</v>
      </c>
      <c r="B1527" s="226" t="s">
        <v>1235</v>
      </c>
      <c r="C1527" s="226" t="s">
        <v>626</v>
      </c>
      <c r="D1527" s="226" t="s">
        <v>9</v>
      </c>
      <c r="E1527" s="226" t="s">
        <v>664</v>
      </c>
      <c r="F1527" s="226">
        <v>0</v>
      </c>
      <c r="G1527" s="226">
        <v>0</v>
      </c>
    </row>
    <row r="1528" spans="1:7">
      <c r="A1528" s="226" t="s">
        <v>639</v>
      </c>
      <c r="B1528" s="226" t="s">
        <v>1235</v>
      </c>
      <c r="C1528" s="226" t="s">
        <v>626</v>
      </c>
      <c r="D1528" s="226" t="s">
        <v>9</v>
      </c>
      <c r="E1528" s="226" t="s">
        <v>665</v>
      </c>
      <c r="F1528" s="226">
        <v>0</v>
      </c>
      <c r="G1528" s="226">
        <v>0</v>
      </c>
    </row>
    <row r="1529" spans="1:7">
      <c r="A1529" s="226" t="s">
        <v>639</v>
      </c>
      <c r="B1529" s="226" t="s">
        <v>1235</v>
      </c>
      <c r="C1529" s="226" t="s">
        <v>626</v>
      </c>
      <c r="D1529" s="226" t="s">
        <v>9</v>
      </c>
      <c r="E1529" s="226" t="s">
        <v>666</v>
      </c>
      <c r="F1529" s="226">
        <v>0</v>
      </c>
      <c r="G1529" s="226">
        <v>0</v>
      </c>
    </row>
    <row r="1530" spans="1:7">
      <c r="A1530" s="226" t="s">
        <v>639</v>
      </c>
      <c r="B1530" s="226" t="s">
        <v>1235</v>
      </c>
      <c r="C1530" s="226" t="s">
        <v>626</v>
      </c>
      <c r="D1530" s="226" t="s">
        <v>9</v>
      </c>
      <c r="E1530" s="226" t="s">
        <v>667</v>
      </c>
      <c r="F1530" s="226">
        <v>0</v>
      </c>
      <c r="G1530" s="226">
        <v>0</v>
      </c>
    </row>
    <row r="1531" spans="1:7">
      <c r="A1531" s="226" t="s">
        <v>639</v>
      </c>
      <c r="B1531" s="226" t="s">
        <v>1235</v>
      </c>
      <c r="C1531" s="226" t="s">
        <v>626</v>
      </c>
      <c r="D1531" s="226" t="s">
        <v>10</v>
      </c>
      <c r="E1531" s="226" t="s">
        <v>618</v>
      </c>
      <c r="F1531" s="226">
        <v>0</v>
      </c>
      <c r="G1531" s="226">
        <v>0</v>
      </c>
    </row>
    <row r="1532" spans="1:7">
      <c r="A1532" s="226" t="s">
        <v>639</v>
      </c>
      <c r="B1532" s="226" t="s">
        <v>1235</v>
      </c>
      <c r="C1532" s="226" t="s">
        <v>626</v>
      </c>
      <c r="D1532" s="226" t="s">
        <v>10</v>
      </c>
      <c r="E1532" s="226" t="s">
        <v>619</v>
      </c>
      <c r="F1532" s="226">
        <v>0</v>
      </c>
      <c r="G1532" s="226">
        <v>0</v>
      </c>
    </row>
    <row r="1533" spans="1:7">
      <c r="A1533" s="226" t="s">
        <v>639</v>
      </c>
      <c r="B1533" s="226" t="s">
        <v>1235</v>
      </c>
      <c r="C1533" s="226" t="s">
        <v>626</v>
      </c>
      <c r="D1533" s="226" t="s">
        <v>10</v>
      </c>
      <c r="E1533" s="226" t="s">
        <v>620</v>
      </c>
      <c r="F1533" s="226">
        <v>0</v>
      </c>
      <c r="G1533" s="226">
        <v>0</v>
      </c>
    </row>
    <row r="1534" spans="1:7">
      <c r="A1534" s="226" t="s">
        <v>639</v>
      </c>
      <c r="B1534" s="226" t="s">
        <v>1235</v>
      </c>
      <c r="C1534" s="226" t="s">
        <v>626</v>
      </c>
      <c r="D1534" s="226" t="s">
        <v>10</v>
      </c>
      <c r="E1534" s="226" t="s">
        <v>660</v>
      </c>
      <c r="F1534" s="226">
        <v>0</v>
      </c>
      <c r="G1534" s="226">
        <v>0</v>
      </c>
    </row>
    <row r="1535" spans="1:7">
      <c r="A1535" s="226" t="s">
        <v>639</v>
      </c>
      <c r="B1535" s="226" t="s">
        <v>1235</v>
      </c>
      <c r="C1535" s="226" t="s">
        <v>626</v>
      </c>
      <c r="D1535" s="226" t="s">
        <v>10</v>
      </c>
      <c r="E1535" s="226" t="s">
        <v>661</v>
      </c>
      <c r="F1535" s="226">
        <v>0</v>
      </c>
      <c r="G1535" s="226">
        <v>0</v>
      </c>
    </row>
    <row r="1536" spans="1:7">
      <c r="A1536" s="226" t="s">
        <v>639</v>
      </c>
      <c r="B1536" s="226" t="s">
        <v>1235</v>
      </c>
      <c r="C1536" s="226" t="s">
        <v>626</v>
      </c>
      <c r="D1536" s="226" t="s">
        <v>10</v>
      </c>
      <c r="E1536" s="226" t="s">
        <v>662</v>
      </c>
      <c r="F1536" s="226">
        <v>0</v>
      </c>
      <c r="G1536" s="226">
        <v>0</v>
      </c>
    </row>
    <row r="1537" spans="1:7">
      <c r="A1537" s="226" t="s">
        <v>639</v>
      </c>
      <c r="B1537" s="226" t="s">
        <v>1235</v>
      </c>
      <c r="C1537" s="226" t="s">
        <v>626</v>
      </c>
      <c r="D1537" s="226" t="s">
        <v>10</v>
      </c>
      <c r="E1537" s="226" t="s">
        <v>663</v>
      </c>
      <c r="F1537" s="226">
        <v>1.1806842186006444E-2</v>
      </c>
      <c r="G1537" s="226">
        <v>0</v>
      </c>
    </row>
    <row r="1538" spans="1:7">
      <c r="A1538" s="226" t="s">
        <v>639</v>
      </c>
      <c r="B1538" s="226" t="s">
        <v>1235</v>
      </c>
      <c r="C1538" s="226" t="s">
        <v>626</v>
      </c>
      <c r="D1538" s="226" t="s">
        <v>10</v>
      </c>
      <c r="E1538" s="226" t="s">
        <v>664</v>
      </c>
      <c r="F1538" s="226">
        <v>1.1806842186006444E-2</v>
      </c>
      <c r="G1538" s="226">
        <v>0</v>
      </c>
    </row>
    <row r="1539" spans="1:7">
      <c r="A1539" s="226" t="s">
        <v>639</v>
      </c>
      <c r="B1539" s="226" t="s">
        <v>1235</v>
      </c>
      <c r="C1539" s="226" t="s">
        <v>626</v>
      </c>
      <c r="D1539" s="226" t="s">
        <v>10</v>
      </c>
      <c r="E1539" s="226" t="s">
        <v>665</v>
      </c>
      <c r="F1539" s="226">
        <v>1.1806842186006444E-2</v>
      </c>
      <c r="G1539" s="226">
        <v>0</v>
      </c>
    </row>
    <row r="1540" spans="1:7">
      <c r="A1540" s="226" t="s">
        <v>639</v>
      </c>
      <c r="B1540" s="226" t="s">
        <v>1235</v>
      </c>
      <c r="C1540" s="226" t="s">
        <v>626</v>
      </c>
      <c r="D1540" s="226" t="s">
        <v>10</v>
      </c>
      <c r="E1540" s="226" t="s">
        <v>666</v>
      </c>
      <c r="F1540" s="226">
        <v>1.1806842186006444E-2</v>
      </c>
      <c r="G1540" s="226">
        <v>0</v>
      </c>
    </row>
    <row r="1541" spans="1:7">
      <c r="A1541" s="226" t="s">
        <v>639</v>
      </c>
      <c r="B1541" s="226" t="s">
        <v>1235</v>
      </c>
      <c r="C1541" s="226" t="s">
        <v>626</v>
      </c>
      <c r="D1541" s="226" t="s">
        <v>10</v>
      </c>
      <c r="E1541" s="226" t="s">
        <v>667</v>
      </c>
      <c r="F1541" s="226">
        <v>1.1806842186006444E-2</v>
      </c>
      <c r="G1541" s="226">
        <v>0</v>
      </c>
    </row>
    <row r="1542" spans="1:7">
      <c r="A1542" s="226" t="s">
        <v>639</v>
      </c>
      <c r="B1542" s="226" t="s">
        <v>1235</v>
      </c>
      <c r="C1542" s="226" t="s">
        <v>963</v>
      </c>
      <c r="D1542" s="226" t="s">
        <v>16</v>
      </c>
      <c r="E1542" s="226" t="s">
        <v>618</v>
      </c>
      <c r="F1542" s="226">
        <v>0</v>
      </c>
      <c r="G1542" s="226">
        <v>0</v>
      </c>
    </row>
    <row r="1543" spans="1:7">
      <c r="A1543" s="226" t="s">
        <v>639</v>
      </c>
      <c r="B1543" s="226" t="s">
        <v>1235</v>
      </c>
      <c r="C1543" s="226" t="s">
        <v>963</v>
      </c>
      <c r="D1543" s="226" t="s">
        <v>16</v>
      </c>
      <c r="E1543" s="226" t="s">
        <v>619</v>
      </c>
      <c r="F1543" s="226">
        <v>0</v>
      </c>
      <c r="G1543" s="226">
        <v>0</v>
      </c>
    </row>
    <row r="1544" spans="1:7">
      <c r="A1544" s="226" t="s">
        <v>639</v>
      </c>
      <c r="B1544" s="226" t="s">
        <v>1235</v>
      </c>
      <c r="C1544" s="226" t="s">
        <v>963</v>
      </c>
      <c r="D1544" s="226" t="s">
        <v>16</v>
      </c>
      <c r="E1544" s="226" t="s">
        <v>620</v>
      </c>
      <c r="F1544" s="226">
        <v>0</v>
      </c>
      <c r="G1544" s="226">
        <v>0</v>
      </c>
    </row>
    <row r="1545" spans="1:7">
      <c r="A1545" s="226" t="s">
        <v>639</v>
      </c>
      <c r="B1545" s="226" t="s">
        <v>1235</v>
      </c>
      <c r="C1545" s="226" t="s">
        <v>963</v>
      </c>
      <c r="D1545" s="226" t="s">
        <v>16</v>
      </c>
      <c r="E1545" s="226" t="s">
        <v>660</v>
      </c>
      <c r="F1545" s="226">
        <v>0</v>
      </c>
      <c r="G1545" s="226">
        <v>0</v>
      </c>
    </row>
    <row r="1546" spans="1:7">
      <c r="A1546" s="226" t="s">
        <v>639</v>
      </c>
      <c r="B1546" s="226" t="s">
        <v>1235</v>
      </c>
      <c r="C1546" s="226" t="s">
        <v>963</v>
      </c>
      <c r="D1546" s="226" t="s">
        <v>16</v>
      </c>
      <c r="E1546" s="226" t="s">
        <v>661</v>
      </c>
      <c r="F1546" s="226">
        <v>0</v>
      </c>
      <c r="G1546" s="226">
        <v>0</v>
      </c>
    </row>
    <row r="1547" spans="1:7">
      <c r="A1547" s="226" t="s">
        <v>639</v>
      </c>
      <c r="B1547" s="226" t="s">
        <v>1235</v>
      </c>
      <c r="C1547" s="226" t="s">
        <v>963</v>
      </c>
      <c r="D1547" s="226" t="s">
        <v>16</v>
      </c>
      <c r="E1547" s="226" t="s">
        <v>662</v>
      </c>
      <c r="F1547" s="226">
        <v>0</v>
      </c>
      <c r="G1547" s="226">
        <v>0</v>
      </c>
    </row>
    <row r="1548" spans="1:7">
      <c r="A1548" s="226" t="s">
        <v>639</v>
      </c>
      <c r="B1548" s="226" t="s">
        <v>1235</v>
      </c>
      <c r="C1548" s="226" t="s">
        <v>963</v>
      </c>
      <c r="D1548" s="226" t="s">
        <v>16</v>
      </c>
      <c r="E1548" s="226" t="s">
        <v>663</v>
      </c>
      <c r="F1548" s="226">
        <v>1.4847944866000306E-2</v>
      </c>
      <c r="G1548" s="226">
        <v>0</v>
      </c>
    </row>
    <row r="1549" spans="1:7">
      <c r="A1549" s="226" t="s">
        <v>639</v>
      </c>
      <c r="B1549" s="226" t="s">
        <v>1235</v>
      </c>
      <c r="C1549" s="226" t="s">
        <v>963</v>
      </c>
      <c r="D1549" s="226" t="s">
        <v>16</v>
      </c>
      <c r="E1549" s="226" t="s">
        <v>664</v>
      </c>
      <c r="F1549" s="226">
        <v>1.4847944866000306E-2</v>
      </c>
      <c r="G1549" s="226">
        <v>0</v>
      </c>
    </row>
    <row r="1550" spans="1:7">
      <c r="A1550" s="226" t="s">
        <v>639</v>
      </c>
      <c r="B1550" s="226" t="s">
        <v>1235</v>
      </c>
      <c r="C1550" s="226" t="s">
        <v>963</v>
      </c>
      <c r="D1550" s="226" t="s">
        <v>16</v>
      </c>
      <c r="E1550" s="226" t="s">
        <v>665</v>
      </c>
      <c r="F1550" s="226">
        <v>1.4847944866000306E-2</v>
      </c>
      <c r="G1550" s="226">
        <v>0</v>
      </c>
    </row>
    <row r="1551" spans="1:7">
      <c r="A1551" s="226" t="s">
        <v>639</v>
      </c>
      <c r="B1551" s="226" t="s">
        <v>1235</v>
      </c>
      <c r="C1551" s="226" t="s">
        <v>963</v>
      </c>
      <c r="D1551" s="226" t="s">
        <v>16</v>
      </c>
      <c r="E1551" s="226" t="s">
        <v>666</v>
      </c>
      <c r="F1551" s="226">
        <v>1.4847944866000306E-2</v>
      </c>
      <c r="G1551" s="226">
        <v>0</v>
      </c>
    </row>
    <row r="1552" spans="1:7">
      <c r="A1552" s="226" t="s">
        <v>639</v>
      </c>
      <c r="B1552" s="226" t="s">
        <v>1235</v>
      </c>
      <c r="C1552" s="226" t="s">
        <v>963</v>
      </c>
      <c r="D1552" s="226" t="s">
        <v>16</v>
      </c>
      <c r="E1552" s="226" t="s">
        <v>667</v>
      </c>
      <c r="F1552" s="226">
        <v>1.4847944866000306E-2</v>
      </c>
      <c r="G1552" s="226">
        <v>0</v>
      </c>
    </row>
    <row r="1553" spans="1:7">
      <c r="A1553" s="226" t="s">
        <v>639</v>
      </c>
      <c r="B1553" s="226" t="s">
        <v>1235</v>
      </c>
      <c r="C1553" s="226" t="s">
        <v>625</v>
      </c>
      <c r="D1553" s="226" t="s">
        <v>1</v>
      </c>
      <c r="E1553" s="226" t="s">
        <v>618</v>
      </c>
      <c r="F1553" s="226">
        <v>9.9000000000000005E-2</v>
      </c>
      <c r="G1553" s="226">
        <v>9.9000000000000005E-2</v>
      </c>
    </row>
    <row r="1554" spans="1:7">
      <c r="A1554" s="226" t="s">
        <v>639</v>
      </c>
      <c r="B1554" s="226" t="s">
        <v>1235</v>
      </c>
      <c r="C1554" s="226" t="s">
        <v>625</v>
      </c>
      <c r="D1554" s="226" t="s">
        <v>1</v>
      </c>
      <c r="E1554" s="226" t="s">
        <v>619</v>
      </c>
      <c r="F1554" s="226">
        <v>3.4333333333333334E-2</v>
      </c>
      <c r="G1554" s="226">
        <v>3.4333333333333334E-2</v>
      </c>
    </row>
    <row r="1555" spans="1:7">
      <c r="A1555" s="226" t="s">
        <v>639</v>
      </c>
      <c r="B1555" s="226" t="s">
        <v>1235</v>
      </c>
      <c r="C1555" s="226" t="s">
        <v>625</v>
      </c>
      <c r="D1555" s="226" t="s">
        <v>1</v>
      </c>
      <c r="E1555" s="226" t="s">
        <v>620</v>
      </c>
      <c r="F1555" s="226">
        <v>3.4333333333333334E-2</v>
      </c>
      <c r="G1555" s="226">
        <v>3.4333333333333334E-2</v>
      </c>
    </row>
    <row r="1556" spans="1:7">
      <c r="A1556" s="226" t="s">
        <v>639</v>
      </c>
      <c r="B1556" s="226" t="s">
        <v>1235</v>
      </c>
      <c r="C1556" s="226" t="s">
        <v>625</v>
      </c>
      <c r="D1556" s="226" t="s">
        <v>1</v>
      </c>
      <c r="E1556" s="226" t="s">
        <v>660</v>
      </c>
      <c r="F1556" s="226">
        <v>3.4333333333333334E-2</v>
      </c>
      <c r="G1556" s="226">
        <v>3.4333333333333334E-2</v>
      </c>
    </row>
    <row r="1557" spans="1:7">
      <c r="A1557" s="226" t="s">
        <v>639</v>
      </c>
      <c r="B1557" s="226" t="s">
        <v>1235</v>
      </c>
      <c r="C1557" s="226" t="s">
        <v>625</v>
      </c>
      <c r="D1557" s="226" t="s">
        <v>1</v>
      </c>
      <c r="E1557" s="226" t="s">
        <v>661</v>
      </c>
      <c r="F1557" s="226">
        <v>3.4333333333333334E-2</v>
      </c>
      <c r="G1557" s="226">
        <v>3.4333333333333334E-2</v>
      </c>
    </row>
    <row r="1558" spans="1:7">
      <c r="A1558" s="226" t="s">
        <v>639</v>
      </c>
      <c r="B1558" s="226" t="s">
        <v>1235</v>
      </c>
      <c r="C1558" s="226" t="s">
        <v>625</v>
      </c>
      <c r="D1558" s="226" t="s">
        <v>1</v>
      </c>
      <c r="E1558" s="226" t="s">
        <v>662</v>
      </c>
      <c r="F1558" s="226">
        <v>3.4333333333333334E-2</v>
      </c>
      <c r="G1558" s="226">
        <v>3.4333333333333334E-2</v>
      </c>
    </row>
    <row r="1559" spans="1:7">
      <c r="A1559" s="226" t="s">
        <v>639</v>
      </c>
      <c r="B1559" s="226" t="s">
        <v>1235</v>
      </c>
      <c r="C1559" s="226" t="s">
        <v>625</v>
      </c>
      <c r="D1559" s="226" t="s">
        <v>1</v>
      </c>
      <c r="E1559" s="226" t="s">
        <v>663</v>
      </c>
      <c r="F1559" s="226">
        <v>3.4333333333333334E-2</v>
      </c>
      <c r="G1559" s="226">
        <v>3.4333333333333334E-2</v>
      </c>
    </row>
    <row r="1560" spans="1:7">
      <c r="A1560" s="226" t="s">
        <v>639</v>
      </c>
      <c r="B1560" s="226" t="s">
        <v>1235</v>
      </c>
      <c r="C1560" s="226" t="s">
        <v>625</v>
      </c>
      <c r="D1560" s="226" t="s">
        <v>1</v>
      </c>
      <c r="E1560" s="226" t="s">
        <v>664</v>
      </c>
      <c r="F1560" s="226">
        <v>0</v>
      </c>
      <c r="G1560" s="226">
        <v>0</v>
      </c>
    </row>
    <row r="1561" spans="1:7">
      <c r="A1561" s="226" t="s">
        <v>639</v>
      </c>
      <c r="B1561" s="226" t="s">
        <v>1235</v>
      </c>
      <c r="C1561" s="226" t="s">
        <v>625</v>
      </c>
      <c r="D1561" s="226" t="s">
        <v>1</v>
      </c>
      <c r="E1561" s="226" t="s">
        <v>665</v>
      </c>
      <c r="F1561" s="226">
        <v>0</v>
      </c>
      <c r="G1561" s="226">
        <v>0</v>
      </c>
    </row>
    <row r="1562" spans="1:7">
      <c r="A1562" s="226" t="s">
        <v>639</v>
      </c>
      <c r="B1562" s="226" t="s">
        <v>1235</v>
      </c>
      <c r="C1562" s="226" t="s">
        <v>625</v>
      </c>
      <c r="D1562" s="226" t="s">
        <v>1</v>
      </c>
      <c r="E1562" s="226" t="s">
        <v>666</v>
      </c>
      <c r="F1562" s="226">
        <v>0</v>
      </c>
      <c r="G1562" s="226">
        <v>0</v>
      </c>
    </row>
    <row r="1563" spans="1:7">
      <c r="A1563" s="226" t="s">
        <v>639</v>
      </c>
      <c r="B1563" s="226" t="s">
        <v>1235</v>
      </c>
      <c r="C1563" s="226" t="s">
        <v>625</v>
      </c>
      <c r="D1563" s="226" t="s">
        <v>1</v>
      </c>
      <c r="E1563" s="226" t="s">
        <v>667</v>
      </c>
      <c r="F1563" s="226">
        <v>0</v>
      </c>
      <c r="G1563" s="226">
        <v>0</v>
      </c>
    </row>
    <row r="1564" spans="1:7">
      <c r="A1564" s="226" t="s">
        <v>639</v>
      </c>
      <c r="B1564" s="226" t="s">
        <v>1235</v>
      </c>
      <c r="C1564" s="226" t="s">
        <v>625</v>
      </c>
      <c r="D1564" s="226" t="s">
        <v>6</v>
      </c>
      <c r="E1564" s="226" t="s">
        <v>618</v>
      </c>
      <c r="F1564" s="226">
        <v>0</v>
      </c>
      <c r="G1564" s="226">
        <v>0</v>
      </c>
    </row>
    <row r="1565" spans="1:7">
      <c r="A1565" s="226" t="s">
        <v>639</v>
      </c>
      <c r="B1565" s="226" t="s">
        <v>1235</v>
      </c>
      <c r="C1565" s="226" t="s">
        <v>625</v>
      </c>
      <c r="D1565" s="226" t="s">
        <v>6</v>
      </c>
      <c r="E1565" s="226" t="s">
        <v>619</v>
      </c>
      <c r="F1565" s="226">
        <v>0</v>
      </c>
      <c r="G1565" s="226">
        <v>0</v>
      </c>
    </row>
    <row r="1566" spans="1:7">
      <c r="A1566" s="226" t="s">
        <v>639</v>
      </c>
      <c r="B1566" s="226" t="s">
        <v>1235</v>
      </c>
      <c r="C1566" s="226" t="s">
        <v>625</v>
      </c>
      <c r="D1566" s="226" t="s">
        <v>6</v>
      </c>
      <c r="E1566" s="226" t="s">
        <v>620</v>
      </c>
      <c r="F1566" s="226">
        <v>0</v>
      </c>
      <c r="G1566" s="226">
        <v>0</v>
      </c>
    </row>
    <row r="1567" spans="1:7">
      <c r="A1567" s="226" t="s">
        <v>639</v>
      </c>
      <c r="B1567" s="226" t="s">
        <v>1235</v>
      </c>
      <c r="C1567" s="226" t="s">
        <v>625</v>
      </c>
      <c r="D1567" s="226" t="s">
        <v>6</v>
      </c>
      <c r="E1567" s="226" t="s">
        <v>660</v>
      </c>
      <c r="F1567" s="226">
        <v>0</v>
      </c>
      <c r="G1567" s="226">
        <v>0</v>
      </c>
    </row>
    <row r="1568" spans="1:7">
      <c r="A1568" s="226" t="s">
        <v>639</v>
      </c>
      <c r="B1568" s="226" t="s">
        <v>1235</v>
      </c>
      <c r="C1568" s="226" t="s">
        <v>625</v>
      </c>
      <c r="D1568" s="226" t="s">
        <v>6</v>
      </c>
      <c r="E1568" s="226" t="s">
        <v>661</v>
      </c>
      <c r="F1568" s="226">
        <v>0</v>
      </c>
      <c r="G1568" s="226">
        <v>0</v>
      </c>
    </row>
    <row r="1569" spans="1:7">
      <c r="A1569" s="226" t="s">
        <v>639</v>
      </c>
      <c r="B1569" s="226" t="s">
        <v>1235</v>
      </c>
      <c r="C1569" s="226" t="s">
        <v>625</v>
      </c>
      <c r="D1569" s="226" t="s">
        <v>6</v>
      </c>
      <c r="E1569" s="226" t="s">
        <v>662</v>
      </c>
      <c r="F1569" s="226">
        <v>0</v>
      </c>
      <c r="G1569" s="226">
        <v>0</v>
      </c>
    </row>
    <row r="1570" spans="1:7">
      <c r="A1570" s="226" t="s">
        <v>639</v>
      </c>
      <c r="B1570" s="226" t="s">
        <v>1235</v>
      </c>
      <c r="C1570" s="226" t="s">
        <v>625</v>
      </c>
      <c r="D1570" s="226" t="s">
        <v>6</v>
      </c>
      <c r="E1570" s="226" t="s">
        <v>663</v>
      </c>
      <c r="F1570" s="226">
        <v>0</v>
      </c>
      <c r="G1570" s="226">
        <v>0</v>
      </c>
    </row>
    <row r="1571" spans="1:7">
      <c r="A1571" s="226" t="s">
        <v>639</v>
      </c>
      <c r="B1571" s="226" t="s">
        <v>1235</v>
      </c>
      <c r="C1571" s="226" t="s">
        <v>625</v>
      </c>
      <c r="D1571" s="226" t="s">
        <v>6</v>
      </c>
      <c r="E1571" s="226" t="s">
        <v>664</v>
      </c>
      <c r="F1571" s="226">
        <v>0</v>
      </c>
      <c r="G1571" s="226">
        <v>0</v>
      </c>
    </row>
    <row r="1572" spans="1:7">
      <c r="A1572" s="226" t="s">
        <v>639</v>
      </c>
      <c r="B1572" s="226" t="s">
        <v>1235</v>
      </c>
      <c r="C1572" s="226" t="s">
        <v>625</v>
      </c>
      <c r="D1572" s="226" t="s">
        <v>6</v>
      </c>
      <c r="E1572" s="226" t="s">
        <v>665</v>
      </c>
      <c r="F1572" s="226">
        <v>0</v>
      </c>
      <c r="G1572" s="226">
        <v>0</v>
      </c>
    </row>
    <row r="1573" spans="1:7">
      <c r="A1573" s="226" t="s">
        <v>639</v>
      </c>
      <c r="B1573" s="226" t="s">
        <v>1235</v>
      </c>
      <c r="C1573" s="226" t="s">
        <v>625</v>
      </c>
      <c r="D1573" s="226" t="s">
        <v>6</v>
      </c>
      <c r="E1573" s="226" t="s">
        <v>666</v>
      </c>
      <c r="F1573" s="226">
        <v>0</v>
      </c>
      <c r="G1573" s="226">
        <v>0</v>
      </c>
    </row>
    <row r="1574" spans="1:7">
      <c r="A1574" s="226" t="s">
        <v>639</v>
      </c>
      <c r="B1574" s="226" t="s">
        <v>1235</v>
      </c>
      <c r="C1574" s="226" t="s">
        <v>625</v>
      </c>
      <c r="D1574" s="226" t="s">
        <v>6</v>
      </c>
      <c r="E1574" s="226" t="s">
        <v>667</v>
      </c>
      <c r="F1574" s="226">
        <v>0</v>
      </c>
      <c r="G1574" s="226">
        <v>0</v>
      </c>
    </row>
    <row r="1575" spans="1:7">
      <c r="A1575" s="226" t="s">
        <v>639</v>
      </c>
      <c r="B1575" s="226" t="s">
        <v>1235</v>
      </c>
      <c r="C1575" s="226" t="s">
        <v>627</v>
      </c>
      <c r="D1575" s="226" t="s">
        <v>13</v>
      </c>
      <c r="E1575" s="226" t="s">
        <v>618</v>
      </c>
      <c r="F1575" s="226">
        <v>0</v>
      </c>
      <c r="G1575" s="226">
        <v>0</v>
      </c>
    </row>
    <row r="1576" spans="1:7">
      <c r="A1576" s="226" t="s">
        <v>639</v>
      </c>
      <c r="B1576" s="226" t="s">
        <v>1235</v>
      </c>
      <c r="C1576" s="226" t="s">
        <v>627</v>
      </c>
      <c r="D1576" s="226" t="s">
        <v>13</v>
      </c>
      <c r="E1576" s="226" t="s">
        <v>619</v>
      </c>
      <c r="F1576" s="226">
        <v>0</v>
      </c>
      <c r="G1576" s="226">
        <v>0</v>
      </c>
    </row>
    <row r="1577" spans="1:7">
      <c r="A1577" s="226" t="s">
        <v>639</v>
      </c>
      <c r="B1577" s="226" t="s">
        <v>1235</v>
      </c>
      <c r="C1577" s="226" t="s">
        <v>627</v>
      </c>
      <c r="D1577" s="226" t="s">
        <v>13</v>
      </c>
      <c r="E1577" s="226" t="s">
        <v>620</v>
      </c>
      <c r="F1577" s="226">
        <v>0</v>
      </c>
      <c r="G1577" s="226">
        <v>0</v>
      </c>
    </row>
    <row r="1578" spans="1:7">
      <c r="A1578" s="226" t="s">
        <v>639</v>
      </c>
      <c r="B1578" s="226" t="s">
        <v>1235</v>
      </c>
      <c r="C1578" s="226" t="s">
        <v>627</v>
      </c>
      <c r="D1578" s="226" t="s">
        <v>13</v>
      </c>
      <c r="E1578" s="226" t="s">
        <v>660</v>
      </c>
      <c r="F1578" s="226">
        <v>0</v>
      </c>
      <c r="G1578" s="226">
        <v>0</v>
      </c>
    </row>
    <row r="1579" spans="1:7">
      <c r="A1579" s="226" t="s">
        <v>639</v>
      </c>
      <c r="B1579" s="226" t="s">
        <v>1235</v>
      </c>
      <c r="C1579" s="226" t="s">
        <v>627</v>
      </c>
      <c r="D1579" s="226" t="s">
        <v>13</v>
      </c>
      <c r="E1579" s="226" t="s">
        <v>661</v>
      </c>
      <c r="F1579" s="226">
        <v>0</v>
      </c>
      <c r="G1579" s="226">
        <v>0</v>
      </c>
    </row>
    <row r="1580" spans="1:7">
      <c r="A1580" s="226" t="s">
        <v>639</v>
      </c>
      <c r="B1580" s="226" t="s">
        <v>1235</v>
      </c>
      <c r="C1580" s="226" t="s">
        <v>627</v>
      </c>
      <c r="D1580" s="226" t="s">
        <v>13</v>
      </c>
      <c r="E1580" s="226" t="s">
        <v>662</v>
      </c>
      <c r="F1580" s="226">
        <v>0</v>
      </c>
      <c r="G1580" s="226">
        <v>0</v>
      </c>
    </row>
    <row r="1581" spans="1:7">
      <c r="A1581" s="226" t="s">
        <v>639</v>
      </c>
      <c r="B1581" s="226" t="s">
        <v>1235</v>
      </c>
      <c r="C1581" s="226" t="s">
        <v>627</v>
      </c>
      <c r="D1581" s="226" t="s">
        <v>13</v>
      </c>
      <c r="E1581" s="226" t="s">
        <v>663</v>
      </c>
      <c r="F1581" s="226">
        <v>0</v>
      </c>
      <c r="G1581" s="226">
        <v>0</v>
      </c>
    </row>
    <row r="1582" spans="1:7">
      <c r="A1582" s="226" t="s">
        <v>639</v>
      </c>
      <c r="B1582" s="226" t="s">
        <v>1235</v>
      </c>
      <c r="C1582" s="226" t="s">
        <v>627</v>
      </c>
      <c r="D1582" s="226" t="s">
        <v>13</v>
      </c>
      <c r="E1582" s="226" t="s">
        <v>664</v>
      </c>
      <c r="F1582" s="226">
        <v>0</v>
      </c>
      <c r="G1582" s="226">
        <v>0</v>
      </c>
    </row>
    <row r="1583" spans="1:7">
      <c r="A1583" s="226" t="s">
        <v>639</v>
      </c>
      <c r="B1583" s="226" t="s">
        <v>1235</v>
      </c>
      <c r="C1583" s="226" t="s">
        <v>627</v>
      </c>
      <c r="D1583" s="226" t="s">
        <v>13</v>
      </c>
      <c r="E1583" s="226" t="s">
        <v>665</v>
      </c>
      <c r="F1583" s="226">
        <v>0</v>
      </c>
      <c r="G1583" s="226">
        <v>0</v>
      </c>
    </row>
    <row r="1584" spans="1:7">
      <c r="A1584" s="226" t="s">
        <v>639</v>
      </c>
      <c r="B1584" s="226" t="s">
        <v>1235</v>
      </c>
      <c r="C1584" s="226" t="s">
        <v>627</v>
      </c>
      <c r="D1584" s="226" t="s">
        <v>13</v>
      </c>
      <c r="E1584" s="226" t="s">
        <v>666</v>
      </c>
      <c r="F1584" s="226">
        <v>0</v>
      </c>
      <c r="G1584" s="226">
        <v>0</v>
      </c>
    </row>
    <row r="1585" spans="1:7">
      <c r="A1585" s="226" t="s">
        <v>639</v>
      </c>
      <c r="B1585" s="226" t="s">
        <v>1235</v>
      </c>
      <c r="C1585" s="226" t="s">
        <v>627</v>
      </c>
      <c r="D1585" s="226" t="s">
        <v>13</v>
      </c>
      <c r="E1585" s="226" t="s">
        <v>667</v>
      </c>
      <c r="F1585" s="226">
        <v>0</v>
      </c>
      <c r="G1585" s="226">
        <v>0</v>
      </c>
    </row>
    <row r="1586" spans="1:7">
      <c r="A1586" s="226" t="s">
        <v>639</v>
      </c>
      <c r="B1586" s="226" t="s">
        <v>1235</v>
      </c>
      <c r="C1586" s="226" t="s">
        <v>627</v>
      </c>
      <c r="D1586" s="226" t="s">
        <v>15</v>
      </c>
      <c r="E1586" s="226" t="s">
        <v>618</v>
      </c>
      <c r="F1586" s="226">
        <v>0</v>
      </c>
      <c r="G1586" s="226">
        <v>0</v>
      </c>
    </row>
    <row r="1587" spans="1:7">
      <c r="A1587" s="226" t="s">
        <v>639</v>
      </c>
      <c r="B1587" s="226" t="s">
        <v>1235</v>
      </c>
      <c r="C1587" s="226" t="s">
        <v>627</v>
      </c>
      <c r="D1587" s="226" t="s">
        <v>15</v>
      </c>
      <c r="E1587" s="226" t="s">
        <v>619</v>
      </c>
      <c r="F1587" s="226">
        <v>0</v>
      </c>
      <c r="G1587" s="226">
        <v>0</v>
      </c>
    </row>
    <row r="1588" spans="1:7">
      <c r="A1588" s="226" t="s">
        <v>639</v>
      </c>
      <c r="B1588" s="226" t="s">
        <v>1235</v>
      </c>
      <c r="C1588" s="226" t="s">
        <v>627</v>
      </c>
      <c r="D1588" s="226" t="s">
        <v>15</v>
      </c>
      <c r="E1588" s="226" t="s">
        <v>620</v>
      </c>
      <c r="F1588" s="226">
        <v>0</v>
      </c>
      <c r="G1588" s="226">
        <v>0</v>
      </c>
    </row>
    <row r="1589" spans="1:7">
      <c r="A1589" s="226" t="s">
        <v>639</v>
      </c>
      <c r="B1589" s="226" t="s">
        <v>1235</v>
      </c>
      <c r="C1589" s="226" t="s">
        <v>627</v>
      </c>
      <c r="D1589" s="226" t="s">
        <v>15</v>
      </c>
      <c r="E1589" s="226" t="s">
        <v>660</v>
      </c>
      <c r="F1589" s="226">
        <v>0</v>
      </c>
      <c r="G1589" s="226">
        <v>0</v>
      </c>
    </row>
    <row r="1590" spans="1:7">
      <c r="A1590" s="226" t="s">
        <v>639</v>
      </c>
      <c r="B1590" s="226" t="s">
        <v>1235</v>
      </c>
      <c r="C1590" s="226" t="s">
        <v>627</v>
      </c>
      <c r="D1590" s="226" t="s">
        <v>15</v>
      </c>
      <c r="E1590" s="226" t="s">
        <v>661</v>
      </c>
      <c r="F1590" s="226">
        <v>0</v>
      </c>
      <c r="G1590" s="226">
        <v>0</v>
      </c>
    </row>
    <row r="1591" spans="1:7">
      <c r="A1591" s="226" t="s">
        <v>639</v>
      </c>
      <c r="B1591" s="226" t="s">
        <v>1235</v>
      </c>
      <c r="C1591" s="226" t="s">
        <v>627</v>
      </c>
      <c r="D1591" s="226" t="s">
        <v>15</v>
      </c>
      <c r="E1591" s="226" t="s">
        <v>662</v>
      </c>
      <c r="F1591" s="226">
        <v>0</v>
      </c>
      <c r="G1591" s="226">
        <v>0</v>
      </c>
    </row>
    <row r="1592" spans="1:7">
      <c r="A1592" s="226" t="s">
        <v>639</v>
      </c>
      <c r="B1592" s="226" t="s">
        <v>1235</v>
      </c>
      <c r="C1592" s="226" t="s">
        <v>627</v>
      </c>
      <c r="D1592" s="226" t="s">
        <v>15</v>
      </c>
      <c r="E1592" s="226" t="s">
        <v>663</v>
      </c>
      <c r="F1592" s="226">
        <v>2.1578021926149705E-2</v>
      </c>
      <c r="G1592" s="226">
        <v>0</v>
      </c>
    </row>
    <row r="1593" spans="1:7">
      <c r="A1593" s="226" t="s">
        <v>639</v>
      </c>
      <c r="B1593" s="226" t="s">
        <v>1235</v>
      </c>
      <c r="C1593" s="226" t="s">
        <v>627</v>
      </c>
      <c r="D1593" s="226" t="s">
        <v>15</v>
      </c>
      <c r="E1593" s="226" t="s">
        <v>664</v>
      </c>
      <c r="F1593" s="226">
        <v>2.1578021926149705E-2</v>
      </c>
      <c r="G1593" s="226">
        <v>0</v>
      </c>
    </row>
    <row r="1594" spans="1:7">
      <c r="A1594" s="226" t="s">
        <v>639</v>
      </c>
      <c r="B1594" s="226" t="s">
        <v>1235</v>
      </c>
      <c r="C1594" s="226" t="s">
        <v>627</v>
      </c>
      <c r="D1594" s="226" t="s">
        <v>15</v>
      </c>
      <c r="E1594" s="226" t="s">
        <v>665</v>
      </c>
      <c r="F1594" s="226">
        <v>2.1578021926149705E-2</v>
      </c>
      <c r="G1594" s="226">
        <v>0</v>
      </c>
    </row>
    <row r="1595" spans="1:7">
      <c r="A1595" s="226" t="s">
        <v>639</v>
      </c>
      <c r="B1595" s="226" t="s">
        <v>1235</v>
      </c>
      <c r="C1595" s="226" t="s">
        <v>627</v>
      </c>
      <c r="D1595" s="226" t="s">
        <v>15</v>
      </c>
      <c r="E1595" s="226" t="s">
        <v>666</v>
      </c>
      <c r="F1595" s="226">
        <v>2.1578021926149705E-2</v>
      </c>
      <c r="G1595" s="226">
        <v>0</v>
      </c>
    </row>
    <row r="1596" spans="1:7">
      <c r="A1596" s="226" t="s">
        <v>639</v>
      </c>
      <c r="B1596" s="226" t="s">
        <v>1235</v>
      </c>
      <c r="C1596" s="226" t="s">
        <v>627</v>
      </c>
      <c r="D1596" s="226" t="s">
        <v>15</v>
      </c>
      <c r="E1596" s="226" t="s">
        <v>667</v>
      </c>
      <c r="F1596" s="226">
        <v>2.1578021926149705E-2</v>
      </c>
      <c r="G1596" s="226">
        <v>0</v>
      </c>
    </row>
    <row r="1597" spans="1:7">
      <c r="A1597" s="226" t="s">
        <v>639</v>
      </c>
      <c r="B1597" s="226" t="s">
        <v>1235</v>
      </c>
      <c r="C1597" s="226" t="s">
        <v>625</v>
      </c>
      <c r="D1597" s="226" t="s">
        <v>0</v>
      </c>
      <c r="E1597" s="226" t="s">
        <v>618</v>
      </c>
      <c r="F1597" s="226">
        <v>0</v>
      </c>
      <c r="G1597" s="226">
        <v>0</v>
      </c>
    </row>
    <row r="1598" spans="1:7">
      <c r="A1598" s="226" t="s">
        <v>639</v>
      </c>
      <c r="B1598" s="226" t="s">
        <v>1235</v>
      </c>
      <c r="C1598" s="226" t="s">
        <v>625</v>
      </c>
      <c r="D1598" s="226" t="s">
        <v>0</v>
      </c>
      <c r="E1598" s="226" t="s">
        <v>619</v>
      </c>
      <c r="F1598" s="226">
        <v>0</v>
      </c>
      <c r="G1598" s="226">
        <v>0</v>
      </c>
    </row>
    <row r="1599" spans="1:7">
      <c r="A1599" s="226" t="s">
        <v>639</v>
      </c>
      <c r="B1599" s="226" t="s">
        <v>1235</v>
      </c>
      <c r="C1599" s="226" t="s">
        <v>625</v>
      </c>
      <c r="D1599" s="226" t="s">
        <v>0</v>
      </c>
      <c r="E1599" s="226" t="s">
        <v>620</v>
      </c>
      <c r="F1599" s="226">
        <v>0</v>
      </c>
      <c r="G1599" s="226">
        <v>0</v>
      </c>
    </row>
    <row r="1600" spans="1:7">
      <c r="A1600" s="226" t="s">
        <v>639</v>
      </c>
      <c r="B1600" s="226" t="s">
        <v>1235</v>
      </c>
      <c r="C1600" s="226" t="s">
        <v>625</v>
      </c>
      <c r="D1600" s="226" t="s">
        <v>0</v>
      </c>
      <c r="E1600" s="226" t="s">
        <v>660</v>
      </c>
      <c r="F1600" s="226">
        <v>0</v>
      </c>
      <c r="G1600" s="226">
        <v>0</v>
      </c>
    </row>
    <row r="1601" spans="1:7">
      <c r="A1601" s="226" t="s">
        <v>639</v>
      </c>
      <c r="B1601" s="226" t="s">
        <v>1235</v>
      </c>
      <c r="C1601" s="226" t="s">
        <v>625</v>
      </c>
      <c r="D1601" s="226" t="s">
        <v>0</v>
      </c>
      <c r="E1601" s="226" t="s">
        <v>661</v>
      </c>
      <c r="F1601" s="226">
        <v>0</v>
      </c>
      <c r="G1601" s="226">
        <v>0</v>
      </c>
    </row>
    <row r="1602" spans="1:7">
      <c r="A1602" s="226" t="s">
        <v>639</v>
      </c>
      <c r="B1602" s="226" t="s">
        <v>1235</v>
      </c>
      <c r="C1602" s="226" t="s">
        <v>625</v>
      </c>
      <c r="D1602" s="226" t="s">
        <v>0</v>
      </c>
      <c r="E1602" s="226" t="s">
        <v>662</v>
      </c>
      <c r="F1602" s="226">
        <v>0</v>
      </c>
      <c r="G1602" s="226">
        <v>0</v>
      </c>
    </row>
    <row r="1603" spans="1:7">
      <c r="A1603" s="226" t="s">
        <v>639</v>
      </c>
      <c r="B1603" s="226" t="s">
        <v>1235</v>
      </c>
      <c r="C1603" s="226" t="s">
        <v>625</v>
      </c>
      <c r="D1603" s="226" t="s">
        <v>0</v>
      </c>
      <c r="E1603" s="226" t="s">
        <v>663</v>
      </c>
      <c r="F1603" s="226">
        <v>2.8747094018102643E-3</v>
      </c>
      <c r="G1603" s="226">
        <v>0</v>
      </c>
    </row>
    <row r="1604" spans="1:7">
      <c r="A1604" s="226" t="s">
        <v>639</v>
      </c>
      <c r="B1604" s="226" t="s">
        <v>1235</v>
      </c>
      <c r="C1604" s="226" t="s">
        <v>625</v>
      </c>
      <c r="D1604" s="226" t="s">
        <v>0</v>
      </c>
      <c r="E1604" s="226" t="s">
        <v>664</v>
      </c>
      <c r="F1604" s="226">
        <v>2.8747094018102643E-3</v>
      </c>
      <c r="G1604" s="226">
        <v>0</v>
      </c>
    </row>
    <row r="1605" spans="1:7">
      <c r="A1605" s="226" t="s">
        <v>639</v>
      </c>
      <c r="B1605" s="226" t="s">
        <v>1235</v>
      </c>
      <c r="C1605" s="226" t="s">
        <v>625</v>
      </c>
      <c r="D1605" s="226" t="s">
        <v>0</v>
      </c>
      <c r="E1605" s="226" t="s">
        <v>665</v>
      </c>
      <c r="F1605" s="226">
        <v>2.8747094018102643E-3</v>
      </c>
      <c r="G1605" s="226">
        <v>0</v>
      </c>
    </row>
    <row r="1606" spans="1:7">
      <c r="A1606" s="226" t="s">
        <v>639</v>
      </c>
      <c r="B1606" s="226" t="s">
        <v>1235</v>
      </c>
      <c r="C1606" s="226" t="s">
        <v>625</v>
      </c>
      <c r="D1606" s="226" t="s">
        <v>0</v>
      </c>
      <c r="E1606" s="226" t="s">
        <v>666</v>
      </c>
      <c r="F1606" s="226">
        <v>2.8747094018102643E-3</v>
      </c>
      <c r="G1606" s="226">
        <v>0</v>
      </c>
    </row>
    <row r="1607" spans="1:7">
      <c r="A1607" s="226" t="s">
        <v>639</v>
      </c>
      <c r="B1607" s="226" t="s">
        <v>1235</v>
      </c>
      <c r="C1607" s="226" t="s">
        <v>625</v>
      </c>
      <c r="D1607" s="226" t="s">
        <v>0</v>
      </c>
      <c r="E1607" s="226" t="s">
        <v>667</v>
      </c>
      <c r="F1607" s="226">
        <v>2.8747094018102643E-3</v>
      </c>
      <c r="G1607" s="226">
        <v>0</v>
      </c>
    </row>
    <row r="1608" spans="1:7">
      <c r="A1608" s="226" t="s">
        <v>639</v>
      </c>
      <c r="B1608" s="226" t="s">
        <v>1235</v>
      </c>
      <c r="C1608" s="226" t="s">
        <v>625</v>
      </c>
      <c r="D1608" s="226" t="s">
        <v>4</v>
      </c>
      <c r="E1608" s="226" t="s">
        <v>618</v>
      </c>
      <c r="F1608" s="226">
        <v>6.4999999999999997E-3</v>
      </c>
      <c r="G1608" s="226">
        <v>6.4999999999999997E-3</v>
      </c>
    </row>
    <row r="1609" spans="1:7">
      <c r="A1609" s="226" t="s">
        <v>639</v>
      </c>
      <c r="B1609" s="226" t="s">
        <v>1235</v>
      </c>
      <c r="C1609" s="226" t="s">
        <v>625</v>
      </c>
      <c r="D1609" s="226" t="s">
        <v>4</v>
      </c>
      <c r="E1609" s="226" t="s">
        <v>619</v>
      </c>
      <c r="F1609" s="226">
        <v>0.23183333333333334</v>
      </c>
      <c r="G1609" s="226">
        <v>0.23183333333333334</v>
      </c>
    </row>
    <row r="1610" spans="1:7">
      <c r="A1610" s="226" t="s">
        <v>639</v>
      </c>
      <c r="B1610" s="226" t="s">
        <v>1235</v>
      </c>
      <c r="C1610" s="226" t="s">
        <v>625</v>
      </c>
      <c r="D1610" s="226" t="s">
        <v>4</v>
      </c>
      <c r="E1610" s="226" t="s">
        <v>620</v>
      </c>
      <c r="F1610" s="226">
        <v>0.23183333333333334</v>
      </c>
      <c r="G1610" s="226">
        <v>0.23183333333333334</v>
      </c>
    </row>
    <row r="1611" spans="1:7">
      <c r="A1611" s="226" t="s">
        <v>639</v>
      </c>
      <c r="B1611" s="226" t="s">
        <v>1235</v>
      </c>
      <c r="C1611" s="226" t="s">
        <v>625</v>
      </c>
      <c r="D1611" s="226" t="s">
        <v>4</v>
      </c>
      <c r="E1611" s="226" t="s">
        <v>660</v>
      </c>
      <c r="F1611" s="226">
        <v>0.23183333333333334</v>
      </c>
      <c r="G1611" s="226">
        <v>0.23183333333333334</v>
      </c>
    </row>
    <row r="1612" spans="1:7">
      <c r="A1612" s="226" t="s">
        <v>639</v>
      </c>
      <c r="B1612" s="226" t="s">
        <v>1235</v>
      </c>
      <c r="C1612" s="226" t="s">
        <v>625</v>
      </c>
      <c r="D1612" s="226" t="s">
        <v>4</v>
      </c>
      <c r="E1612" s="226" t="s">
        <v>661</v>
      </c>
      <c r="F1612" s="226">
        <v>0.23183333333333334</v>
      </c>
      <c r="G1612" s="226">
        <v>0.23183333333333334</v>
      </c>
    </row>
    <row r="1613" spans="1:7">
      <c r="A1613" s="226" t="s">
        <v>639</v>
      </c>
      <c r="B1613" s="226" t="s">
        <v>1235</v>
      </c>
      <c r="C1613" s="226" t="s">
        <v>625</v>
      </c>
      <c r="D1613" s="226" t="s">
        <v>4</v>
      </c>
      <c r="E1613" s="226" t="s">
        <v>662</v>
      </c>
      <c r="F1613" s="226">
        <v>0.23183333333333334</v>
      </c>
      <c r="G1613" s="226">
        <v>0.23183333333333334</v>
      </c>
    </row>
    <row r="1614" spans="1:7">
      <c r="A1614" s="226" t="s">
        <v>639</v>
      </c>
      <c r="B1614" s="226" t="s">
        <v>1235</v>
      </c>
      <c r="C1614" s="226" t="s">
        <v>625</v>
      </c>
      <c r="D1614" s="226" t="s">
        <v>4</v>
      </c>
      <c r="E1614" s="226" t="s">
        <v>663</v>
      </c>
      <c r="F1614" s="226">
        <v>0.23183333333333334</v>
      </c>
      <c r="G1614" s="226">
        <v>0.23183333333333334</v>
      </c>
    </row>
    <row r="1615" spans="1:7">
      <c r="A1615" s="226" t="s">
        <v>639</v>
      </c>
      <c r="B1615" s="226" t="s">
        <v>1235</v>
      </c>
      <c r="C1615" s="226" t="s">
        <v>625</v>
      </c>
      <c r="D1615" s="226" t="s">
        <v>4</v>
      </c>
      <c r="E1615" s="226" t="s">
        <v>664</v>
      </c>
      <c r="F1615" s="226">
        <v>0.20110043781493764</v>
      </c>
      <c r="G1615" s="226">
        <v>0</v>
      </c>
    </row>
    <row r="1616" spans="1:7">
      <c r="A1616" s="226" t="s">
        <v>639</v>
      </c>
      <c r="B1616" s="226" t="s">
        <v>1235</v>
      </c>
      <c r="C1616" s="226" t="s">
        <v>625</v>
      </c>
      <c r="D1616" s="226" t="s">
        <v>4</v>
      </c>
      <c r="E1616" s="226" t="s">
        <v>665</v>
      </c>
      <c r="F1616" s="226">
        <v>0.20110043781493764</v>
      </c>
      <c r="G1616" s="226">
        <v>0</v>
      </c>
    </row>
    <row r="1617" spans="1:7">
      <c r="A1617" s="226" t="s">
        <v>639</v>
      </c>
      <c r="B1617" s="226" t="s">
        <v>1235</v>
      </c>
      <c r="C1617" s="226" t="s">
        <v>625</v>
      </c>
      <c r="D1617" s="226" t="s">
        <v>4</v>
      </c>
      <c r="E1617" s="226" t="s">
        <v>666</v>
      </c>
      <c r="F1617" s="226">
        <v>0.20110043781493764</v>
      </c>
      <c r="G1617" s="226">
        <v>0</v>
      </c>
    </row>
    <row r="1618" spans="1:7">
      <c r="A1618" s="226" t="s">
        <v>639</v>
      </c>
      <c r="B1618" s="226" t="s">
        <v>1235</v>
      </c>
      <c r="C1618" s="226" t="s">
        <v>625</v>
      </c>
      <c r="D1618" s="226" t="s">
        <v>4</v>
      </c>
      <c r="E1618" s="226" t="s">
        <v>667</v>
      </c>
      <c r="F1618" s="226">
        <v>0.20110043781493764</v>
      </c>
      <c r="G1618" s="226">
        <v>0</v>
      </c>
    </row>
    <row r="1619" spans="1:7">
      <c r="A1619" s="226" t="s">
        <v>639</v>
      </c>
      <c r="B1619" s="226" t="s">
        <v>1235</v>
      </c>
      <c r="C1619" s="226" t="s">
        <v>963</v>
      </c>
      <c r="D1619" s="226" t="s">
        <v>17</v>
      </c>
      <c r="E1619" s="226" t="s">
        <v>618</v>
      </c>
      <c r="F1619" s="226">
        <v>0</v>
      </c>
      <c r="G1619" s="226">
        <v>0</v>
      </c>
    </row>
    <row r="1620" spans="1:7">
      <c r="A1620" s="226" t="s">
        <v>639</v>
      </c>
      <c r="B1620" s="226" t="s">
        <v>1235</v>
      </c>
      <c r="C1620" s="226" t="s">
        <v>963</v>
      </c>
      <c r="D1620" s="226" t="s">
        <v>17</v>
      </c>
      <c r="E1620" s="226" t="s">
        <v>619</v>
      </c>
      <c r="F1620" s="226">
        <v>0.02</v>
      </c>
      <c r="G1620" s="226">
        <v>0.02</v>
      </c>
    </row>
    <row r="1621" spans="1:7">
      <c r="A1621" s="226" t="s">
        <v>639</v>
      </c>
      <c r="B1621" s="226" t="s">
        <v>1235</v>
      </c>
      <c r="C1621" s="226" t="s">
        <v>963</v>
      </c>
      <c r="D1621" s="226" t="s">
        <v>17</v>
      </c>
      <c r="E1621" s="226" t="s">
        <v>620</v>
      </c>
      <c r="F1621" s="226">
        <v>0.02</v>
      </c>
      <c r="G1621" s="226">
        <v>0.02</v>
      </c>
    </row>
    <row r="1622" spans="1:7">
      <c r="A1622" s="226" t="s">
        <v>639</v>
      </c>
      <c r="B1622" s="226" t="s">
        <v>1235</v>
      </c>
      <c r="C1622" s="226" t="s">
        <v>963</v>
      </c>
      <c r="D1622" s="226" t="s">
        <v>17</v>
      </c>
      <c r="E1622" s="226" t="s">
        <v>660</v>
      </c>
      <c r="F1622" s="226">
        <v>0.02</v>
      </c>
      <c r="G1622" s="226">
        <v>0.02</v>
      </c>
    </row>
    <row r="1623" spans="1:7">
      <c r="A1623" s="226" t="s">
        <v>639</v>
      </c>
      <c r="B1623" s="226" t="s">
        <v>1235</v>
      </c>
      <c r="C1623" s="226" t="s">
        <v>963</v>
      </c>
      <c r="D1623" s="226" t="s">
        <v>17</v>
      </c>
      <c r="E1623" s="226" t="s">
        <v>661</v>
      </c>
      <c r="F1623" s="226">
        <v>0.02</v>
      </c>
      <c r="G1623" s="226">
        <v>0.02</v>
      </c>
    </row>
    <row r="1624" spans="1:7">
      <c r="A1624" s="226" t="s">
        <v>639</v>
      </c>
      <c r="B1624" s="226" t="s">
        <v>1235</v>
      </c>
      <c r="C1624" s="226" t="s">
        <v>963</v>
      </c>
      <c r="D1624" s="226" t="s">
        <v>17</v>
      </c>
      <c r="E1624" s="226" t="s">
        <v>662</v>
      </c>
      <c r="F1624" s="226">
        <v>0.02</v>
      </c>
      <c r="G1624" s="226">
        <v>0.02</v>
      </c>
    </row>
    <row r="1625" spans="1:7">
      <c r="A1625" s="226" t="s">
        <v>639</v>
      </c>
      <c r="B1625" s="226" t="s">
        <v>1235</v>
      </c>
      <c r="C1625" s="226" t="s">
        <v>963</v>
      </c>
      <c r="D1625" s="226" t="s">
        <v>17</v>
      </c>
      <c r="E1625" s="226" t="s">
        <v>663</v>
      </c>
      <c r="F1625" s="226">
        <v>3.8019093923695117E-2</v>
      </c>
      <c r="G1625" s="226">
        <v>0.02</v>
      </c>
    </row>
    <row r="1626" spans="1:7">
      <c r="A1626" s="226" t="s">
        <v>639</v>
      </c>
      <c r="B1626" s="226" t="s">
        <v>1235</v>
      </c>
      <c r="C1626" s="226" t="s">
        <v>963</v>
      </c>
      <c r="D1626" s="226" t="s">
        <v>17</v>
      </c>
      <c r="E1626" s="226" t="s">
        <v>664</v>
      </c>
      <c r="F1626" s="226">
        <v>3.8019093923695117E-2</v>
      </c>
      <c r="G1626" s="226">
        <v>0</v>
      </c>
    </row>
    <row r="1627" spans="1:7">
      <c r="A1627" s="226" t="s">
        <v>639</v>
      </c>
      <c r="B1627" s="226" t="s">
        <v>1235</v>
      </c>
      <c r="C1627" s="226" t="s">
        <v>963</v>
      </c>
      <c r="D1627" s="226" t="s">
        <v>17</v>
      </c>
      <c r="E1627" s="226" t="s">
        <v>665</v>
      </c>
      <c r="F1627" s="226">
        <v>3.8019093923695117E-2</v>
      </c>
      <c r="G1627" s="226">
        <v>0</v>
      </c>
    </row>
    <row r="1628" spans="1:7">
      <c r="A1628" s="226" t="s">
        <v>639</v>
      </c>
      <c r="B1628" s="226" t="s">
        <v>1235</v>
      </c>
      <c r="C1628" s="226" t="s">
        <v>963</v>
      </c>
      <c r="D1628" s="226" t="s">
        <v>17</v>
      </c>
      <c r="E1628" s="226" t="s">
        <v>666</v>
      </c>
      <c r="F1628" s="226">
        <v>3.8019093923695117E-2</v>
      </c>
      <c r="G1628" s="226">
        <v>0</v>
      </c>
    </row>
    <row r="1629" spans="1:7">
      <c r="A1629" s="226" t="s">
        <v>639</v>
      </c>
      <c r="B1629" s="226" t="s">
        <v>1235</v>
      </c>
      <c r="C1629" s="226" t="s">
        <v>963</v>
      </c>
      <c r="D1629" s="226" t="s">
        <v>17</v>
      </c>
      <c r="E1629" s="226" t="s">
        <v>667</v>
      </c>
      <c r="F1629" s="226">
        <v>3.8019093923695117E-2</v>
      </c>
      <c r="G1629" s="226">
        <v>0</v>
      </c>
    </row>
    <row r="1630" spans="1:7">
      <c r="A1630" s="226" t="s">
        <v>639</v>
      </c>
      <c r="B1630" s="226" t="s">
        <v>1235</v>
      </c>
      <c r="C1630" s="226" t="s">
        <v>626</v>
      </c>
      <c r="D1630" s="226" t="s">
        <v>92</v>
      </c>
      <c r="E1630" s="226" t="s">
        <v>618</v>
      </c>
      <c r="F1630" s="226">
        <v>0.111</v>
      </c>
      <c r="G1630" s="226">
        <v>0.111</v>
      </c>
    </row>
    <row r="1631" spans="1:7">
      <c r="A1631" s="226" t="s">
        <v>639</v>
      </c>
      <c r="B1631" s="226" t="s">
        <v>1235</v>
      </c>
      <c r="C1631" s="226" t="s">
        <v>626</v>
      </c>
      <c r="D1631" s="226" t="s">
        <v>92</v>
      </c>
      <c r="E1631" s="226" t="s">
        <v>619</v>
      </c>
      <c r="F1631" s="226">
        <v>0</v>
      </c>
      <c r="G1631" s="226">
        <v>0</v>
      </c>
    </row>
    <row r="1632" spans="1:7">
      <c r="A1632" s="226" t="s">
        <v>639</v>
      </c>
      <c r="B1632" s="226" t="s">
        <v>1235</v>
      </c>
      <c r="C1632" s="226" t="s">
        <v>626</v>
      </c>
      <c r="D1632" s="226" t="s">
        <v>92</v>
      </c>
      <c r="E1632" s="226" t="s">
        <v>620</v>
      </c>
      <c r="F1632" s="226">
        <v>0</v>
      </c>
      <c r="G1632" s="226">
        <v>0</v>
      </c>
    </row>
    <row r="1633" spans="1:7">
      <c r="A1633" s="226" t="s">
        <v>639</v>
      </c>
      <c r="B1633" s="226" t="s">
        <v>1235</v>
      </c>
      <c r="C1633" s="226" t="s">
        <v>626</v>
      </c>
      <c r="D1633" s="226" t="s">
        <v>92</v>
      </c>
      <c r="E1633" s="226" t="s">
        <v>660</v>
      </c>
      <c r="F1633" s="226">
        <v>0</v>
      </c>
      <c r="G1633" s="226">
        <v>0</v>
      </c>
    </row>
    <row r="1634" spans="1:7">
      <c r="A1634" s="226" t="s">
        <v>639</v>
      </c>
      <c r="B1634" s="226" t="s">
        <v>1235</v>
      </c>
      <c r="C1634" s="226" t="s">
        <v>626</v>
      </c>
      <c r="D1634" s="226" t="s">
        <v>92</v>
      </c>
      <c r="E1634" s="226" t="s">
        <v>661</v>
      </c>
      <c r="F1634" s="226">
        <v>0</v>
      </c>
      <c r="G1634" s="226">
        <v>0</v>
      </c>
    </row>
    <row r="1635" spans="1:7">
      <c r="A1635" s="226" t="s">
        <v>639</v>
      </c>
      <c r="B1635" s="226" t="s">
        <v>1235</v>
      </c>
      <c r="C1635" s="226" t="s">
        <v>626</v>
      </c>
      <c r="D1635" s="226" t="s">
        <v>92</v>
      </c>
      <c r="E1635" s="226" t="s">
        <v>662</v>
      </c>
      <c r="F1635" s="226">
        <v>0</v>
      </c>
      <c r="G1635" s="226">
        <v>0</v>
      </c>
    </row>
    <row r="1636" spans="1:7">
      <c r="A1636" s="226" t="s">
        <v>639</v>
      </c>
      <c r="B1636" s="226" t="s">
        <v>1235</v>
      </c>
      <c r="C1636" s="226" t="s">
        <v>626</v>
      </c>
      <c r="D1636" s="226" t="s">
        <v>92</v>
      </c>
      <c r="E1636" s="226" t="s">
        <v>663</v>
      </c>
      <c r="F1636" s="226">
        <v>0</v>
      </c>
      <c r="G1636" s="226">
        <v>0</v>
      </c>
    </row>
    <row r="1637" spans="1:7">
      <c r="A1637" s="226" t="s">
        <v>639</v>
      </c>
      <c r="B1637" s="226" t="s">
        <v>1235</v>
      </c>
      <c r="C1637" s="226" t="s">
        <v>626</v>
      </c>
      <c r="D1637" s="226" t="s">
        <v>92</v>
      </c>
      <c r="E1637" s="226" t="s">
        <v>664</v>
      </c>
      <c r="F1637" s="226">
        <v>0</v>
      </c>
      <c r="G1637" s="226">
        <v>0</v>
      </c>
    </row>
    <row r="1638" spans="1:7">
      <c r="A1638" s="226" t="s">
        <v>639</v>
      </c>
      <c r="B1638" s="226" t="s">
        <v>1235</v>
      </c>
      <c r="C1638" s="226" t="s">
        <v>626</v>
      </c>
      <c r="D1638" s="226" t="s">
        <v>92</v>
      </c>
      <c r="E1638" s="226" t="s">
        <v>665</v>
      </c>
      <c r="F1638" s="226">
        <v>0</v>
      </c>
      <c r="G1638" s="226">
        <v>0</v>
      </c>
    </row>
    <row r="1639" spans="1:7">
      <c r="A1639" s="226" t="s">
        <v>639</v>
      </c>
      <c r="B1639" s="226" t="s">
        <v>1235</v>
      </c>
      <c r="C1639" s="226" t="s">
        <v>626</v>
      </c>
      <c r="D1639" s="226" t="s">
        <v>92</v>
      </c>
      <c r="E1639" s="226" t="s">
        <v>666</v>
      </c>
      <c r="F1639" s="226">
        <v>0</v>
      </c>
      <c r="G1639" s="226">
        <v>0</v>
      </c>
    </row>
    <row r="1640" spans="1:7">
      <c r="A1640" s="226" t="s">
        <v>639</v>
      </c>
      <c r="B1640" s="226" t="s">
        <v>1235</v>
      </c>
      <c r="C1640" s="226" t="s">
        <v>626</v>
      </c>
      <c r="D1640" s="226" t="s">
        <v>92</v>
      </c>
      <c r="E1640" s="226" t="s">
        <v>667</v>
      </c>
      <c r="F1640" s="226">
        <v>0</v>
      </c>
      <c r="G1640" s="226">
        <v>0</v>
      </c>
    </row>
    <row r="1641" spans="1:7">
      <c r="A1641" s="226" t="s">
        <v>639</v>
      </c>
      <c r="B1641" s="226" t="s">
        <v>1235</v>
      </c>
      <c r="C1641" s="226" t="s">
        <v>625</v>
      </c>
      <c r="D1641" s="226" t="s">
        <v>93</v>
      </c>
      <c r="E1641" s="226" t="s">
        <v>618</v>
      </c>
      <c r="F1641" s="226">
        <v>0</v>
      </c>
      <c r="G1641" s="226">
        <v>0</v>
      </c>
    </row>
    <row r="1642" spans="1:7">
      <c r="A1642" s="226" t="s">
        <v>639</v>
      </c>
      <c r="B1642" s="226" t="s">
        <v>1235</v>
      </c>
      <c r="C1642" s="226" t="s">
        <v>625</v>
      </c>
      <c r="D1642" s="226" t="s">
        <v>93</v>
      </c>
      <c r="E1642" s="226" t="s">
        <v>619</v>
      </c>
      <c r="F1642" s="226">
        <v>0</v>
      </c>
      <c r="G1642" s="226">
        <v>0</v>
      </c>
    </row>
    <row r="1643" spans="1:7">
      <c r="A1643" s="226" t="s">
        <v>639</v>
      </c>
      <c r="B1643" s="226" t="s">
        <v>1235</v>
      </c>
      <c r="C1643" s="226" t="s">
        <v>625</v>
      </c>
      <c r="D1643" s="226" t="s">
        <v>93</v>
      </c>
      <c r="E1643" s="226" t="s">
        <v>620</v>
      </c>
      <c r="F1643" s="226">
        <v>0</v>
      </c>
      <c r="G1643" s="226">
        <v>0</v>
      </c>
    </row>
    <row r="1644" spans="1:7">
      <c r="A1644" s="226" t="s">
        <v>639</v>
      </c>
      <c r="B1644" s="226" t="s">
        <v>1235</v>
      </c>
      <c r="C1644" s="226" t="s">
        <v>625</v>
      </c>
      <c r="D1644" s="226" t="s">
        <v>93</v>
      </c>
      <c r="E1644" s="226" t="s">
        <v>660</v>
      </c>
      <c r="F1644" s="226">
        <v>0</v>
      </c>
      <c r="G1644" s="226">
        <v>0</v>
      </c>
    </row>
    <row r="1645" spans="1:7">
      <c r="A1645" s="226" t="s">
        <v>639</v>
      </c>
      <c r="B1645" s="226" t="s">
        <v>1235</v>
      </c>
      <c r="C1645" s="226" t="s">
        <v>625</v>
      </c>
      <c r="D1645" s="226" t="s">
        <v>93</v>
      </c>
      <c r="E1645" s="226" t="s">
        <v>661</v>
      </c>
      <c r="F1645" s="226">
        <v>0</v>
      </c>
      <c r="G1645" s="226">
        <v>0</v>
      </c>
    </row>
    <row r="1646" spans="1:7">
      <c r="A1646" s="226" t="s">
        <v>639</v>
      </c>
      <c r="B1646" s="226" t="s">
        <v>1235</v>
      </c>
      <c r="C1646" s="226" t="s">
        <v>625</v>
      </c>
      <c r="D1646" s="226" t="s">
        <v>93</v>
      </c>
      <c r="E1646" s="226" t="s">
        <v>662</v>
      </c>
      <c r="F1646" s="226">
        <v>0</v>
      </c>
      <c r="G1646" s="226">
        <v>0</v>
      </c>
    </row>
    <row r="1647" spans="1:7">
      <c r="A1647" s="226" t="s">
        <v>639</v>
      </c>
      <c r="B1647" s="226" t="s">
        <v>1235</v>
      </c>
      <c r="C1647" s="226" t="s">
        <v>625</v>
      </c>
      <c r="D1647" s="226" t="s">
        <v>93</v>
      </c>
      <c r="E1647" s="226" t="s">
        <v>663</v>
      </c>
      <c r="F1647" s="226">
        <v>0</v>
      </c>
      <c r="G1647" s="226">
        <v>0</v>
      </c>
    </row>
    <row r="1648" spans="1:7">
      <c r="A1648" s="226" t="s">
        <v>639</v>
      </c>
      <c r="B1648" s="226" t="s">
        <v>1235</v>
      </c>
      <c r="C1648" s="226" t="s">
        <v>625</v>
      </c>
      <c r="D1648" s="226" t="s">
        <v>93</v>
      </c>
      <c r="E1648" s="226" t="s">
        <v>664</v>
      </c>
      <c r="F1648" s="226">
        <v>0</v>
      </c>
      <c r="G1648" s="226">
        <v>0</v>
      </c>
    </row>
    <row r="1649" spans="1:7">
      <c r="A1649" s="226" t="s">
        <v>639</v>
      </c>
      <c r="B1649" s="226" t="s">
        <v>1235</v>
      </c>
      <c r="C1649" s="226" t="s">
        <v>625</v>
      </c>
      <c r="D1649" s="226" t="s">
        <v>93</v>
      </c>
      <c r="E1649" s="226" t="s">
        <v>665</v>
      </c>
      <c r="F1649" s="226">
        <v>0</v>
      </c>
      <c r="G1649" s="226">
        <v>0</v>
      </c>
    </row>
    <row r="1650" spans="1:7">
      <c r="A1650" s="226" t="s">
        <v>639</v>
      </c>
      <c r="B1650" s="226" t="s">
        <v>1235</v>
      </c>
      <c r="C1650" s="226" t="s">
        <v>625</v>
      </c>
      <c r="D1650" s="226" t="s">
        <v>93</v>
      </c>
      <c r="E1650" s="226" t="s">
        <v>666</v>
      </c>
      <c r="F1650" s="226">
        <v>0</v>
      </c>
      <c r="G1650" s="226">
        <v>0</v>
      </c>
    </row>
    <row r="1651" spans="1:7">
      <c r="A1651" s="226" t="s">
        <v>639</v>
      </c>
      <c r="B1651" s="226" t="s">
        <v>1235</v>
      </c>
      <c r="C1651" s="226" t="s">
        <v>625</v>
      </c>
      <c r="D1651" s="226" t="s">
        <v>93</v>
      </c>
      <c r="E1651" s="226" t="s">
        <v>667</v>
      </c>
      <c r="F1651" s="226">
        <v>0</v>
      </c>
      <c r="G1651" s="226">
        <v>0</v>
      </c>
    </row>
    <row r="1652" spans="1:7">
      <c r="A1652" s="226" t="s">
        <v>1232</v>
      </c>
      <c r="B1652" s="226" t="s">
        <v>1235</v>
      </c>
      <c r="C1652" s="226" t="s">
        <v>627</v>
      </c>
      <c r="D1652" s="226" t="s">
        <v>14</v>
      </c>
      <c r="E1652" s="226" t="s">
        <v>618</v>
      </c>
      <c r="F1652" s="226">
        <v>2.6719198896025278E-2</v>
      </c>
      <c r="G1652" s="226">
        <v>2.2104833104232422E-2</v>
      </c>
    </row>
    <row r="1653" spans="1:7">
      <c r="A1653" s="226" t="s">
        <v>1232</v>
      </c>
      <c r="B1653" s="226" t="s">
        <v>1235</v>
      </c>
      <c r="C1653" s="226" t="s">
        <v>627</v>
      </c>
      <c r="D1653" s="226" t="s">
        <v>14</v>
      </c>
      <c r="E1653" s="226" t="s">
        <v>619</v>
      </c>
      <c r="F1653" s="226">
        <v>1.9339986885245899</v>
      </c>
      <c r="G1653" s="226">
        <v>1.6</v>
      </c>
    </row>
    <row r="1654" spans="1:7">
      <c r="A1654" s="226" t="s">
        <v>1232</v>
      </c>
      <c r="B1654" s="226" t="s">
        <v>1235</v>
      </c>
      <c r="C1654" s="226" t="s">
        <v>627</v>
      </c>
      <c r="D1654" s="226" t="s">
        <v>14</v>
      </c>
      <c r="E1654" s="226" t="s">
        <v>620</v>
      </c>
      <c r="F1654" s="226">
        <v>0</v>
      </c>
      <c r="G1654" s="226">
        <v>0</v>
      </c>
    </row>
    <row r="1655" spans="1:7">
      <c r="A1655" s="226" t="s">
        <v>1232</v>
      </c>
      <c r="B1655" s="226" t="s">
        <v>1235</v>
      </c>
      <c r="C1655" s="226" t="s">
        <v>627</v>
      </c>
      <c r="D1655" s="226" t="s">
        <v>14</v>
      </c>
      <c r="E1655" s="226" t="s">
        <v>660</v>
      </c>
      <c r="F1655" s="226">
        <v>0</v>
      </c>
      <c r="G1655" s="226">
        <v>0</v>
      </c>
    </row>
    <row r="1656" spans="1:7">
      <c r="A1656" s="226" t="s">
        <v>1232</v>
      </c>
      <c r="B1656" s="226" t="s">
        <v>1235</v>
      </c>
      <c r="C1656" s="226" t="s">
        <v>627</v>
      </c>
      <c r="D1656" s="226" t="s">
        <v>14</v>
      </c>
      <c r="E1656" s="226" t="s">
        <v>661</v>
      </c>
      <c r="F1656" s="226">
        <v>1.0915966965053041</v>
      </c>
      <c r="G1656" s="226">
        <v>0</v>
      </c>
    </row>
    <row r="1657" spans="1:7">
      <c r="A1657" s="226" t="s">
        <v>1232</v>
      </c>
      <c r="B1657" s="226" t="s">
        <v>1235</v>
      </c>
      <c r="C1657" s="226" t="s">
        <v>627</v>
      </c>
      <c r="D1657" s="226" t="s">
        <v>14</v>
      </c>
      <c r="E1657" s="226" t="s">
        <v>662</v>
      </c>
      <c r="F1657" s="226">
        <v>1.0915966965053041</v>
      </c>
      <c r="G1657" s="226">
        <v>0</v>
      </c>
    </row>
    <row r="1658" spans="1:7">
      <c r="A1658" s="226" t="s">
        <v>1232</v>
      </c>
      <c r="B1658" s="226" t="s">
        <v>1235</v>
      </c>
      <c r="C1658" s="226" t="s">
        <v>627</v>
      </c>
      <c r="D1658" s="226" t="s">
        <v>14</v>
      </c>
      <c r="E1658" s="226" t="s">
        <v>663</v>
      </c>
      <c r="F1658" s="226">
        <v>1.0915966965053041</v>
      </c>
      <c r="G1658" s="226">
        <v>0</v>
      </c>
    </row>
    <row r="1659" spans="1:7">
      <c r="A1659" s="226" t="s">
        <v>1232</v>
      </c>
      <c r="B1659" s="226" t="s">
        <v>1235</v>
      </c>
      <c r="C1659" s="226" t="s">
        <v>627</v>
      </c>
      <c r="D1659" s="226" t="s">
        <v>14</v>
      </c>
      <c r="E1659" s="226" t="s">
        <v>664</v>
      </c>
      <c r="F1659" s="226">
        <v>1.0915966965053041</v>
      </c>
      <c r="G1659" s="226">
        <v>0</v>
      </c>
    </row>
    <row r="1660" spans="1:7">
      <c r="A1660" s="226" t="s">
        <v>1232</v>
      </c>
      <c r="B1660" s="226" t="s">
        <v>1235</v>
      </c>
      <c r="C1660" s="226" t="s">
        <v>627</v>
      </c>
      <c r="D1660" s="226" t="s">
        <v>14</v>
      </c>
      <c r="E1660" s="226" t="s">
        <v>665</v>
      </c>
      <c r="F1660" s="226">
        <v>1.0915966965053041</v>
      </c>
      <c r="G1660" s="226">
        <v>0</v>
      </c>
    </row>
    <row r="1661" spans="1:7">
      <c r="A1661" s="226" t="s">
        <v>1232</v>
      </c>
      <c r="B1661" s="226" t="s">
        <v>1235</v>
      </c>
      <c r="C1661" s="226" t="s">
        <v>627</v>
      </c>
      <c r="D1661" s="226" t="s">
        <v>14</v>
      </c>
      <c r="E1661" s="226" t="s">
        <v>666</v>
      </c>
      <c r="F1661" s="226">
        <v>1.0915966965053041</v>
      </c>
      <c r="G1661" s="226">
        <v>0</v>
      </c>
    </row>
    <row r="1662" spans="1:7">
      <c r="A1662" s="226" t="s">
        <v>1232</v>
      </c>
      <c r="B1662" s="226" t="s">
        <v>1235</v>
      </c>
      <c r="C1662" s="226" t="s">
        <v>627</v>
      </c>
      <c r="D1662" s="226" t="s">
        <v>14</v>
      </c>
      <c r="E1662" s="226" t="s">
        <v>667</v>
      </c>
      <c r="F1662" s="226">
        <v>1.0915966965053041</v>
      </c>
      <c r="G1662" s="226">
        <v>0</v>
      </c>
    </row>
    <row r="1663" spans="1:7">
      <c r="A1663" s="226" t="s">
        <v>1232</v>
      </c>
      <c r="B1663" s="226" t="s">
        <v>1235</v>
      </c>
      <c r="C1663" s="226" t="s">
        <v>630</v>
      </c>
      <c r="D1663" s="226" t="s">
        <v>29</v>
      </c>
      <c r="E1663" s="226" t="s">
        <v>618</v>
      </c>
      <c r="F1663" s="226">
        <v>1.5850603366632358E-3</v>
      </c>
      <c r="G1663" s="226">
        <v>1.3695797839832107E-3</v>
      </c>
    </row>
    <row r="1664" spans="1:7">
      <c r="A1664" s="226" t="s">
        <v>1232</v>
      </c>
      <c r="B1664" s="226" t="s">
        <v>1235</v>
      </c>
      <c r="C1664" s="226" t="s">
        <v>630</v>
      </c>
      <c r="D1664" s="226" t="s">
        <v>29</v>
      </c>
      <c r="E1664" s="226" t="s">
        <v>619</v>
      </c>
      <c r="F1664" s="226">
        <v>0</v>
      </c>
      <c r="G1664" s="226">
        <v>0</v>
      </c>
    </row>
    <row r="1665" spans="1:7">
      <c r="A1665" s="226" t="s">
        <v>1232</v>
      </c>
      <c r="B1665" s="226" t="s">
        <v>1235</v>
      </c>
      <c r="C1665" s="226" t="s">
        <v>630</v>
      </c>
      <c r="D1665" s="226" t="s">
        <v>29</v>
      </c>
      <c r="E1665" s="226" t="s">
        <v>620</v>
      </c>
      <c r="F1665" s="226">
        <v>0</v>
      </c>
      <c r="G1665" s="226">
        <v>0</v>
      </c>
    </row>
    <row r="1666" spans="1:7">
      <c r="A1666" s="226" t="s">
        <v>1232</v>
      </c>
      <c r="B1666" s="226" t="s">
        <v>1235</v>
      </c>
      <c r="C1666" s="226" t="s">
        <v>630</v>
      </c>
      <c r="D1666" s="226" t="s">
        <v>29</v>
      </c>
      <c r="E1666" s="226" t="s">
        <v>660</v>
      </c>
      <c r="F1666" s="226">
        <v>0</v>
      </c>
      <c r="G1666" s="226">
        <v>0</v>
      </c>
    </row>
    <row r="1667" spans="1:7">
      <c r="A1667" s="226" t="s">
        <v>1232</v>
      </c>
      <c r="B1667" s="226" t="s">
        <v>1235</v>
      </c>
      <c r="C1667" s="226" t="s">
        <v>630</v>
      </c>
      <c r="D1667" s="226" t="s">
        <v>90</v>
      </c>
      <c r="E1667" s="226" t="s">
        <v>618</v>
      </c>
      <c r="F1667" s="226">
        <v>3.4592208474868032E-3</v>
      </c>
      <c r="G1667" s="226">
        <v>3.4592208474868032E-3</v>
      </c>
    </row>
    <row r="1668" spans="1:7">
      <c r="A1668" s="226" t="s">
        <v>1232</v>
      </c>
      <c r="B1668" s="226" t="s">
        <v>1235</v>
      </c>
      <c r="C1668" s="226" t="s">
        <v>630</v>
      </c>
      <c r="D1668" s="226" t="s">
        <v>90</v>
      </c>
      <c r="E1668" s="226" t="s">
        <v>619</v>
      </c>
      <c r="F1668" s="226">
        <v>0</v>
      </c>
      <c r="G1668" s="226">
        <v>0</v>
      </c>
    </row>
    <row r="1669" spans="1:7">
      <c r="A1669" s="226" t="s">
        <v>1232</v>
      </c>
      <c r="B1669" s="226" t="s">
        <v>1235</v>
      </c>
      <c r="C1669" s="226" t="s">
        <v>630</v>
      </c>
      <c r="D1669" s="226" t="s">
        <v>90</v>
      </c>
      <c r="E1669" s="226" t="s">
        <v>620</v>
      </c>
      <c r="F1669" s="226">
        <v>0</v>
      </c>
      <c r="G1669" s="226">
        <v>0</v>
      </c>
    </row>
    <row r="1670" spans="1:7">
      <c r="A1670" s="226" t="s">
        <v>1232</v>
      </c>
      <c r="B1670" s="226" t="s">
        <v>1235</v>
      </c>
      <c r="C1670" s="226" t="s">
        <v>630</v>
      </c>
      <c r="D1670" s="226" t="s">
        <v>90</v>
      </c>
      <c r="E1670" s="226" t="s">
        <v>660</v>
      </c>
      <c r="F1670" s="226">
        <v>0</v>
      </c>
      <c r="G1670" s="226">
        <v>0</v>
      </c>
    </row>
    <row r="1671" spans="1:7">
      <c r="A1671" s="226" t="s">
        <v>1232</v>
      </c>
      <c r="B1671" s="226" t="s">
        <v>1235</v>
      </c>
      <c r="C1671" s="226" t="s">
        <v>630</v>
      </c>
      <c r="D1671" s="226" t="s">
        <v>90</v>
      </c>
      <c r="E1671" s="226" t="s">
        <v>661</v>
      </c>
      <c r="F1671" s="226">
        <v>3.0232517277435588E-3</v>
      </c>
      <c r="G1671" s="226">
        <v>0</v>
      </c>
    </row>
    <row r="1672" spans="1:7">
      <c r="A1672" s="226" t="s">
        <v>1232</v>
      </c>
      <c r="B1672" s="226" t="s">
        <v>1235</v>
      </c>
      <c r="C1672" s="226" t="s">
        <v>630</v>
      </c>
      <c r="D1672" s="226" t="s">
        <v>90</v>
      </c>
      <c r="E1672" s="226" t="s">
        <v>662</v>
      </c>
      <c r="F1672" s="226">
        <v>3.0232517277435588E-3</v>
      </c>
      <c r="G1672" s="226">
        <v>0</v>
      </c>
    </row>
    <row r="1673" spans="1:7">
      <c r="A1673" s="226" t="s">
        <v>1232</v>
      </c>
      <c r="B1673" s="226" t="s">
        <v>1235</v>
      </c>
      <c r="C1673" s="226" t="s">
        <v>630</v>
      </c>
      <c r="D1673" s="226" t="s">
        <v>90</v>
      </c>
      <c r="E1673" s="226" t="s">
        <v>663</v>
      </c>
      <c r="F1673" s="226">
        <v>3.0232517277435588E-3</v>
      </c>
      <c r="G1673" s="226">
        <v>0</v>
      </c>
    </row>
    <row r="1674" spans="1:7">
      <c r="A1674" s="226" t="s">
        <v>1232</v>
      </c>
      <c r="B1674" s="226" t="s">
        <v>1235</v>
      </c>
      <c r="C1674" s="226" t="s">
        <v>630</v>
      </c>
      <c r="D1674" s="226" t="s">
        <v>90</v>
      </c>
      <c r="E1674" s="226" t="s">
        <v>664</v>
      </c>
      <c r="F1674" s="226">
        <v>3.0232517277435588E-3</v>
      </c>
      <c r="G1674" s="226">
        <v>0</v>
      </c>
    </row>
    <row r="1675" spans="1:7">
      <c r="A1675" s="226" t="s">
        <v>1232</v>
      </c>
      <c r="B1675" s="226" t="s">
        <v>1235</v>
      </c>
      <c r="C1675" s="226" t="s">
        <v>630</v>
      </c>
      <c r="D1675" s="226" t="s">
        <v>90</v>
      </c>
      <c r="E1675" s="226" t="s">
        <v>665</v>
      </c>
      <c r="F1675" s="226">
        <v>3.0232517277435588E-3</v>
      </c>
      <c r="G1675" s="226">
        <v>0</v>
      </c>
    </row>
    <row r="1676" spans="1:7">
      <c r="A1676" s="226" t="s">
        <v>1232</v>
      </c>
      <c r="B1676" s="226" t="s">
        <v>1235</v>
      </c>
      <c r="C1676" s="226" t="s">
        <v>630</v>
      </c>
      <c r="D1676" s="226" t="s">
        <v>90</v>
      </c>
      <c r="E1676" s="226" t="s">
        <v>666</v>
      </c>
      <c r="F1676" s="226">
        <v>3.0232517277435588E-3</v>
      </c>
      <c r="G1676" s="226">
        <v>0</v>
      </c>
    </row>
    <row r="1677" spans="1:7">
      <c r="A1677" s="226" t="s">
        <v>1232</v>
      </c>
      <c r="B1677" s="226" t="s">
        <v>1235</v>
      </c>
      <c r="C1677" s="226" t="s">
        <v>630</v>
      </c>
      <c r="D1677" s="226" t="s">
        <v>90</v>
      </c>
      <c r="E1677" s="226" t="s">
        <v>667</v>
      </c>
      <c r="F1677" s="226">
        <v>3.0232517277435588E-3</v>
      </c>
      <c r="G1677" s="226">
        <v>0</v>
      </c>
    </row>
    <row r="1678" spans="1:7">
      <c r="A1678" s="226" t="s">
        <v>1232</v>
      </c>
      <c r="B1678" s="226" t="s">
        <v>1235</v>
      </c>
      <c r="C1678" s="226" t="s">
        <v>630</v>
      </c>
      <c r="D1678" s="226" t="s">
        <v>29</v>
      </c>
      <c r="E1678" s="226" t="s">
        <v>661</v>
      </c>
      <c r="F1678" s="226">
        <v>6.7633569579417768E-2</v>
      </c>
      <c r="G1678" s="226">
        <v>0</v>
      </c>
    </row>
    <row r="1679" spans="1:7">
      <c r="A1679" s="226" t="s">
        <v>1232</v>
      </c>
      <c r="B1679" s="226" t="s">
        <v>1235</v>
      </c>
      <c r="C1679" s="226" t="s">
        <v>630</v>
      </c>
      <c r="D1679" s="226" t="s">
        <v>29</v>
      </c>
      <c r="E1679" s="226" t="s">
        <v>662</v>
      </c>
      <c r="F1679" s="226">
        <v>6.7633569579417768E-2</v>
      </c>
      <c r="G1679" s="226">
        <v>0</v>
      </c>
    </row>
    <row r="1680" spans="1:7">
      <c r="A1680" s="226" t="s">
        <v>1232</v>
      </c>
      <c r="B1680" s="226" t="s">
        <v>1235</v>
      </c>
      <c r="C1680" s="226" t="s">
        <v>630</v>
      </c>
      <c r="D1680" s="226" t="s">
        <v>29</v>
      </c>
      <c r="E1680" s="226" t="s">
        <v>663</v>
      </c>
      <c r="F1680" s="226">
        <v>6.7633569579417768E-2</v>
      </c>
      <c r="G1680" s="226">
        <v>0</v>
      </c>
    </row>
    <row r="1681" spans="1:7">
      <c r="A1681" s="226" t="s">
        <v>1232</v>
      </c>
      <c r="B1681" s="226" t="s">
        <v>1235</v>
      </c>
      <c r="C1681" s="226" t="s">
        <v>630</v>
      </c>
      <c r="D1681" s="226" t="s">
        <v>29</v>
      </c>
      <c r="E1681" s="226" t="s">
        <v>664</v>
      </c>
      <c r="F1681" s="226">
        <v>6.7633569579417768E-2</v>
      </c>
      <c r="G1681" s="226">
        <v>0</v>
      </c>
    </row>
    <row r="1682" spans="1:7">
      <c r="A1682" s="226" t="s">
        <v>1232</v>
      </c>
      <c r="B1682" s="226" t="s">
        <v>1235</v>
      </c>
      <c r="C1682" s="226" t="s">
        <v>630</v>
      </c>
      <c r="D1682" s="226" t="s">
        <v>29</v>
      </c>
      <c r="E1682" s="226" t="s">
        <v>665</v>
      </c>
      <c r="F1682" s="226">
        <v>6.7633569579417768E-2</v>
      </c>
      <c r="G1682" s="226">
        <v>0</v>
      </c>
    </row>
    <row r="1683" spans="1:7">
      <c r="A1683" s="226" t="s">
        <v>1232</v>
      </c>
      <c r="B1683" s="226" t="s">
        <v>1235</v>
      </c>
      <c r="C1683" s="226" t="s">
        <v>630</v>
      </c>
      <c r="D1683" s="226" t="s">
        <v>29</v>
      </c>
      <c r="E1683" s="226" t="s">
        <v>666</v>
      </c>
      <c r="F1683" s="226">
        <v>6.7633569579417768E-2</v>
      </c>
      <c r="G1683" s="226">
        <v>0</v>
      </c>
    </row>
    <row r="1684" spans="1:7">
      <c r="A1684" s="226" t="s">
        <v>1232</v>
      </c>
      <c r="B1684" s="226" t="s">
        <v>1235</v>
      </c>
      <c r="C1684" s="226" t="s">
        <v>630</v>
      </c>
      <c r="D1684" s="226" t="s">
        <v>29</v>
      </c>
      <c r="E1684" s="226" t="s">
        <v>667</v>
      </c>
      <c r="F1684" s="226">
        <v>6.7633569579417768E-2</v>
      </c>
      <c r="G1684" s="226">
        <v>0</v>
      </c>
    </row>
    <row r="1685" spans="1:7">
      <c r="A1685" s="226" t="s">
        <v>1232</v>
      </c>
      <c r="B1685" s="226" t="s">
        <v>1235</v>
      </c>
      <c r="C1685" s="226" t="s">
        <v>963</v>
      </c>
      <c r="D1685" s="226" t="s">
        <v>19</v>
      </c>
      <c r="E1685" s="226" t="s">
        <v>618</v>
      </c>
      <c r="F1685" s="226">
        <v>0.54437016429633589</v>
      </c>
      <c r="G1685" s="226">
        <v>0.52789713021725593</v>
      </c>
    </row>
    <row r="1686" spans="1:7">
      <c r="A1686" s="226" t="s">
        <v>1232</v>
      </c>
      <c r="B1686" s="226" t="s">
        <v>1235</v>
      </c>
      <c r="C1686" s="226" t="s">
        <v>963</v>
      </c>
      <c r="D1686" s="226" t="s">
        <v>19</v>
      </c>
      <c r="E1686" s="226" t="s">
        <v>619</v>
      </c>
      <c r="F1686" s="226">
        <v>1.6189918622848198</v>
      </c>
      <c r="G1686" s="226">
        <v>1.57</v>
      </c>
    </row>
    <row r="1687" spans="1:7">
      <c r="A1687" s="226" t="s">
        <v>1232</v>
      </c>
      <c r="B1687" s="226" t="s">
        <v>1235</v>
      </c>
      <c r="C1687" s="226" t="s">
        <v>963</v>
      </c>
      <c r="D1687" s="226" t="s">
        <v>19</v>
      </c>
      <c r="E1687" s="226" t="s">
        <v>620</v>
      </c>
      <c r="F1687" s="226">
        <v>2.0417859154929578</v>
      </c>
      <c r="G1687" s="226">
        <v>1.98</v>
      </c>
    </row>
    <row r="1688" spans="1:7">
      <c r="A1688" s="226" t="s">
        <v>1232</v>
      </c>
      <c r="B1688" s="226" t="s">
        <v>1235</v>
      </c>
      <c r="C1688" s="226" t="s">
        <v>963</v>
      </c>
      <c r="D1688" s="226" t="s">
        <v>19</v>
      </c>
      <c r="E1688" s="226" t="s">
        <v>660</v>
      </c>
      <c r="F1688" s="226">
        <v>0</v>
      </c>
      <c r="G1688" s="226">
        <v>0</v>
      </c>
    </row>
    <row r="1689" spans="1:7">
      <c r="A1689" s="226" t="s">
        <v>1232</v>
      </c>
      <c r="B1689" s="226" t="s">
        <v>1235</v>
      </c>
      <c r="C1689" s="226" t="s">
        <v>963</v>
      </c>
      <c r="D1689" s="226" t="s">
        <v>19</v>
      </c>
      <c r="E1689" s="226" t="s">
        <v>661</v>
      </c>
      <c r="F1689" s="226">
        <v>1.3611906103286384</v>
      </c>
      <c r="G1689" s="226">
        <v>1.32</v>
      </c>
    </row>
    <row r="1690" spans="1:7">
      <c r="A1690" s="226" t="s">
        <v>1232</v>
      </c>
      <c r="B1690" s="226" t="s">
        <v>1235</v>
      </c>
      <c r="C1690" s="226" t="s">
        <v>963</v>
      </c>
      <c r="D1690" s="226" t="s">
        <v>19</v>
      </c>
      <c r="E1690" s="226" t="s">
        <v>662</v>
      </c>
      <c r="F1690" s="226">
        <v>0.51343852924725275</v>
      </c>
      <c r="G1690" s="226">
        <v>0</v>
      </c>
    </row>
    <row r="1691" spans="1:7">
      <c r="A1691" s="226" t="s">
        <v>1232</v>
      </c>
      <c r="B1691" s="226" t="s">
        <v>1235</v>
      </c>
      <c r="C1691" s="226" t="s">
        <v>963</v>
      </c>
      <c r="D1691" s="226" t="s">
        <v>19</v>
      </c>
      <c r="E1691" s="226" t="s">
        <v>663</v>
      </c>
      <c r="F1691" s="226">
        <v>0.51343852924725275</v>
      </c>
      <c r="G1691" s="226">
        <v>0</v>
      </c>
    </row>
    <row r="1692" spans="1:7">
      <c r="A1692" s="226" t="s">
        <v>1232</v>
      </c>
      <c r="B1692" s="226" t="s">
        <v>1235</v>
      </c>
      <c r="C1692" s="226" t="s">
        <v>963</v>
      </c>
      <c r="D1692" s="226" t="s">
        <v>19</v>
      </c>
      <c r="E1692" s="226" t="s">
        <v>664</v>
      </c>
      <c r="F1692" s="226">
        <v>0.51343852924725275</v>
      </c>
      <c r="G1692" s="226">
        <v>0</v>
      </c>
    </row>
    <row r="1693" spans="1:7">
      <c r="A1693" s="226" t="s">
        <v>1232</v>
      </c>
      <c r="B1693" s="226" t="s">
        <v>1235</v>
      </c>
      <c r="C1693" s="226" t="s">
        <v>963</v>
      </c>
      <c r="D1693" s="226" t="s">
        <v>19</v>
      </c>
      <c r="E1693" s="226" t="s">
        <v>665</v>
      </c>
      <c r="F1693" s="226">
        <v>0.51343852924725275</v>
      </c>
      <c r="G1693" s="226">
        <v>0</v>
      </c>
    </row>
    <row r="1694" spans="1:7">
      <c r="A1694" s="226" t="s">
        <v>1232</v>
      </c>
      <c r="B1694" s="226" t="s">
        <v>1235</v>
      </c>
      <c r="C1694" s="226" t="s">
        <v>963</v>
      </c>
      <c r="D1694" s="226" t="s">
        <v>19</v>
      </c>
      <c r="E1694" s="226" t="s">
        <v>666</v>
      </c>
      <c r="F1694" s="226">
        <v>0.51343852924725275</v>
      </c>
      <c r="G1694" s="226">
        <v>0</v>
      </c>
    </row>
    <row r="1695" spans="1:7">
      <c r="A1695" s="226" t="s">
        <v>1232</v>
      </c>
      <c r="B1695" s="226" t="s">
        <v>1235</v>
      </c>
      <c r="C1695" s="226" t="s">
        <v>963</v>
      </c>
      <c r="D1695" s="226" t="s">
        <v>19</v>
      </c>
      <c r="E1695" s="226" t="s">
        <v>667</v>
      </c>
      <c r="F1695" s="226">
        <v>0.51343852924725275</v>
      </c>
      <c r="G1695" s="226">
        <v>0</v>
      </c>
    </row>
    <row r="1696" spans="1:7">
      <c r="A1696" s="226" t="s">
        <v>1232</v>
      </c>
      <c r="B1696" s="226" t="s">
        <v>1235</v>
      </c>
      <c r="C1696" s="226" t="s">
        <v>626</v>
      </c>
      <c r="D1696" s="226" t="s">
        <v>18</v>
      </c>
      <c r="E1696" s="226" t="s">
        <v>618</v>
      </c>
      <c r="F1696" s="226">
        <v>0.32990206579706149</v>
      </c>
      <c r="G1696" s="226">
        <v>0.25927021406188522</v>
      </c>
    </row>
    <row r="1697" spans="1:7">
      <c r="A1697" s="226" t="s">
        <v>1232</v>
      </c>
      <c r="B1697" s="226" t="s">
        <v>1235</v>
      </c>
      <c r="C1697" s="226" t="s">
        <v>626</v>
      </c>
      <c r="D1697" s="226" t="s">
        <v>18</v>
      </c>
      <c r="E1697" s="226" t="s">
        <v>619</v>
      </c>
      <c r="F1697" s="226">
        <v>1.0179405050155654</v>
      </c>
      <c r="G1697" s="226">
        <v>0.8</v>
      </c>
    </row>
    <row r="1698" spans="1:7">
      <c r="A1698" s="226" t="s">
        <v>1232</v>
      </c>
      <c r="B1698" s="226" t="s">
        <v>1235</v>
      </c>
      <c r="C1698" s="226" t="s">
        <v>626</v>
      </c>
      <c r="D1698" s="226" t="s">
        <v>18</v>
      </c>
      <c r="E1698" s="226" t="s">
        <v>620</v>
      </c>
      <c r="F1698" s="226">
        <v>0</v>
      </c>
      <c r="G1698" s="226">
        <v>0</v>
      </c>
    </row>
    <row r="1699" spans="1:7">
      <c r="A1699" s="226" t="s">
        <v>1232</v>
      </c>
      <c r="B1699" s="226" t="s">
        <v>1235</v>
      </c>
      <c r="C1699" s="226" t="s">
        <v>626</v>
      </c>
      <c r="D1699" s="226" t="s">
        <v>18</v>
      </c>
      <c r="E1699" s="226" t="s">
        <v>660</v>
      </c>
      <c r="F1699" s="226">
        <v>0</v>
      </c>
      <c r="G1699" s="226">
        <v>0</v>
      </c>
    </row>
    <row r="1700" spans="1:7">
      <c r="A1700" s="226" t="s">
        <v>1232</v>
      </c>
      <c r="B1700" s="226" t="s">
        <v>1235</v>
      </c>
      <c r="C1700" s="226" t="s">
        <v>626</v>
      </c>
      <c r="D1700" s="226" t="s">
        <v>18</v>
      </c>
      <c r="E1700" s="226" t="s">
        <v>661</v>
      </c>
      <c r="F1700" s="226">
        <v>2.2930476079942723</v>
      </c>
      <c r="G1700" s="226">
        <v>0</v>
      </c>
    </row>
    <row r="1701" spans="1:7">
      <c r="A1701" s="226" t="s">
        <v>1232</v>
      </c>
      <c r="B1701" s="226" t="s">
        <v>1235</v>
      </c>
      <c r="C1701" s="226" t="s">
        <v>626</v>
      </c>
      <c r="D1701" s="226" t="s">
        <v>18</v>
      </c>
      <c r="E1701" s="226" t="s">
        <v>662</v>
      </c>
      <c r="F1701" s="226">
        <v>2.2930476079942723</v>
      </c>
      <c r="G1701" s="226">
        <v>0</v>
      </c>
    </row>
    <row r="1702" spans="1:7">
      <c r="A1702" s="226" t="s">
        <v>1232</v>
      </c>
      <c r="B1702" s="226" t="s">
        <v>1235</v>
      </c>
      <c r="C1702" s="226" t="s">
        <v>626</v>
      </c>
      <c r="D1702" s="226" t="s">
        <v>18</v>
      </c>
      <c r="E1702" s="226" t="s">
        <v>663</v>
      </c>
      <c r="F1702" s="226">
        <v>2.2930476079942723</v>
      </c>
      <c r="G1702" s="226">
        <v>0</v>
      </c>
    </row>
    <row r="1703" spans="1:7">
      <c r="A1703" s="226" t="s">
        <v>1232</v>
      </c>
      <c r="B1703" s="226" t="s">
        <v>1235</v>
      </c>
      <c r="C1703" s="226" t="s">
        <v>626</v>
      </c>
      <c r="D1703" s="226" t="s">
        <v>18</v>
      </c>
      <c r="E1703" s="226" t="s">
        <v>664</v>
      </c>
      <c r="F1703" s="226">
        <v>2.2930476079942723</v>
      </c>
      <c r="G1703" s="226">
        <v>0</v>
      </c>
    </row>
    <row r="1704" spans="1:7">
      <c r="A1704" s="226" t="s">
        <v>1232</v>
      </c>
      <c r="B1704" s="226" t="s">
        <v>1235</v>
      </c>
      <c r="C1704" s="226" t="s">
        <v>626</v>
      </c>
      <c r="D1704" s="226" t="s">
        <v>18</v>
      </c>
      <c r="E1704" s="226" t="s">
        <v>665</v>
      </c>
      <c r="F1704" s="226">
        <v>2.2930476079942723</v>
      </c>
      <c r="G1704" s="226">
        <v>0</v>
      </c>
    </row>
    <row r="1705" spans="1:7">
      <c r="A1705" s="226" t="s">
        <v>1232</v>
      </c>
      <c r="B1705" s="226" t="s">
        <v>1235</v>
      </c>
      <c r="C1705" s="226" t="s">
        <v>626</v>
      </c>
      <c r="D1705" s="226" t="s">
        <v>18</v>
      </c>
      <c r="E1705" s="226" t="s">
        <v>666</v>
      </c>
      <c r="F1705" s="226">
        <v>2.2930476079942723</v>
      </c>
      <c r="G1705" s="226">
        <v>0</v>
      </c>
    </row>
    <row r="1706" spans="1:7">
      <c r="A1706" s="226" t="s">
        <v>1232</v>
      </c>
      <c r="B1706" s="226" t="s">
        <v>1235</v>
      </c>
      <c r="C1706" s="226" t="s">
        <v>626</v>
      </c>
      <c r="D1706" s="226" t="s">
        <v>18</v>
      </c>
      <c r="E1706" s="226" t="s">
        <v>667</v>
      </c>
      <c r="F1706" s="226">
        <v>2.2930476079942723</v>
      </c>
      <c r="G1706" s="226">
        <v>0</v>
      </c>
    </row>
    <row r="1707" spans="1:7">
      <c r="A1707" s="226" t="s">
        <v>1232</v>
      </c>
      <c r="B1707" s="226" t="s">
        <v>1235</v>
      </c>
      <c r="C1707" s="226" t="s">
        <v>626</v>
      </c>
      <c r="D1707" s="226" t="s">
        <v>91</v>
      </c>
      <c r="E1707" s="226" t="s">
        <v>618</v>
      </c>
      <c r="F1707" s="226">
        <v>1.0963087924614428E-2</v>
      </c>
      <c r="G1707" s="226">
        <v>1.0963087924614428E-2</v>
      </c>
    </row>
    <row r="1708" spans="1:7">
      <c r="A1708" s="226" t="s">
        <v>1232</v>
      </c>
      <c r="B1708" s="226" t="s">
        <v>1235</v>
      </c>
      <c r="C1708" s="226" t="s">
        <v>626</v>
      </c>
      <c r="D1708" s="226" t="s">
        <v>91</v>
      </c>
      <c r="E1708" s="226" t="s">
        <v>619</v>
      </c>
      <c r="F1708" s="226">
        <v>0</v>
      </c>
      <c r="G1708" s="226">
        <v>0</v>
      </c>
    </row>
    <row r="1709" spans="1:7">
      <c r="A1709" s="226" t="s">
        <v>1232</v>
      </c>
      <c r="B1709" s="226" t="s">
        <v>1235</v>
      </c>
      <c r="C1709" s="226" t="s">
        <v>626</v>
      </c>
      <c r="D1709" s="226" t="s">
        <v>91</v>
      </c>
      <c r="E1709" s="226" t="s">
        <v>620</v>
      </c>
      <c r="F1709" s="226">
        <v>0</v>
      </c>
      <c r="G1709" s="226">
        <v>0</v>
      </c>
    </row>
    <row r="1710" spans="1:7">
      <c r="A1710" s="226" t="s">
        <v>1232</v>
      </c>
      <c r="B1710" s="226" t="s">
        <v>1235</v>
      </c>
      <c r="C1710" s="226" t="s">
        <v>626</v>
      </c>
      <c r="D1710" s="226" t="s">
        <v>91</v>
      </c>
      <c r="E1710" s="226" t="s">
        <v>660</v>
      </c>
      <c r="F1710" s="226">
        <v>0</v>
      </c>
      <c r="G1710" s="226">
        <v>0</v>
      </c>
    </row>
    <row r="1711" spans="1:7">
      <c r="A1711" s="226" t="s">
        <v>1232</v>
      </c>
      <c r="B1711" s="226" t="s">
        <v>1235</v>
      </c>
      <c r="C1711" s="226" t="s">
        <v>626</v>
      </c>
      <c r="D1711" s="226" t="s">
        <v>91</v>
      </c>
      <c r="E1711" s="226" t="s">
        <v>661</v>
      </c>
      <c r="F1711" s="226">
        <v>1.2389098575031597E-3</v>
      </c>
      <c r="G1711" s="226">
        <v>0</v>
      </c>
    </row>
    <row r="1712" spans="1:7">
      <c r="A1712" s="226" t="s">
        <v>1232</v>
      </c>
      <c r="B1712" s="226" t="s">
        <v>1235</v>
      </c>
      <c r="C1712" s="226" t="s">
        <v>626</v>
      </c>
      <c r="D1712" s="226" t="s">
        <v>91</v>
      </c>
      <c r="E1712" s="226" t="s">
        <v>662</v>
      </c>
      <c r="F1712" s="226">
        <v>1.2389098575031597E-3</v>
      </c>
      <c r="G1712" s="226">
        <v>0</v>
      </c>
    </row>
    <row r="1713" spans="1:7">
      <c r="A1713" s="226" t="s">
        <v>1232</v>
      </c>
      <c r="B1713" s="226" t="s">
        <v>1235</v>
      </c>
      <c r="C1713" s="226" t="s">
        <v>626</v>
      </c>
      <c r="D1713" s="226" t="s">
        <v>91</v>
      </c>
      <c r="E1713" s="226" t="s">
        <v>663</v>
      </c>
      <c r="F1713" s="226">
        <v>1.2389098575031597E-3</v>
      </c>
      <c r="G1713" s="226">
        <v>0</v>
      </c>
    </row>
    <row r="1714" spans="1:7">
      <c r="A1714" s="226" t="s">
        <v>1232</v>
      </c>
      <c r="B1714" s="226" t="s">
        <v>1235</v>
      </c>
      <c r="C1714" s="226" t="s">
        <v>626</v>
      </c>
      <c r="D1714" s="226" t="s">
        <v>91</v>
      </c>
      <c r="E1714" s="226" t="s">
        <v>664</v>
      </c>
      <c r="F1714" s="226">
        <v>1.2389098575031597E-3</v>
      </c>
      <c r="G1714" s="226">
        <v>0</v>
      </c>
    </row>
    <row r="1715" spans="1:7">
      <c r="A1715" s="226" t="s">
        <v>1232</v>
      </c>
      <c r="B1715" s="226" t="s">
        <v>1235</v>
      </c>
      <c r="C1715" s="226" t="s">
        <v>626</v>
      </c>
      <c r="D1715" s="226" t="s">
        <v>91</v>
      </c>
      <c r="E1715" s="226" t="s">
        <v>665</v>
      </c>
      <c r="F1715" s="226">
        <v>1.2389098575031597E-3</v>
      </c>
      <c r="G1715" s="226">
        <v>0</v>
      </c>
    </row>
    <row r="1716" spans="1:7">
      <c r="A1716" s="226" t="s">
        <v>1232</v>
      </c>
      <c r="B1716" s="226" t="s">
        <v>1235</v>
      </c>
      <c r="C1716" s="226" t="s">
        <v>626</v>
      </c>
      <c r="D1716" s="226" t="s">
        <v>91</v>
      </c>
      <c r="E1716" s="226" t="s">
        <v>666</v>
      </c>
      <c r="F1716" s="226">
        <v>1.2389098575031597E-3</v>
      </c>
      <c r="G1716" s="226">
        <v>0</v>
      </c>
    </row>
    <row r="1717" spans="1:7">
      <c r="A1717" s="226" t="s">
        <v>1232</v>
      </c>
      <c r="B1717" s="226" t="s">
        <v>1235</v>
      </c>
      <c r="C1717" s="226" t="s">
        <v>626</v>
      </c>
      <c r="D1717" s="226" t="s">
        <v>91</v>
      </c>
      <c r="E1717" s="226" t="s">
        <v>667</v>
      </c>
      <c r="F1717" s="226">
        <v>1.2389098575031597E-3</v>
      </c>
      <c r="G1717" s="226">
        <v>0</v>
      </c>
    </row>
    <row r="1718" spans="1:7">
      <c r="A1718" s="226" t="s">
        <v>1232</v>
      </c>
      <c r="B1718" s="226" t="s">
        <v>1235</v>
      </c>
      <c r="C1718" s="226" t="s">
        <v>626</v>
      </c>
      <c r="D1718" s="226" t="s">
        <v>8</v>
      </c>
      <c r="E1718" s="226" t="s">
        <v>618</v>
      </c>
      <c r="F1718" s="226">
        <v>0.39319183367066513</v>
      </c>
      <c r="G1718" s="226">
        <v>0.31255900466683151</v>
      </c>
    </row>
    <row r="1719" spans="1:7">
      <c r="A1719" s="226" t="s">
        <v>1232</v>
      </c>
      <c r="B1719" s="226" t="s">
        <v>1235</v>
      </c>
      <c r="C1719" s="226" t="s">
        <v>626</v>
      </c>
      <c r="D1719" s="226" t="s">
        <v>8</v>
      </c>
      <c r="E1719" s="226" t="s">
        <v>619</v>
      </c>
      <c r="F1719" s="226">
        <v>0</v>
      </c>
      <c r="G1719" s="226">
        <v>0</v>
      </c>
    </row>
    <row r="1720" spans="1:7">
      <c r="A1720" s="226" t="s">
        <v>1232</v>
      </c>
      <c r="B1720" s="226" t="s">
        <v>1235</v>
      </c>
      <c r="C1720" s="226" t="s">
        <v>626</v>
      </c>
      <c r="D1720" s="226" t="s">
        <v>8</v>
      </c>
      <c r="E1720" s="226" t="s">
        <v>620</v>
      </c>
      <c r="F1720" s="226">
        <v>0</v>
      </c>
      <c r="G1720" s="226">
        <v>0</v>
      </c>
    </row>
    <row r="1721" spans="1:7">
      <c r="A1721" s="226" t="s">
        <v>1232</v>
      </c>
      <c r="B1721" s="226" t="s">
        <v>1235</v>
      </c>
      <c r="C1721" s="226" t="s">
        <v>626</v>
      </c>
      <c r="D1721" s="226" t="s">
        <v>8</v>
      </c>
      <c r="E1721" s="226" t="s">
        <v>660</v>
      </c>
      <c r="F1721" s="226">
        <v>0</v>
      </c>
      <c r="G1721" s="226">
        <v>0</v>
      </c>
    </row>
    <row r="1722" spans="1:7">
      <c r="A1722" s="226" t="s">
        <v>1232</v>
      </c>
      <c r="B1722" s="226" t="s">
        <v>1235</v>
      </c>
      <c r="C1722" s="226" t="s">
        <v>626</v>
      </c>
      <c r="D1722" s="226" t="s">
        <v>8</v>
      </c>
      <c r="E1722" s="226" t="s">
        <v>661</v>
      </c>
      <c r="F1722" s="226">
        <v>1.5910619588559596</v>
      </c>
      <c r="G1722" s="226">
        <v>0</v>
      </c>
    </row>
    <row r="1723" spans="1:7">
      <c r="A1723" s="226" t="s">
        <v>1232</v>
      </c>
      <c r="B1723" s="226" t="s">
        <v>1235</v>
      </c>
      <c r="C1723" s="226" t="s">
        <v>626</v>
      </c>
      <c r="D1723" s="226" t="s">
        <v>8</v>
      </c>
      <c r="E1723" s="226" t="s">
        <v>662</v>
      </c>
      <c r="F1723" s="226">
        <v>1.5910619588559596</v>
      </c>
      <c r="G1723" s="226">
        <v>0</v>
      </c>
    </row>
    <row r="1724" spans="1:7">
      <c r="A1724" s="226" t="s">
        <v>1232</v>
      </c>
      <c r="B1724" s="226" t="s">
        <v>1235</v>
      </c>
      <c r="C1724" s="226" t="s">
        <v>626</v>
      </c>
      <c r="D1724" s="226" t="s">
        <v>8</v>
      </c>
      <c r="E1724" s="226" t="s">
        <v>663</v>
      </c>
      <c r="F1724" s="226">
        <v>1.5910619588559596</v>
      </c>
      <c r="G1724" s="226">
        <v>0</v>
      </c>
    </row>
    <row r="1725" spans="1:7">
      <c r="A1725" s="226" t="s">
        <v>1232</v>
      </c>
      <c r="B1725" s="226" t="s">
        <v>1235</v>
      </c>
      <c r="C1725" s="226" t="s">
        <v>626</v>
      </c>
      <c r="D1725" s="226" t="s">
        <v>8</v>
      </c>
      <c r="E1725" s="226" t="s">
        <v>664</v>
      </c>
      <c r="F1725" s="226">
        <v>1.5910619588559596</v>
      </c>
      <c r="G1725" s="226">
        <v>0</v>
      </c>
    </row>
    <row r="1726" spans="1:7">
      <c r="A1726" s="226" t="s">
        <v>1232</v>
      </c>
      <c r="B1726" s="226" t="s">
        <v>1235</v>
      </c>
      <c r="C1726" s="226" t="s">
        <v>626</v>
      </c>
      <c r="D1726" s="226" t="s">
        <v>8</v>
      </c>
      <c r="E1726" s="226" t="s">
        <v>665</v>
      </c>
      <c r="F1726" s="226">
        <v>1.5910619588559596</v>
      </c>
      <c r="G1726" s="226">
        <v>0</v>
      </c>
    </row>
    <row r="1727" spans="1:7">
      <c r="A1727" s="226" t="s">
        <v>1232</v>
      </c>
      <c r="B1727" s="226" t="s">
        <v>1235</v>
      </c>
      <c r="C1727" s="226" t="s">
        <v>626</v>
      </c>
      <c r="D1727" s="226" t="s">
        <v>8</v>
      </c>
      <c r="E1727" s="226" t="s">
        <v>666</v>
      </c>
      <c r="F1727" s="226">
        <v>1.5910619588559596</v>
      </c>
      <c r="G1727" s="226">
        <v>0</v>
      </c>
    </row>
    <row r="1728" spans="1:7">
      <c r="A1728" s="226" t="s">
        <v>1232</v>
      </c>
      <c r="B1728" s="226" t="s">
        <v>1235</v>
      </c>
      <c r="C1728" s="226" t="s">
        <v>626</v>
      </c>
      <c r="D1728" s="226" t="s">
        <v>8</v>
      </c>
      <c r="E1728" s="226" t="s">
        <v>667</v>
      </c>
      <c r="F1728" s="226">
        <v>1.5910619588559596</v>
      </c>
      <c r="G1728" s="226">
        <v>0</v>
      </c>
    </row>
    <row r="1729" spans="1:7">
      <c r="A1729" s="226" t="s">
        <v>1232</v>
      </c>
      <c r="B1729" s="226" t="s">
        <v>1235</v>
      </c>
      <c r="C1729" s="226" t="s">
        <v>625</v>
      </c>
      <c r="D1729" s="226" t="s">
        <v>5</v>
      </c>
      <c r="E1729" s="226" t="s">
        <v>618</v>
      </c>
      <c r="F1729" s="226">
        <v>3.3084257599888568E-2</v>
      </c>
      <c r="G1729" s="226">
        <v>3.1014436720727238E-2</v>
      </c>
    </row>
    <row r="1730" spans="1:7">
      <c r="A1730" s="226" t="s">
        <v>1232</v>
      </c>
      <c r="B1730" s="226" t="s">
        <v>1235</v>
      </c>
      <c r="C1730" s="226" t="s">
        <v>625</v>
      </c>
      <c r="D1730" s="226" t="s">
        <v>5</v>
      </c>
      <c r="E1730" s="226" t="s">
        <v>619</v>
      </c>
      <c r="F1730" s="226">
        <v>0</v>
      </c>
      <c r="G1730" s="226">
        <v>0</v>
      </c>
    </row>
    <row r="1731" spans="1:7">
      <c r="A1731" s="226" t="s">
        <v>1232</v>
      </c>
      <c r="B1731" s="226" t="s">
        <v>1235</v>
      </c>
      <c r="C1731" s="226" t="s">
        <v>625</v>
      </c>
      <c r="D1731" s="226" t="s">
        <v>5</v>
      </c>
      <c r="E1731" s="226" t="s">
        <v>620</v>
      </c>
      <c r="F1731" s="226">
        <v>0</v>
      </c>
      <c r="G1731" s="226">
        <v>0</v>
      </c>
    </row>
    <row r="1732" spans="1:7">
      <c r="A1732" s="226" t="s">
        <v>1232</v>
      </c>
      <c r="B1732" s="226" t="s">
        <v>1235</v>
      </c>
      <c r="C1732" s="226" t="s">
        <v>625</v>
      </c>
      <c r="D1732" s="226" t="s">
        <v>5</v>
      </c>
      <c r="E1732" s="226" t="s">
        <v>660</v>
      </c>
      <c r="F1732" s="226">
        <v>0</v>
      </c>
      <c r="G1732" s="226">
        <v>0</v>
      </c>
    </row>
    <row r="1733" spans="1:7">
      <c r="A1733" s="226" t="s">
        <v>1232</v>
      </c>
      <c r="B1733" s="226" t="s">
        <v>1235</v>
      </c>
      <c r="C1733" s="226" t="s">
        <v>625</v>
      </c>
      <c r="D1733" s="226" t="s">
        <v>5</v>
      </c>
      <c r="E1733" s="226" t="s">
        <v>661</v>
      </c>
      <c r="F1733" s="226">
        <v>0.4430240355914648</v>
      </c>
      <c r="G1733" s="226">
        <v>0</v>
      </c>
    </row>
    <row r="1734" spans="1:7">
      <c r="A1734" s="226" t="s">
        <v>1232</v>
      </c>
      <c r="B1734" s="226" t="s">
        <v>1235</v>
      </c>
      <c r="C1734" s="226" t="s">
        <v>625</v>
      </c>
      <c r="D1734" s="226" t="s">
        <v>5</v>
      </c>
      <c r="E1734" s="226" t="s">
        <v>662</v>
      </c>
      <c r="F1734" s="226">
        <v>0.4430240355914648</v>
      </c>
      <c r="G1734" s="226">
        <v>0</v>
      </c>
    </row>
    <row r="1735" spans="1:7">
      <c r="A1735" s="226" t="s">
        <v>1232</v>
      </c>
      <c r="B1735" s="226" t="s">
        <v>1235</v>
      </c>
      <c r="C1735" s="226" t="s">
        <v>625</v>
      </c>
      <c r="D1735" s="226" t="s">
        <v>5</v>
      </c>
      <c r="E1735" s="226" t="s">
        <v>663</v>
      </c>
      <c r="F1735" s="226">
        <v>0.4430240355914648</v>
      </c>
      <c r="G1735" s="226">
        <v>0</v>
      </c>
    </row>
    <row r="1736" spans="1:7">
      <c r="A1736" s="226" t="s">
        <v>1232</v>
      </c>
      <c r="B1736" s="226" t="s">
        <v>1235</v>
      </c>
      <c r="C1736" s="226" t="s">
        <v>625</v>
      </c>
      <c r="D1736" s="226" t="s">
        <v>5</v>
      </c>
      <c r="E1736" s="226" t="s">
        <v>664</v>
      </c>
      <c r="F1736" s="226">
        <v>0.4430240355914648</v>
      </c>
      <c r="G1736" s="226">
        <v>0</v>
      </c>
    </row>
    <row r="1737" spans="1:7">
      <c r="A1737" s="226" t="s">
        <v>1232</v>
      </c>
      <c r="B1737" s="226" t="s">
        <v>1235</v>
      </c>
      <c r="C1737" s="226" t="s">
        <v>625</v>
      </c>
      <c r="D1737" s="226" t="s">
        <v>5</v>
      </c>
      <c r="E1737" s="226" t="s">
        <v>665</v>
      </c>
      <c r="F1737" s="226">
        <v>0.4430240355914648</v>
      </c>
      <c r="G1737" s="226">
        <v>0</v>
      </c>
    </row>
    <row r="1738" spans="1:7">
      <c r="A1738" s="226" t="s">
        <v>1232</v>
      </c>
      <c r="B1738" s="226" t="s">
        <v>1235</v>
      </c>
      <c r="C1738" s="226" t="s">
        <v>625</v>
      </c>
      <c r="D1738" s="226" t="s">
        <v>5</v>
      </c>
      <c r="E1738" s="226" t="s">
        <v>666</v>
      </c>
      <c r="F1738" s="226">
        <v>0.4430240355914648</v>
      </c>
      <c r="G1738" s="226">
        <v>0</v>
      </c>
    </row>
    <row r="1739" spans="1:7">
      <c r="A1739" s="226" t="s">
        <v>1232</v>
      </c>
      <c r="B1739" s="226" t="s">
        <v>1235</v>
      </c>
      <c r="C1739" s="226" t="s">
        <v>625</v>
      </c>
      <c r="D1739" s="226" t="s">
        <v>5</v>
      </c>
      <c r="E1739" s="226" t="s">
        <v>667</v>
      </c>
      <c r="F1739" s="226">
        <v>0.4430240355914648</v>
      </c>
      <c r="G1739" s="226">
        <v>0</v>
      </c>
    </row>
    <row r="1740" spans="1:7">
      <c r="A1740" s="226" t="s">
        <v>1232</v>
      </c>
      <c r="B1740" s="226" t="s">
        <v>1235</v>
      </c>
      <c r="C1740" s="226" t="s">
        <v>625</v>
      </c>
      <c r="D1740" s="226" t="s">
        <v>88</v>
      </c>
      <c r="E1740" s="226" t="s">
        <v>618</v>
      </c>
      <c r="F1740" s="226">
        <v>4.9268581514833814E-5</v>
      </c>
      <c r="G1740" s="226">
        <v>4.9268581514833814E-5</v>
      </c>
    </row>
    <row r="1741" spans="1:7">
      <c r="A1741" s="226" t="s">
        <v>1232</v>
      </c>
      <c r="B1741" s="226" t="s">
        <v>1235</v>
      </c>
      <c r="C1741" s="226" t="s">
        <v>625</v>
      </c>
      <c r="D1741" s="226" t="s">
        <v>88</v>
      </c>
      <c r="E1741" s="226" t="s">
        <v>619</v>
      </c>
      <c r="F1741" s="226">
        <v>0</v>
      </c>
      <c r="G1741" s="226">
        <v>0</v>
      </c>
    </row>
    <row r="1742" spans="1:7">
      <c r="A1742" s="226" t="s">
        <v>1232</v>
      </c>
      <c r="B1742" s="226" t="s">
        <v>1235</v>
      </c>
      <c r="C1742" s="226" t="s">
        <v>625</v>
      </c>
      <c r="D1742" s="226" t="s">
        <v>88</v>
      </c>
      <c r="E1742" s="226" t="s">
        <v>620</v>
      </c>
      <c r="F1742" s="226">
        <v>0</v>
      </c>
      <c r="G1742" s="226">
        <v>0</v>
      </c>
    </row>
    <row r="1743" spans="1:7">
      <c r="A1743" s="226" t="s">
        <v>1232</v>
      </c>
      <c r="B1743" s="226" t="s">
        <v>1235</v>
      </c>
      <c r="C1743" s="226" t="s">
        <v>625</v>
      </c>
      <c r="D1743" s="226" t="s">
        <v>88</v>
      </c>
      <c r="E1743" s="226" t="s">
        <v>660</v>
      </c>
      <c r="F1743" s="226">
        <v>0</v>
      </c>
      <c r="G1743" s="226">
        <v>0</v>
      </c>
    </row>
    <row r="1744" spans="1:7">
      <c r="A1744" s="226" t="s">
        <v>1232</v>
      </c>
      <c r="B1744" s="226" t="s">
        <v>1235</v>
      </c>
      <c r="C1744" s="226" t="s">
        <v>625</v>
      </c>
      <c r="D1744" s="226" t="s">
        <v>88</v>
      </c>
      <c r="E1744" s="226" t="s">
        <v>661</v>
      </c>
      <c r="F1744" s="226">
        <v>2.4330163711029028E-3</v>
      </c>
      <c r="G1744" s="226">
        <v>0</v>
      </c>
    </row>
    <row r="1745" spans="1:7">
      <c r="A1745" s="226" t="s">
        <v>1232</v>
      </c>
      <c r="B1745" s="226" t="s">
        <v>1235</v>
      </c>
      <c r="C1745" s="226" t="s">
        <v>625</v>
      </c>
      <c r="D1745" s="226" t="s">
        <v>88</v>
      </c>
      <c r="E1745" s="226" t="s">
        <v>662</v>
      </c>
      <c r="F1745" s="226">
        <v>2.4330163711029028E-3</v>
      </c>
      <c r="G1745" s="226">
        <v>0</v>
      </c>
    </row>
    <row r="1746" spans="1:7">
      <c r="A1746" s="226" t="s">
        <v>1232</v>
      </c>
      <c r="B1746" s="226" t="s">
        <v>1235</v>
      </c>
      <c r="C1746" s="226" t="s">
        <v>625</v>
      </c>
      <c r="D1746" s="226" t="s">
        <v>88</v>
      </c>
      <c r="E1746" s="226" t="s">
        <v>663</v>
      </c>
      <c r="F1746" s="226">
        <v>2.4330163711029028E-3</v>
      </c>
      <c r="G1746" s="226">
        <v>0</v>
      </c>
    </row>
    <row r="1747" spans="1:7">
      <c r="A1747" s="226" t="s">
        <v>1232</v>
      </c>
      <c r="B1747" s="226" t="s">
        <v>1235</v>
      </c>
      <c r="C1747" s="226" t="s">
        <v>625</v>
      </c>
      <c r="D1747" s="226" t="s">
        <v>88</v>
      </c>
      <c r="E1747" s="226" t="s">
        <v>664</v>
      </c>
      <c r="F1747" s="226">
        <v>2.4330163711029028E-3</v>
      </c>
      <c r="G1747" s="226">
        <v>0</v>
      </c>
    </row>
    <row r="1748" spans="1:7">
      <c r="A1748" s="226" t="s">
        <v>1232</v>
      </c>
      <c r="B1748" s="226" t="s">
        <v>1235</v>
      </c>
      <c r="C1748" s="226" t="s">
        <v>625</v>
      </c>
      <c r="D1748" s="226" t="s">
        <v>88</v>
      </c>
      <c r="E1748" s="226" t="s">
        <v>665</v>
      </c>
      <c r="F1748" s="226">
        <v>2.4330163711029028E-3</v>
      </c>
      <c r="G1748" s="226">
        <v>0</v>
      </c>
    </row>
    <row r="1749" spans="1:7">
      <c r="A1749" s="226" t="s">
        <v>1232</v>
      </c>
      <c r="B1749" s="226" t="s">
        <v>1235</v>
      </c>
      <c r="C1749" s="226" t="s">
        <v>625</v>
      </c>
      <c r="D1749" s="226" t="s">
        <v>88</v>
      </c>
      <c r="E1749" s="226" t="s">
        <v>666</v>
      </c>
      <c r="F1749" s="226">
        <v>2.4330163711029028E-3</v>
      </c>
      <c r="G1749" s="226">
        <v>0</v>
      </c>
    </row>
    <row r="1750" spans="1:7">
      <c r="A1750" s="226" t="s">
        <v>1232</v>
      </c>
      <c r="B1750" s="226" t="s">
        <v>1235</v>
      </c>
      <c r="C1750" s="226" t="s">
        <v>625</v>
      </c>
      <c r="D1750" s="226" t="s">
        <v>88</v>
      </c>
      <c r="E1750" s="226" t="s">
        <v>667</v>
      </c>
      <c r="F1750" s="226">
        <v>2.4330163711029028E-3</v>
      </c>
      <c r="G1750" s="226">
        <v>0</v>
      </c>
    </row>
    <row r="1751" spans="1:7">
      <c r="A1751" s="226" t="s">
        <v>1232</v>
      </c>
      <c r="B1751" s="226" t="s">
        <v>1235</v>
      </c>
      <c r="C1751" s="226" t="s">
        <v>625</v>
      </c>
      <c r="D1751" s="226" t="s">
        <v>89</v>
      </c>
      <c r="E1751" s="226" t="s">
        <v>618</v>
      </c>
      <c r="F1751" s="226">
        <v>5.3721000000000116E-2</v>
      </c>
      <c r="G1751" s="226">
        <v>5.3721000000000116E-2</v>
      </c>
    </row>
    <row r="1752" spans="1:7">
      <c r="A1752" s="226" t="s">
        <v>1232</v>
      </c>
      <c r="B1752" s="226" t="s">
        <v>1235</v>
      </c>
      <c r="C1752" s="226" t="s">
        <v>625</v>
      </c>
      <c r="D1752" s="226" t="s">
        <v>89</v>
      </c>
      <c r="E1752" s="226" t="s">
        <v>619</v>
      </c>
      <c r="F1752" s="226">
        <v>0</v>
      </c>
      <c r="G1752" s="226">
        <v>0</v>
      </c>
    </row>
    <row r="1753" spans="1:7">
      <c r="A1753" s="226" t="s">
        <v>1232</v>
      </c>
      <c r="B1753" s="226" t="s">
        <v>1235</v>
      </c>
      <c r="C1753" s="226" t="s">
        <v>625</v>
      </c>
      <c r="D1753" s="226" t="s">
        <v>89</v>
      </c>
      <c r="E1753" s="226" t="s">
        <v>620</v>
      </c>
      <c r="F1753" s="226">
        <v>0</v>
      </c>
      <c r="G1753" s="226">
        <v>0</v>
      </c>
    </row>
    <row r="1754" spans="1:7">
      <c r="A1754" s="226" t="s">
        <v>1232</v>
      </c>
      <c r="B1754" s="226" t="s">
        <v>1235</v>
      </c>
      <c r="C1754" s="226" t="s">
        <v>625</v>
      </c>
      <c r="D1754" s="226" t="s">
        <v>89</v>
      </c>
      <c r="E1754" s="226" t="s">
        <v>660</v>
      </c>
      <c r="F1754" s="226">
        <v>0</v>
      </c>
      <c r="G1754" s="226">
        <v>0</v>
      </c>
    </row>
    <row r="1755" spans="1:7">
      <c r="A1755" s="226" t="s">
        <v>1232</v>
      </c>
      <c r="B1755" s="226" t="s">
        <v>1235</v>
      </c>
      <c r="C1755" s="226" t="s">
        <v>625</v>
      </c>
      <c r="D1755" s="226" t="s">
        <v>89</v>
      </c>
      <c r="E1755" s="226" t="s">
        <v>661</v>
      </c>
      <c r="F1755" s="226">
        <v>0</v>
      </c>
      <c r="G1755" s="226">
        <v>0</v>
      </c>
    </row>
    <row r="1756" spans="1:7">
      <c r="A1756" s="226" t="s">
        <v>1232</v>
      </c>
      <c r="B1756" s="226" t="s">
        <v>1235</v>
      </c>
      <c r="C1756" s="226" t="s">
        <v>625</v>
      </c>
      <c r="D1756" s="226" t="s">
        <v>89</v>
      </c>
      <c r="E1756" s="226" t="s">
        <v>662</v>
      </c>
      <c r="F1756" s="226">
        <v>0</v>
      </c>
      <c r="G1756" s="226">
        <v>0</v>
      </c>
    </row>
    <row r="1757" spans="1:7">
      <c r="A1757" s="226" t="s">
        <v>1232</v>
      </c>
      <c r="B1757" s="226" t="s">
        <v>1235</v>
      </c>
      <c r="C1757" s="226" t="s">
        <v>625</v>
      </c>
      <c r="D1757" s="226" t="s">
        <v>89</v>
      </c>
      <c r="E1757" s="226" t="s">
        <v>663</v>
      </c>
      <c r="F1757" s="226">
        <v>0</v>
      </c>
      <c r="G1757" s="226">
        <v>0</v>
      </c>
    </row>
    <row r="1758" spans="1:7">
      <c r="A1758" s="226" t="s">
        <v>1232</v>
      </c>
      <c r="B1758" s="226" t="s">
        <v>1235</v>
      </c>
      <c r="C1758" s="226" t="s">
        <v>625</v>
      </c>
      <c r="D1758" s="226" t="s">
        <v>89</v>
      </c>
      <c r="E1758" s="226" t="s">
        <v>664</v>
      </c>
      <c r="F1758" s="226">
        <v>0</v>
      </c>
      <c r="G1758" s="226">
        <v>0</v>
      </c>
    </row>
    <row r="1759" spans="1:7">
      <c r="A1759" s="226" t="s">
        <v>1232</v>
      </c>
      <c r="B1759" s="226" t="s">
        <v>1235</v>
      </c>
      <c r="C1759" s="226" t="s">
        <v>625</v>
      </c>
      <c r="D1759" s="226" t="s">
        <v>89</v>
      </c>
      <c r="E1759" s="226" t="s">
        <v>665</v>
      </c>
      <c r="F1759" s="226">
        <v>0</v>
      </c>
      <c r="G1759" s="226">
        <v>0</v>
      </c>
    </row>
    <row r="1760" spans="1:7">
      <c r="A1760" s="226" t="s">
        <v>1232</v>
      </c>
      <c r="B1760" s="226" t="s">
        <v>1235</v>
      </c>
      <c r="C1760" s="226" t="s">
        <v>625</v>
      </c>
      <c r="D1760" s="226" t="s">
        <v>89</v>
      </c>
      <c r="E1760" s="226" t="s">
        <v>666</v>
      </c>
      <c r="F1760" s="226">
        <v>0</v>
      </c>
      <c r="G1760" s="226">
        <v>0</v>
      </c>
    </row>
    <row r="1761" spans="1:7">
      <c r="A1761" s="226" t="s">
        <v>1232</v>
      </c>
      <c r="B1761" s="226" t="s">
        <v>1235</v>
      </c>
      <c r="C1761" s="226" t="s">
        <v>625</v>
      </c>
      <c r="D1761" s="226" t="s">
        <v>89</v>
      </c>
      <c r="E1761" s="226" t="s">
        <v>667</v>
      </c>
      <c r="F1761" s="226">
        <v>0</v>
      </c>
      <c r="G1761" s="226">
        <v>0</v>
      </c>
    </row>
    <row r="1762" spans="1:7">
      <c r="A1762" s="226" t="s">
        <v>1232</v>
      </c>
      <c r="B1762" s="226" t="s">
        <v>1235</v>
      </c>
      <c r="C1762" s="226" t="s">
        <v>963</v>
      </c>
      <c r="D1762" s="226" t="s">
        <v>20</v>
      </c>
      <c r="E1762" s="226" t="s">
        <v>618</v>
      </c>
      <c r="F1762" s="226">
        <v>3.907098072906294E-2</v>
      </c>
      <c r="G1762" s="226">
        <v>2.9365192151763142E-2</v>
      </c>
    </row>
    <row r="1763" spans="1:7">
      <c r="A1763" s="226" t="s">
        <v>1232</v>
      </c>
      <c r="B1763" s="226" t="s">
        <v>1235</v>
      </c>
      <c r="C1763" s="226" t="s">
        <v>963</v>
      </c>
      <c r="D1763" s="226" t="s">
        <v>20</v>
      </c>
      <c r="E1763" s="226" t="s">
        <v>619</v>
      </c>
      <c r="F1763" s="226">
        <v>0</v>
      </c>
      <c r="G1763" s="226">
        <v>0</v>
      </c>
    </row>
    <row r="1764" spans="1:7">
      <c r="A1764" s="226" t="s">
        <v>1232</v>
      </c>
      <c r="B1764" s="226" t="s">
        <v>1235</v>
      </c>
      <c r="C1764" s="226" t="s">
        <v>963</v>
      </c>
      <c r="D1764" s="226" t="s">
        <v>20</v>
      </c>
      <c r="E1764" s="226" t="s">
        <v>620</v>
      </c>
      <c r="F1764" s="226">
        <v>2.8207027802690581</v>
      </c>
      <c r="G1764" s="226">
        <v>2.12</v>
      </c>
    </row>
    <row r="1765" spans="1:7">
      <c r="A1765" s="226" t="s">
        <v>1232</v>
      </c>
      <c r="B1765" s="226" t="s">
        <v>1235</v>
      </c>
      <c r="C1765" s="226" t="s">
        <v>963</v>
      </c>
      <c r="D1765" s="226" t="s">
        <v>20</v>
      </c>
      <c r="E1765" s="226" t="s">
        <v>660</v>
      </c>
      <c r="F1765" s="226">
        <v>3.0069756053811658</v>
      </c>
      <c r="G1765" s="226">
        <v>2.2599999999999998</v>
      </c>
    </row>
    <row r="1766" spans="1:7">
      <c r="A1766" s="226" t="s">
        <v>1232</v>
      </c>
      <c r="B1766" s="226" t="s">
        <v>1235</v>
      </c>
      <c r="C1766" s="226" t="s">
        <v>963</v>
      </c>
      <c r="D1766" s="226" t="s">
        <v>20</v>
      </c>
      <c r="E1766" s="226" t="s">
        <v>661</v>
      </c>
      <c r="F1766" s="226">
        <v>0.46237985934633014</v>
      </c>
      <c r="G1766" s="226">
        <v>0</v>
      </c>
    </row>
    <row r="1767" spans="1:7">
      <c r="A1767" s="226" t="s">
        <v>1232</v>
      </c>
      <c r="B1767" s="226" t="s">
        <v>1235</v>
      </c>
      <c r="C1767" s="226" t="s">
        <v>963</v>
      </c>
      <c r="D1767" s="226" t="s">
        <v>20</v>
      </c>
      <c r="E1767" s="226" t="s">
        <v>662</v>
      </c>
      <c r="F1767" s="226">
        <v>0.46237985934633014</v>
      </c>
      <c r="G1767" s="226">
        <v>0</v>
      </c>
    </row>
    <row r="1768" spans="1:7">
      <c r="A1768" s="226" t="s">
        <v>1232</v>
      </c>
      <c r="B1768" s="226" t="s">
        <v>1235</v>
      </c>
      <c r="C1768" s="226" t="s">
        <v>963</v>
      </c>
      <c r="D1768" s="226" t="s">
        <v>20</v>
      </c>
      <c r="E1768" s="226" t="s">
        <v>663</v>
      </c>
      <c r="F1768" s="226">
        <v>0.46237985934633014</v>
      </c>
      <c r="G1768" s="226">
        <v>0</v>
      </c>
    </row>
    <row r="1769" spans="1:7">
      <c r="A1769" s="226" t="s">
        <v>1232</v>
      </c>
      <c r="B1769" s="226" t="s">
        <v>1235</v>
      </c>
      <c r="C1769" s="226" t="s">
        <v>963</v>
      </c>
      <c r="D1769" s="226" t="s">
        <v>20</v>
      </c>
      <c r="E1769" s="226" t="s">
        <v>664</v>
      </c>
      <c r="F1769" s="226">
        <v>0.46237985934633014</v>
      </c>
      <c r="G1769" s="226">
        <v>0</v>
      </c>
    </row>
    <row r="1770" spans="1:7">
      <c r="A1770" s="226" t="s">
        <v>1232</v>
      </c>
      <c r="B1770" s="226" t="s">
        <v>1235</v>
      </c>
      <c r="C1770" s="226" t="s">
        <v>963</v>
      </c>
      <c r="D1770" s="226" t="s">
        <v>20</v>
      </c>
      <c r="E1770" s="226" t="s">
        <v>665</v>
      </c>
      <c r="F1770" s="226">
        <v>0.46237985934633014</v>
      </c>
      <c r="G1770" s="226">
        <v>0</v>
      </c>
    </row>
    <row r="1771" spans="1:7">
      <c r="A1771" s="226" t="s">
        <v>1232</v>
      </c>
      <c r="B1771" s="226" t="s">
        <v>1235</v>
      </c>
      <c r="C1771" s="226" t="s">
        <v>963</v>
      </c>
      <c r="D1771" s="226" t="s">
        <v>20</v>
      </c>
      <c r="E1771" s="226" t="s">
        <v>666</v>
      </c>
      <c r="F1771" s="226">
        <v>0.46237985934633014</v>
      </c>
      <c r="G1771" s="226">
        <v>0</v>
      </c>
    </row>
    <row r="1772" spans="1:7">
      <c r="A1772" s="226" t="s">
        <v>1232</v>
      </c>
      <c r="B1772" s="226" t="s">
        <v>1235</v>
      </c>
      <c r="C1772" s="226" t="s">
        <v>963</v>
      </c>
      <c r="D1772" s="226" t="s">
        <v>20</v>
      </c>
      <c r="E1772" s="226" t="s">
        <v>667</v>
      </c>
      <c r="F1772" s="226">
        <v>0.46237985934633014</v>
      </c>
      <c r="G1772" s="226">
        <v>0</v>
      </c>
    </row>
    <row r="1773" spans="1:7">
      <c r="A1773" s="226" t="s">
        <v>1232</v>
      </c>
      <c r="B1773" s="226" t="s">
        <v>1235</v>
      </c>
      <c r="C1773" s="226" t="s">
        <v>627</v>
      </c>
      <c r="D1773" s="226" t="s">
        <v>11</v>
      </c>
      <c r="E1773" s="226" t="s">
        <v>618</v>
      </c>
      <c r="F1773" s="226">
        <v>2.9525865877673019E-2</v>
      </c>
      <c r="G1773" s="226">
        <v>2.1015479126764918E-2</v>
      </c>
    </row>
    <row r="1774" spans="1:7">
      <c r="A1774" s="226" t="s">
        <v>1232</v>
      </c>
      <c r="B1774" s="226" t="s">
        <v>1235</v>
      </c>
      <c r="C1774" s="226" t="s">
        <v>627</v>
      </c>
      <c r="D1774" s="226" t="s">
        <v>11</v>
      </c>
      <c r="E1774" s="226" t="s">
        <v>619</v>
      </c>
      <c r="F1774" s="226">
        <v>0.51983446624472573</v>
      </c>
      <c r="G1774" s="226">
        <v>0.37</v>
      </c>
    </row>
    <row r="1775" spans="1:7">
      <c r="A1775" s="226" t="s">
        <v>1232</v>
      </c>
      <c r="B1775" s="226" t="s">
        <v>1235</v>
      </c>
      <c r="C1775" s="226" t="s">
        <v>627</v>
      </c>
      <c r="D1775" s="226" t="s">
        <v>11</v>
      </c>
      <c r="E1775" s="226" t="s">
        <v>620</v>
      </c>
      <c r="F1775" s="226">
        <v>0</v>
      </c>
      <c r="G1775" s="226">
        <v>0</v>
      </c>
    </row>
    <row r="1776" spans="1:7">
      <c r="A1776" s="226" t="s">
        <v>1232</v>
      </c>
      <c r="B1776" s="226" t="s">
        <v>1235</v>
      </c>
      <c r="C1776" s="226" t="s">
        <v>627</v>
      </c>
      <c r="D1776" s="226" t="s">
        <v>11</v>
      </c>
      <c r="E1776" s="226" t="s">
        <v>660</v>
      </c>
      <c r="F1776" s="226">
        <v>0</v>
      </c>
      <c r="G1776" s="226">
        <v>0</v>
      </c>
    </row>
    <row r="1777" spans="1:7">
      <c r="A1777" s="226" t="s">
        <v>1232</v>
      </c>
      <c r="B1777" s="226" t="s">
        <v>1235</v>
      </c>
      <c r="C1777" s="226" t="s">
        <v>627</v>
      </c>
      <c r="D1777" s="226" t="s">
        <v>11</v>
      </c>
      <c r="E1777" s="226" t="s">
        <v>661</v>
      </c>
      <c r="F1777" s="226">
        <v>1.0378014383587608</v>
      </c>
      <c r="G1777" s="226">
        <v>0</v>
      </c>
    </row>
    <row r="1778" spans="1:7">
      <c r="A1778" s="226" t="s">
        <v>1232</v>
      </c>
      <c r="B1778" s="226" t="s">
        <v>1235</v>
      </c>
      <c r="C1778" s="226" t="s">
        <v>627</v>
      </c>
      <c r="D1778" s="226" t="s">
        <v>11</v>
      </c>
      <c r="E1778" s="226" t="s">
        <v>662</v>
      </c>
      <c r="F1778" s="226">
        <v>1.0378014383587608</v>
      </c>
      <c r="G1778" s="226">
        <v>0</v>
      </c>
    </row>
    <row r="1779" spans="1:7">
      <c r="A1779" s="226" t="s">
        <v>1232</v>
      </c>
      <c r="B1779" s="226" t="s">
        <v>1235</v>
      </c>
      <c r="C1779" s="226" t="s">
        <v>627</v>
      </c>
      <c r="D1779" s="226" t="s">
        <v>11</v>
      </c>
      <c r="E1779" s="226" t="s">
        <v>663</v>
      </c>
      <c r="F1779" s="226">
        <v>1.0378014383587608</v>
      </c>
      <c r="G1779" s="226">
        <v>0</v>
      </c>
    </row>
    <row r="1780" spans="1:7">
      <c r="A1780" s="226" t="s">
        <v>1232</v>
      </c>
      <c r="B1780" s="226" t="s">
        <v>1235</v>
      </c>
      <c r="C1780" s="226" t="s">
        <v>627</v>
      </c>
      <c r="D1780" s="226" t="s">
        <v>11</v>
      </c>
      <c r="E1780" s="226" t="s">
        <v>664</v>
      </c>
      <c r="F1780" s="226">
        <v>1.0378014383587608</v>
      </c>
      <c r="G1780" s="226">
        <v>0</v>
      </c>
    </row>
    <row r="1781" spans="1:7">
      <c r="A1781" s="226" t="s">
        <v>1232</v>
      </c>
      <c r="B1781" s="226" t="s">
        <v>1235</v>
      </c>
      <c r="C1781" s="226" t="s">
        <v>627</v>
      </c>
      <c r="D1781" s="226" t="s">
        <v>11</v>
      </c>
      <c r="E1781" s="226" t="s">
        <v>665</v>
      </c>
      <c r="F1781" s="226">
        <v>1.0378014383587608</v>
      </c>
      <c r="G1781" s="226">
        <v>0</v>
      </c>
    </row>
    <row r="1782" spans="1:7">
      <c r="A1782" s="226" t="s">
        <v>1232</v>
      </c>
      <c r="B1782" s="226" t="s">
        <v>1235</v>
      </c>
      <c r="C1782" s="226" t="s">
        <v>627</v>
      </c>
      <c r="D1782" s="226" t="s">
        <v>11</v>
      </c>
      <c r="E1782" s="226" t="s">
        <v>666</v>
      </c>
      <c r="F1782" s="226">
        <v>1.0378014383587608</v>
      </c>
      <c r="G1782" s="226">
        <v>0</v>
      </c>
    </row>
    <row r="1783" spans="1:7">
      <c r="A1783" s="226" t="s">
        <v>1232</v>
      </c>
      <c r="B1783" s="226" t="s">
        <v>1235</v>
      </c>
      <c r="C1783" s="226" t="s">
        <v>627</v>
      </c>
      <c r="D1783" s="226" t="s">
        <v>11</v>
      </c>
      <c r="E1783" s="226" t="s">
        <v>667</v>
      </c>
      <c r="F1783" s="226">
        <v>1.0378014383587608</v>
      </c>
      <c r="G1783" s="226">
        <v>0</v>
      </c>
    </row>
    <row r="1784" spans="1:7">
      <c r="A1784" s="226" t="s">
        <v>1232</v>
      </c>
      <c r="B1784" s="226" t="s">
        <v>1235</v>
      </c>
      <c r="C1784" s="226" t="s">
        <v>627</v>
      </c>
      <c r="D1784" s="226" t="s">
        <v>12</v>
      </c>
      <c r="E1784" s="226" t="s">
        <v>618</v>
      </c>
      <c r="F1784" s="226">
        <v>2.6050417319772818E-4</v>
      </c>
      <c r="G1784" s="226">
        <v>2.6050417319772818E-4</v>
      </c>
    </row>
    <row r="1785" spans="1:7">
      <c r="A1785" s="226" t="s">
        <v>1232</v>
      </c>
      <c r="B1785" s="226" t="s">
        <v>1235</v>
      </c>
      <c r="C1785" s="226" t="s">
        <v>627</v>
      </c>
      <c r="D1785" s="226" t="s">
        <v>12</v>
      </c>
      <c r="E1785" s="226" t="s">
        <v>619</v>
      </c>
      <c r="F1785" s="226">
        <v>0</v>
      </c>
      <c r="G1785" s="226">
        <v>0</v>
      </c>
    </row>
    <row r="1786" spans="1:7">
      <c r="A1786" s="226" t="s">
        <v>1232</v>
      </c>
      <c r="B1786" s="226" t="s">
        <v>1235</v>
      </c>
      <c r="C1786" s="226" t="s">
        <v>627</v>
      </c>
      <c r="D1786" s="226" t="s">
        <v>12</v>
      </c>
      <c r="E1786" s="226" t="s">
        <v>620</v>
      </c>
      <c r="F1786" s="226">
        <v>0</v>
      </c>
      <c r="G1786" s="226">
        <v>0</v>
      </c>
    </row>
    <row r="1787" spans="1:7">
      <c r="A1787" s="226" t="s">
        <v>1232</v>
      </c>
      <c r="B1787" s="226" t="s">
        <v>1235</v>
      </c>
      <c r="C1787" s="226" t="s">
        <v>627</v>
      </c>
      <c r="D1787" s="226" t="s">
        <v>12</v>
      </c>
      <c r="E1787" s="226" t="s">
        <v>660</v>
      </c>
      <c r="F1787" s="226">
        <v>0</v>
      </c>
      <c r="G1787" s="226">
        <v>0</v>
      </c>
    </row>
    <row r="1788" spans="1:7">
      <c r="A1788" s="226" t="s">
        <v>1232</v>
      </c>
      <c r="B1788" s="226" t="s">
        <v>1235</v>
      </c>
      <c r="C1788" s="226" t="s">
        <v>627</v>
      </c>
      <c r="D1788" s="226" t="s">
        <v>12</v>
      </c>
      <c r="E1788" s="226" t="s">
        <v>661</v>
      </c>
      <c r="F1788" s="226">
        <v>1.2864403614702619E-2</v>
      </c>
      <c r="G1788" s="226">
        <v>0</v>
      </c>
    </row>
    <row r="1789" spans="1:7">
      <c r="A1789" s="226" t="s">
        <v>1232</v>
      </c>
      <c r="B1789" s="226" t="s">
        <v>1235</v>
      </c>
      <c r="C1789" s="226" t="s">
        <v>627</v>
      </c>
      <c r="D1789" s="226" t="s">
        <v>12</v>
      </c>
      <c r="E1789" s="226" t="s">
        <v>662</v>
      </c>
      <c r="F1789" s="226">
        <v>1.2864403614702619E-2</v>
      </c>
      <c r="G1789" s="226">
        <v>0</v>
      </c>
    </row>
    <row r="1790" spans="1:7">
      <c r="A1790" s="226" t="s">
        <v>1232</v>
      </c>
      <c r="B1790" s="226" t="s">
        <v>1235</v>
      </c>
      <c r="C1790" s="226" t="s">
        <v>627</v>
      </c>
      <c r="D1790" s="226" t="s">
        <v>12</v>
      </c>
      <c r="E1790" s="226" t="s">
        <v>663</v>
      </c>
      <c r="F1790" s="226">
        <v>1.2864403614702619E-2</v>
      </c>
      <c r="G1790" s="226">
        <v>0</v>
      </c>
    </row>
    <row r="1791" spans="1:7">
      <c r="A1791" s="226" t="s">
        <v>1232</v>
      </c>
      <c r="B1791" s="226" t="s">
        <v>1235</v>
      </c>
      <c r="C1791" s="226" t="s">
        <v>627</v>
      </c>
      <c r="D1791" s="226" t="s">
        <v>12</v>
      </c>
      <c r="E1791" s="226" t="s">
        <v>664</v>
      </c>
      <c r="F1791" s="226">
        <v>1.2864403614702619E-2</v>
      </c>
      <c r="G1791" s="226">
        <v>0</v>
      </c>
    </row>
    <row r="1792" spans="1:7">
      <c r="A1792" s="226" t="s">
        <v>1232</v>
      </c>
      <c r="B1792" s="226" t="s">
        <v>1235</v>
      </c>
      <c r="C1792" s="226" t="s">
        <v>627</v>
      </c>
      <c r="D1792" s="226" t="s">
        <v>12</v>
      </c>
      <c r="E1792" s="226" t="s">
        <v>665</v>
      </c>
      <c r="F1792" s="226">
        <v>1.2864403614702619E-2</v>
      </c>
      <c r="G1792" s="226">
        <v>0</v>
      </c>
    </row>
    <row r="1793" spans="1:7">
      <c r="A1793" s="226" t="s">
        <v>1232</v>
      </c>
      <c r="B1793" s="226" t="s">
        <v>1235</v>
      </c>
      <c r="C1793" s="226" t="s">
        <v>627</v>
      </c>
      <c r="D1793" s="226" t="s">
        <v>12</v>
      </c>
      <c r="E1793" s="226" t="s">
        <v>666</v>
      </c>
      <c r="F1793" s="226">
        <v>1.2864403614702619E-2</v>
      </c>
      <c r="G1793" s="226">
        <v>0</v>
      </c>
    </row>
    <row r="1794" spans="1:7">
      <c r="A1794" s="226" t="s">
        <v>1232</v>
      </c>
      <c r="B1794" s="226" t="s">
        <v>1235</v>
      </c>
      <c r="C1794" s="226" t="s">
        <v>627</v>
      </c>
      <c r="D1794" s="226" t="s">
        <v>12</v>
      </c>
      <c r="E1794" s="226" t="s">
        <v>667</v>
      </c>
      <c r="F1794" s="226">
        <v>1.2864403614702619E-2</v>
      </c>
      <c r="G1794" s="226">
        <v>0</v>
      </c>
    </row>
    <row r="1795" spans="1:7">
      <c r="A1795" s="226" t="s">
        <v>1232</v>
      </c>
      <c r="B1795" s="226" t="s">
        <v>1235</v>
      </c>
      <c r="C1795" s="226" t="s">
        <v>626</v>
      </c>
      <c r="D1795" s="226" t="s">
        <v>9</v>
      </c>
      <c r="E1795" s="226" t="s">
        <v>618</v>
      </c>
      <c r="F1795" s="226">
        <v>0.69450796833258199</v>
      </c>
      <c r="G1795" s="226">
        <v>0.51841704299215996</v>
      </c>
    </row>
    <row r="1796" spans="1:7">
      <c r="A1796" s="226" t="s">
        <v>1232</v>
      </c>
      <c r="B1796" s="226" t="s">
        <v>1235</v>
      </c>
      <c r="C1796" s="226" t="s">
        <v>626</v>
      </c>
      <c r="D1796" s="226" t="s">
        <v>9</v>
      </c>
      <c r="E1796" s="226" t="s">
        <v>619</v>
      </c>
      <c r="F1796" s="226">
        <v>1.0717363215130025</v>
      </c>
      <c r="G1796" s="226">
        <v>0.8</v>
      </c>
    </row>
    <row r="1797" spans="1:7">
      <c r="A1797" s="226" t="s">
        <v>1232</v>
      </c>
      <c r="B1797" s="226" t="s">
        <v>1235</v>
      </c>
      <c r="C1797" s="226" t="s">
        <v>626</v>
      </c>
      <c r="D1797" s="226" t="s">
        <v>9</v>
      </c>
      <c r="E1797" s="226" t="s">
        <v>620</v>
      </c>
      <c r="F1797" s="226">
        <v>0</v>
      </c>
      <c r="G1797" s="226">
        <v>0</v>
      </c>
    </row>
    <row r="1798" spans="1:7">
      <c r="A1798" s="226" t="s">
        <v>1232</v>
      </c>
      <c r="B1798" s="226" t="s">
        <v>1235</v>
      </c>
      <c r="C1798" s="226" t="s">
        <v>626</v>
      </c>
      <c r="D1798" s="226" t="s">
        <v>9</v>
      </c>
      <c r="E1798" s="226" t="s">
        <v>660</v>
      </c>
      <c r="F1798" s="226">
        <v>0</v>
      </c>
      <c r="G1798" s="226">
        <v>0</v>
      </c>
    </row>
    <row r="1799" spans="1:7">
      <c r="A1799" s="226" t="s">
        <v>1232</v>
      </c>
      <c r="B1799" s="226" t="s">
        <v>1235</v>
      </c>
      <c r="C1799" s="226" t="s">
        <v>626</v>
      </c>
      <c r="D1799" s="226" t="s">
        <v>9</v>
      </c>
      <c r="E1799" s="226" t="s">
        <v>661</v>
      </c>
      <c r="F1799" s="226">
        <v>2.2077552094893331</v>
      </c>
      <c r="G1799" s="226">
        <v>0</v>
      </c>
    </row>
    <row r="1800" spans="1:7">
      <c r="A1800" s="226" t="s">
        <v>1232</v>
      </c>
      <c r="B1800" s="226" t="s">
        <v>1235</v>
      </c>
      <c r="C1800" s="226" t="s">
        <v>626</v>
      </c>
      <c r="D1800" s="226" t="s">
        <v>9</v>
      </c>
      <c r="E1800" s="226" t="s">
        <v>662</v>
      </c>
      <c r="F1800" s="226">
        <v>2.2077552094893331</v>
      </c>
      <c r="G1800" s="226">
        <v>0</v>
      </c>
    </row>
    <row r="1801" spans="1:7">
      <c r="A1801" s="226" t="s">
        <v>1232</v>
      </c>
      <c r="B1801" s="226" t="s">
        <v>1235</v>
      </c>
      <c r="C1801" s="226" t="s">
        <v>626</v>
      </c>
      <c r="D1801" s="226" t="s">
        <v>9</v>
      </c>
      <c r="E1801" s="226" t="s">
        <v>663</v>
      </c>
      <c r="F1801" s="226">
        <v>2.2077552094893331</v>
      </c>
      <c r="G1801" s="226">
        <v>0</v>
      </c>
    </row>
    <row r="1802" spans="1:7">
      <c r="A1802" s="226" t="s">
        <v>1232</v>
      </c>
      <c r="B1802" s="226" t="s">
        <v>1235</v>
      </c>
      <c r="C1802" s="226" t="s">
        <v>626</v>
      </c>
      <c r="D1802" s="226" t="s">
        <v>9</v>
      </c>
      <c r="E1802" s="226" t="s">
        <v>664</v>
      </c>
      <c r="F1802" s="226">
        <v>2.2077552094893331</v>
      </c>
      <c r="G1802" s="226">
        <v>0</v>
      </c>
    </row>
    <row r="1803" spans="1:7">
      <c r="A1803" s="226" t="s">
        <v>1232</v>
      </c>
      <c r="B1803" s="226" t="s">
        <v>1235</v>
      </c>
      <c r="C1803" s="226" t="s">
        <v>626</v>
      </c>
      <c r="D1803" s="226" t="s">
        <v>9</v>
      </c>
      <c r="E1803" s="226" t="s">
        <v>665</v>
      </c>
      <c r="F1803" s="226">
        <v>2.2077552094893331</v>
      </c>
      <c r="G1803" s="226">
        <v>0</v>
      </c>
    </row>
    <row r="1804" spans="1:7">
      <c r="A1804" s="226" t="s">
        <v>1232</v>
      </c>
      <c r="B1804" s="226" t="s">
        <v>1235</v>
      </c>
      <c r="C1804" s="226" t="s">
        <v>626</v>
      </c>
      <c r="D1804" s="226" t="s">
        <v>9</v>
      </c>
      <c r="E1804" s="226" t="s">
        <v>666</v>
      </c>
      <c r="F1804" s="226">
        <v>2.2077552094893331</v>
      </c>
      <c r="G1804" s="226">
        <v>0</v>
      </c>
    </row>
    <row r="1805" spans="1:7">
      <c r="A1805" s="226" t="s">
        <v>1232</v>
      </c>
      <c r="B1805" s="226" t="s">
        <v>1235</v>
      </c>
      <c r="C1805" s="226" t="s">
        <v>626</v>
      </c>
      <c r="D1805" s="226" t="s">
        <v>9</v>
      </c>
      <c r="E1805" s="226" t="s">
        <v>667</v>
      </c>
      <c r="F1805" s="226">
        <v>2.2077552094893331</v>
      </c>
      <c r="G1805" s="226">
        <v>0</v>
      </c>
    </row>
    <row r="1806" spans="1:7">
      <c r="A1806" s="226" t="s">
        <v>1232</v>
      </c>
      <c r="B1806" s="226" t="s">
        <v>1235</v>
      </c>
      <c r="C1806" s="226" t="s">
        <v>626</v>
      </c>
      <c r="D1806" s="226" t="s">
        <v>10</v>
      </c>
      <c r="E1806" s="226" t="s">
        <v>618</v>
      </c>
      <c r="F1806" s="226">
        <v>0.21330752980910339</v>
      </c>
      <c r="G1806" s="226">
        <v>0.18562538415520802</v>
      </c>
    </row>
    <row r="1807" spans="1:7">
      <c r="A1807" s="226" t="s">
        <v>1232</v>
      </c>
      <c r="B1807" s="226" t="s">
        <v>1235</v>
      </c>
      <c r="C1807" s="226" t="s">
        <v>626</v>
      </c>
      <c r="D1807" s="226" t="s">
        <v>10</v>
      </c>
      <c r="E1807" s="226" t="s">
        <v>619</v>
      </c>
      <c r="F1807" s="226">
        <v>0</v>
      </c>
      <c r="G1807" s="226">
        <v>0</v>
      </c>
    </row>
    <row r="1808" spans="1:7">
      <c r="A1808" s="226" t="s">
        <v>1232</v>
      </c>
      <c r="B1808" s="226" t="s">
        <v>1235</v>
      </c>
      <c r="C1808" s="226" t="s">
        <v>626</v>
      </c>
      <c r="D1808" s="226" t="s">
        <v>10</v>
      </c>
      <c r="E1808" s="226" t="s">
        <v>620</v>
      </c>
      <c r="F1808" s="226">
        <v>0</v>
      </c>
      <c r="G1808" s="226">
        <v>0</v>
      </c>
    </row>
    <row r="1809" spans="1:7">
      <c r="A1809" s="226" t="s">
        <v>1232</v>
      </c>
      <c r="B1809" s="226" t="s">
        <v>1235</v>
      </c>
      <c r="C1809" s="226" t="s">
        <v>626</v>
      </c>
      <c r="D1809" s="226" t="s">
        <v>10</v>
      </c>
      <c r="E1809" s="226" t="s">
        <v>660</v>
      </c>
      <c r="F1809" s="226">
        <v>0.75842520307618355</v>
      </c>
      <c r="G1809" s="226">
        <v>0.66</v>
      </c>
    </row>
    <row r="1810" spans="1:7">
      <c r="A1810" s="226" t="s">
        <v>1232</v>
      </c>
      <c r="B1810" s="226" t="s">
        <v>1235</v>
      </c>
      <c r="C1810" s="226" t="s">
        <v>626</v>
      </c>
      <c r="D1810" s="226" t="s">
        <v>10</v>
      </c>
      <c r="E1810" s="226" t="s">
        <v>661</v>
      </c>
      <c r="F1810" s="226">
        <v>2.2354263780349544</v>
      </c>
      <c r="G1810" s="226">
        <v>0</v>
      </c>
    </row>
    <row r="1811" spans="1:7">
      <c r="A1811" s="226" t="s">
        <v>1232</v>
      </c>
      <c r="B1811" s="226" t="s">
        <v>1235</v>
      </c>
      <c r="C1811" s="226" t="s">
        <v>626</v>
      </c>
      <c r="D1811" s="226" t="s">
        <v>10</v>
      </c>
      <c r="E1811" s="226" t="s">
        <v>662</v>
      </c>
      <c r="F1811" s="226">
        <v>2.2354263780349544</v>
      </c>
      <c r="G1811" s="226">
        <v>0</v>
      </c>
    </row>
    <row r="1812" spans="1:7">
      <c r="A1812" s="226" t="s">
        <v>1232</v>
      </c>
      <c r="B1812" s="226" t="s">
        <v>1235</v>
      </c>
      <c r="C1812" s="226" t="s">
        <v>626</v>
      </c>
      <c r="D1812" s="226" t="s">
        <v>10</v>
      </c>
      <c r="E1812" s="226" t="s">
        <v>663</v>
      </c>
      <c r="F1812" s="226">
        <v>2.2354263780349544</v>
      </c>
      <c r="G1812" s="226">
        <v>0</v>
      </c>
    </row>
    <row r="1813" spans="1:7">
      <c r="A1813" s="226" t="s">
        <v>1232</v>
      </c>
      <c r="B1813" s="226" t="s">
        <v>1235</v>
      </c>
      <c r="C1813" s="226" t="s">
        <v>626</v>
      </c>
      <c r="D1813" s="226" t="s">
        <v>10</v>
      </c>
      <c r="E1813" s="226" t="s">
        <v>664</v>
      </c>
      <c r="F1813" s="226">
        <v>2.2354263780349544</v>
      </c>
      <c r="G1813" s="226">
        <v>0</v>
      </c>
    </row>
    <row r="1814" spans="1:7">
      <c r="A1814" s="226" t="s">
        <v>1232</v>
      </c>
      <c r="B1814" s="226" t="s">
        <v>1235</v>
      </c>
      <c r="C1814" s="226" t="s">
        <v>626</v>
      </c>
      <c r="D1814" s="226" t="s">
        <v>10</v>
      </c>
      <c r="E1814" s="226" t="s">
        <v>665</v>
      </c>
      <c r="F1814" s="226">
        <v>2.2354263780349544</v>
      </c>
      <c r="G1814" s="226">
        <v>0</v>
      </c>
    </row>
    <row r="1815" spans="1:7">
      <c r="A1815" s="226" t="s">
        <v>1232</v>
      </c>
      <c r="B1815" s="226" t="s">
        <v>1235</v>
      </c>
      <c r="C1815" s="226" t="s">
        <v>626</v>
      </c>
      <c r="D1815" s="226" t="s">
        <v>10</v>
      </c>
      <c r="E1815" s="226" t="s">
        <v>666</v>
      </c>
      <c r="F1815" s="226">
        <v>2.2354263780349544</v>
      </c>
      <c r="G1815" s="226">
        <v>0</v>
      </c>
    </row>
    <row r="1816" spans="1:7">
      <c r="A1816" s="226" t="s">
        <v>1232</v>
      </c>
      <c r="B1816" s="226" t="s">
        <v>1235</v>
      </c>
      <c r="C1816" s="226" t="s">
        <v>626</v>
      </c>
      <c r="D1816" s="226" t="s">
        <v>10</v>
      </c>
      <c r="E1816" s="226" t="s">
        <v>667</v>
      </c>
      <c r="F1816" s="226">
        <v>2.2354263780349544</v>
      </c>
      <c r="G1816" s="226">
        <v>0</v>
      </c>
    </row>
    <row r="1817" spans="1:7">
      <c r="A1817" s="226" t="s">
        <v>1232</v>
      </c>
      <c r="B1817" s="226" t="s">
        <v>1235</v>
      </c>
      <c r="C1817" s="226" t="s">
        <v>963</v>
      </c>
      <c r="D1817" s="226" t="s">
        <v>16</v>
      </c>
      <c r="E1817" s="226" t="s">
        <v>618</v>
      </c>
      <c r="F1817" s="226">
        <v>6.7834562986097288E-2</v>
      </c>
      <c r="G1817" s="226">
        <v>3.2387122163174034E-2</v>
      </c>
    </row>
    <row r="1818" spans="1:7">
      <c r="A1818" s="226" t="s">
        <v>1232</v>
      </c>
      <c r="B1818" s="226" t="s">
        <v>1235</v>
      </c>
      <c r="C1818" s="226" t="s">
        <v>963</v>
      </c>
      <c r="D1818" s="226" t="s">
        <v>16</v>
      </c>
      <c r="E1818" s="226" t="s">
        <v>619</v>
      </c>
      <c r="F1818" s="226">
        <v>1.6755934693877548</v>
      </c>
      <c r="G1818" s="226">
        <v>0.8</v>
      </c>
    </row>
    <row r="1819" spans="1:7">
      <c r="A1819" s="226" t="s">
        <v>1232</v>
      </c>
      <c r="B1819" s="226" t="s">
        <v>1235</v>
      </c>
      <c r="C1819" s="226" t="s">
        <v>963</v>
      </c>
      <c r="D1819" s="226" t="s">
        <v>16</v>
      </c>
      <c r="E1819" s="226" t="s">
        <v>620</v>
      </c>
      <c r="F1819" s="226">
        <v>0.52362295918367341</v>
      </c>
      <c r="G1819" s="226">
        <v>0.25</v>
      </c>
    </row>
    <row r="1820" spans="1:7">
      <c r="A1820" s="226" t="s">
        <v>1232</v>
      </c>
      <c r="B1820" s="226" t="s">
        <v>1235</v>
      </c>
      <c r="C1820" s="226" t="s">
        <v>963</v>
      </c>
      <c r="D1820" s="226" t="s">
        <v>16</v>
      </c>
      <c r="E1820" s="226" t="s">
        <v>660</v>
      </c>
      <c r="F1820" s="226">
        <v>0</v>
      </c>
      <c r="G1820" s="226">
        <v>0</v>
      </c>
    </row>
    <row r="1821" spans="1:7">
      <c r="A1821" s="226" t="s">
        <v>1232</v>
      </c>
      <c r="B1821" s="226" t="s">
        <v>1235</v>
      </c>
      <c r="C1821" s="226" t="s">
        <v>963</v>
      </c>
      <c r="D1821" s="226" t="s">
        <v>16</v>
      </c>
      <c r="E1821" s="226" t="s">
        <v>661</v>
      </c>
      <c r="F1821" s="226">
        <v>1.599364057440692</v>
      </c>
      <c r="G1821" s="226">
        <v>0</v>
      </c>
    </row>
    <row r="1822" spans="1:7">
      <c r="A1822" s="226" t="s">
        <v>1232</v>
      </c>
      <c r="B1822" s="226" t="s">
        <v>1235</v>
      </c>
      <c r="C1822" s="226" t="s">
        <v>963</v>
      </c>
      <c r="D1822" s="226" t="s">
        <v>16</v>
      </c>
      <c r="E1822" s="226" t="s">
        <v>662</v>
      </c>
      <c r="F1822" s="226">
        <v>1.599364057440692</v>
      </c>
      <c r="G1822" s="226">
        <v>0</v>
      </c>
    </row>
    <row r="1823" spans="1:7">
      <c r="A1823" s="226" t="s">
        <v>1232</v>
      </c>
      <c r="B1823" s="226" t="s">
        <v>1235</v>
      </c>
      <c r="C1823" s="226" t="s">
        <v>963</v>
      </c>
      <c r="D1823" s="226" t="s">
        <v>16</v>
      </c>
      <c r="E1823" s="226" t="s">
        <v>663</v>
      </c>
      <c r="F1823" s="226">
        <v>1.599364057440692</v>
      </c>
      <c r="G1823" s="226">
        <v>0</v>
      </c>
    </row>
    <row r="1824" spans="1:7">
      <c r="A1824" s="226" t="s">
        <v>1232</v>
      </c>
      <c r="B1824" s="226" t="s">
        <v>1235</v>
      </c>
      <c r="C1824" s="226" t="s">
        <v>963</v>
      </c>
      <c r="D1824" s="226" t="s">
        <v>16</v>
      </c>
      <c r="E1824" s="226" t="s">
        <v>664</v>
      </c>
      <c r="F1824" s="226">
        <v>1.599364057440692</v>
      </c>
      <c r="G1824" s="226">
        <v>0</v>
      </c>
    </row>
    <row r="1825" spans="1:7">
      <c r="A1825" s="226" t="s">
        <v>1232</v>
      </c>
      <c r="B1825" s="226" t="s">
        <v>1235</v>
      </c>
      <c r="C1825" s="226" t="s">
        <v>963</v>
      </c>
      <c r="D1825" s="226" t="s">
        <v>16</v>
      </c>
      <c r="E1825" s="226" t="s">
        <v>665</v>
      </c>
      <c r="F1825" s="226">
        <v>1.599364057440692</v>
      </c>
      <c r="G1825" s="226">
        <v>0</v>
      </c>
    </row>
    <row r="1826" spans="1:7">
      <c r="A1826" s="226" t="s">
        <v>1232</v>
      </c>
      <c r="B1826" s="226" t="s">
        <v>1235</v>
      </c>
      <c r="C1826" s="226" t="s">
        <v>963</v>
      </c>
      <c r="D1826" s="226" t="s">
        <v>16</v>
      </c>
      <c r="E1826" s="226" t="s">
        <v>666</v>
      </c>
      <c r="F1826" s="226">
        <v>1.599364057440692</v>
      </c>
      <c r="G1826" s="226">
        <v>0</v>
      </c>
    </row>
    <row r="1827" spans="1:7">
      <c r="A1827" s="226" t="s">
        <v>1232</v>
      </c>
      <c r="B1827" s="226" t="s">
        <v>1235</v>
      </c>
      <c r="C1827" s="226" t="s">
        <v>963</v>
      </c>
      <c r="D1827" s="226" t="s">
        <v>16</v>
      </c>
      <c r="E1827" s="226" t="s">
        <v>667</v>
      </c>
      <c r="F1827" s="226">
        <v>1.599364057440692</v>
      </c>
      <c r="G1827" s="226">
        <v>0</v>
      </c>
    </row>
    <row r="1828" spans="1:7">
      <c r="A1828" s="226" t="s">
        <v>1232</v>
      </c>
      <c r="B1828" s="226" t="s">
        <v>1235</v>
      </c>
      <c r="C1828" s="226" t="s">
        <v>625</v>
      </c>
      <c r="D1828" s="226" t="s">
        <v>1</v>
      </c>
      <c r="E1828" s="226" t="s">
        <v>618</v>
      </c>
      <c r="F1828" s="226">
        <v>3.7351907095323017E-2</v>
      </c>
      <c r="G1828" s="226">
        <v>3.3902181106882062E-2</v>
      </c>
    </row>
    <row r="1829" spans="1:7">
      <c r="A1829" s="226" t="s">
        <v>1232</v>
      </c>
      <c r="B1829" s="226" t="s">
        <v>1235</v>
      </c>
      <c r="C1829" s="226" t="s">
        <v>625</v>
      </c>
      <c r="D1829" s="226" t="s">
        <v>1</v>
      </c>
      <c r="E1829" s="226" t="s">
        <v>619</v>
      </c>
      <c r="F1829" s="226">
        <v>0</v>
      </c>
      <c r="G1829" s="226">
        <v>0</v>
      </c>
    </row>
    <row r="1830" spans="1:7">
      <c r="A1830" s="226" t="s">
        <v>1232</v>
      </c>
      <c r="B1830" s="226" t="s">
        <v>1235</v>
      </c>
      <c r="C1830" s="226" t="s">
        <v>625</v>
      </c>
      <c r="D1830" s="226" t="s">
        <v>1</v>
      </c>
      <c r="E1830" s="226" t="s">
        <v>620</v>
      </c>
      <c r="F1830" s="226">
        <v>0</v>
      </c>
      <c r="G1830" s="226">
        <v>0</v>
      </c>
    </row>
    <row r="1831" spans="1:7">
      <c r="A1831" s="226" t="s">
        <v>1232</v>
      </c>
      <c r="B1831" s="226" t="s">
        <v>1235</v>
      </c>
      <c r="C1831" s="226" t="s">
        <v>625</v>
      </c>
      <c r="D1831" s="226" t="s">
        <v>1</v>
      </c>
      <c r="E1831" s="226" t="s">
        <v>660</v>
      </c>
      <c r="F1831" s="226">
        <v>0</v>
      </c>
      <c r="G1831" s="226">
        <v>0</v>
      </c>
    </row>
    <row r="1832" spans="1:7">
      <c r="A1832" s="226" t="s">
        <v>1232</v>
      </c>
      <c r="B1832" s="226" t="s">
        <v>1235</v>
      </c>
      <c r="C1832" s="226" t="s">
        <v>625</v>
      </c>
      <c r="D1832" s="226" t="s">
        <v>1</v>
      </c>
      <c r="E1832" s="226" t="s">
        <v>661</v>
      </c>
      <c r="F1832" s="226">
        <v>0.4876138818213237</v>
      </c>
      <c r="G1832" s="226">
        <v>0</v>
      </c>
    </row>
    <row r="1833" spans="1:7">
      <c r="A1833" s="226" t="s">
        <v>1232</v>
      </c>
      <c r="B1833" s="226" t="s">
        <v>1235</v>
      </c>
      <c r="C1833" s="226" t="s">
        <v>625</v>
      </c>
      <c r="D1833" s="226" t="s">
        <v>1</v>
      </c>
      <c r="E1833" s="226" t="s">
        <v>662</v>
      </c>
      <c r="F1833" s="226">
        <v>0.4876138818213237</v>
      </c>
      <c r="G1833" s="226">
        <v>0</v>
      </c>
    </row>
    <row r="1834" spans="1:7">
      <c r="A1834" s="226" t="s">
        <v>1232</v>
      </c>
      <c r="B1834" s="226" t="s">
        <v>1235</v>
      </c>
      <c r="C1834" s="226" t="s">
        <v>625</v>
      </c>
      <c r="D1834" s="226" t="s">
        <v>1</v>
      </c>
      <c r="E1834" s="226" t="s">
        <v>663</v>
      </c>
      <c r="F1834" s="226">
        <v>0.4876138818213237</v>
      </c>
      <c r="G1834" s="226">
        <v>0</v>
      </c>
    </row>
    <row r="1835" spans="1:7">
      <c r="A1835" s="226" t="s">
        <v>1232</v>
      </c>
      <c r="B1835" s="226" t="s">
        <v>1235</v>
      </c>
      <c r="C1835" s="226" t="s">
        <v>625</v>
      </c>
      <c r="D1835" s="226" t="s">
        <v>1</v>
      </c>
      <c r="E1835" s="226" t="s">
        <v>664</v>
      </c>
      <c r="F1835" s="226">
        <v>0.4876138818213237</v>
      </c>
      <c r="G1835" s="226">
        <v>0</v>
      </c>
    </row>
    <row r="1836" spans="1:7">
      <c r="A1836" s="226" t="s">
        <v>1232</v>
      </c>
      <c r="B1836" s="226" t="s">
        <v>1235</v>
      </c>
      <c r="C1836" s="226" t="s">
        <v>625</v>
      </c>
      <c r="D1836" s="226" t="s">
        <v>1</v>
      </c>
      <c r="E1836" s="226" t="s">
        <v>665</v>
      </c>
      <c r="F1836" s="226">
        <v>0.4876138818213237</v>
      </c>
      <c r="G1836" s="226">
        <v>0</v>
      </c>
    </row>
    <row r="1837" spans="1:7">
      <c r="A1837" s="226" t="s">
        <v>1232</v>
      </c>
      <c r="B1837" s="226" t="s">
        <v>1235</v>
      </c>
      <c r="C1837" s="226" t="s">
        <v>625</v>
      </c>
      <c r="D1837" s="226" t="s">
        <v>1</v>
      </c>
      <c r="E1837" s="226" t="s">
        <v>666</v>
      </c>
      <c r="F1837" s="226">
        <v>0.4876138818213237</v>
      </c>
      <c r="G1837" s="226">
        <v>0</v>
      </c>
    </row>
    <row r="1838" spans="1:7">
      <c r="A1838" s="226" t="s">
        <v>1232</v>
      </c>
      <c r="B1838" s="226" t="s">
        <v>1235</v>
      </c>
      <c r="C1838" s="226" t="s">
        <v>625</v>
      </c>
      <c r="D1838" s="226" t="s">
        <v>1</v>
      </c>
      <c r="E1838" s="226" t="s">
        <v>667</v>
      </c>
      <c r="F1838" s="226">
        <v>0.4876138818213237</v>
      </c>
      <c r="G1838" s="226">
        <v>0</v>
      </c>
    </row>
    <row r="1839" spans="1:7">
      <c r="A1839" s="226" t="s">
        <v>1232</v>
      </c>
      <c r="B1839" s="226" t="s">
        <v>1235</v>
      </c>
      <c r="C1839" s="226" t="s">
        <v>625</v>
      </c>
      <c r="D1839" s="226" t="s">
        <v>6</v>
      </c>
      <c r="E1839" s="226" t="s">
        <v>618</v>
      </c>
      <c r="F1839" s="226">
        <v>0.11546958825312342</v>
      </c>
      <c r="G1839" s="226">
        <v>9.5713720726693749E-2</v>
      </c>
    </row>
    <row r="1840" spans="1:7">
      <c r="A1840" s="226" t="s">
        <v>1232</v>
      </c>
      <c r="B1840" s="226" t="s">
        <v>1235</v>
      </c>
      <c r="C1840" s="226" t="s">
        <v>625</v>
      </c>
      <c r="D1840" s="226" t="s">
        <v>6</v>
      </c>
      <c r="E1840" s="226" t="s">
        <v>619</v>
      </c>
      <c r="F1840" s="226">
        <v>0.79622783095723026</v>
      </c>
      <c r="G1840" s="226">
        <v>0.66</v>
      </c>
    </row>
    <row r="1841" spans="1:7">
      <c r="A1841" s="226" t="s">
        <v>1232</v>
      </c>
      <c r="B1841" s="226" t="s">
        <v>1235</v>
      </c>
      <c r="C1841" s="226" t="s">
        <v>625</v>
      </c>
      <c r="D1841" s="226" t="s">
        <v>6</v>
      </c>
      <c r="E1841" s="226" t="s">
        <v>620</v>
      </c>
      <c r="F1841" s="226">
        <v>0</v>
      </c>
      <c r="G1841" s="226">
        <v>0</v>
      </c>
    </row>
    <row r="1842" spans="1:7">
      <c r="A1842" s="226" t="s">
        <v>1232</v>
      </c>
      <c r="B1842" s="226" t="s">
        <v>1235</v>
      </c>
      <c r="C1842" s="226" t="s">
        <v>625</v>
      </c>
      <c r="D1842" s="226" t="s">
        <v>6</v>
      </c>
      <c r="E1842" s="226" t="s">
        <v>660</v>
      </c>
      <c r="F1842" s="226">
        <v>0</v>
      </c>
      <c r="G1842" s="226">
        <v>0</v>
      </c>
    </row>
    <row r="1843" spans="1:7">
      <c r="A1843" s="226" t="s">
        <v>1232</v>
      </c>
      <c r="B1843" s="226" t="s">
        <v>1235</v>
      </c>
      <c r="C1843" s="226" t="s">
        <v>625</v>
      </c>
      <c r="D1843" s="226" t="s">
        <v>6</v>
      </c>
      <c r="E1843" s="226" t="s">
        <v>661</v>
      </c>
      <c r="F1843" s="226">
        <v>0.92309731983669618</v>
      </c>
      <c r="G1843" s="226">
        <v>0</v>
      </c>
    </row>
    <row r="1844" spans="1:7">
      <c r="A1844" s="226" t="s">
        <v>1232</v>
      </c>
      <c r="B1844" s="226" t="s">
        <v>1235</v>
      </c>
      <c r="C1844" s="226" t="s">
        <v>625</v>
      </c>
      <c r="D1844" s="226" t="s">
        <v>6</v>
      </c>
      <c r="E1844" s="226" t="s">
        <v>662</v>
      </c>
      <c r="F1844" s="226">
        <v>0.92309731983669618</v>
      </c>
      <c r="G1844" s="226">
        <v>0</v>
      </c>
    </row>
    <row r="1845" spans="1:7">
      <c r="A1845" s="226" t="s">
        <v>1232</v>
      </c>
      <c r="B1845" s="226" t="s">
        <v>1235</v>
      </c>
      <c r="C1845" s="226" t="s">
        <v>625</v>
      </c>
      <c r="D1845" s="226" t="s">
        <v>6</v>
      </c>
      <c r="E1845" s="226" t="s">
        <v>663</v>
      </c>
      <c r="F1845" s="226">
        <v>0.92309731983669618</v>
      </c>
      <c r="G1845" s="226">
        <v>0</v>
      </c>
    </row>
    <row r="1846" spans="1:7">
      <c r="A1846" s="226" t="s">
        <v>1232</v>
      </c>
      <c r="B1846" s="226" t="s">
        <v>1235</v>
      </c>
      <c r="C1846" s="226" t="s">
        <v>625</v>
      </c>
      <c r="D1846" s="226" t="s">
        <v>6</v>
      </c>
      <c r="E1846" s="226" t="s">
        <v>664</v>
      </c>
      <c r="F1846" s="226">
        <v>0.92309731983669618</v>
      </c>
      <c r="G1846" s="226">
        <v>0</v>
      </c>
    </row>
    <row r="1847" spans="1:7">
      <c r="A1847" s="226" t="s">
        <v>1232</v>
      </c>
      <c r="B1847" s="226" t="s">
        <v>1235</v>
      </c>
      <c r="C1847" s="226" t="s">
        <v>625</v>
      </c>
      <c r="D1847" s="226" t="s">
        <v>6</v>
      </c>
      <c r="E1847" s="226" t="s">
        <v>665</v>
      </c>
      <c r="F1847" s="226">
        <v>0.92309731983669618</v>
      </c>
      <c r="G1847" s="226">
        <v>0</v>
      </c>
    </row>
    <row r="1848" spans="1:7">
      <c r="A1848" s="226" t="s">
        <v>1232</v>
      </c>
      <c r="B1848" s="226" t="s">
        <v>1235</v>
      </c>
      <c r="C1848" s="226" t="s">
        <v>625</v>
      </c>
      <c r="D1848" s="226" t="s">
        <v>6</v>
      </c>
      <c r="E1848" s="226" t="s">
        <v>666</v>
      </c>
      <c r="F1848" s="226">
        <v>0.92309731983669618</v>
      </c>
      <c r="G1848" s="226">
        <v>0</v>
      </c>
    </row>
    <row r="1849" spans="1:7">
      <c r="A1849" s="226" t="s">
        <v>1232</v>
      </c>
      <c r="B1849" s="226" t="s">
        <v>1235</v>
      </c>
      <c r="C1849" s="226" t="s">
        <v>625</v>
      </c>
      <c r="D1849" s="226" t="s">
        <v>6</v>
      </c>
      <c r="E1849" s="226" t="s">
        <v>667</v>
      </c>
      <c r="F1849" s="226">
        <v>0.92309731983669618</v>
      </c>
      <c r="G1849" s="226">
        <v>0</v>
      </c>
    </row>
    <row r="1850" spans="1:7">
      <c r="A1850" s="226" t="s">
        <v>1232</v>
      </c>
      <c r="B1850" s="226" t="s">
        <v>1235</v>
      </c>
      <c r="C1850" s="226" t="s">
        <v>627</v>
      </c>
      <c r="D1850" s="226" t="s">
        <v>13</v>
      </c>
      <c r="E1850" s="226" t="s">
        <v>618</v>
      </c>
      <c r="F1850" s="226">
        <v>3.3385118916510664E-2</v>
      </c>
      <c r="G1850" s="226">
        <v>2.6178750732388591E-2</v>
      </c>
    </row>
    <row r="1851" spans="1:7">
      <c r="A1851" s="226" t="s">
        <v>1232</v>
      </c>
      <c r="B1851" s="226" t="s">
        <v>1235</v>
      </c>
      <c r="C1851" s="226" t="s">
        <v>627</v>
      </c>
      <c r="D1851" s="226" t="s">
        <v>13</v>
      </c>
      <c r="E1851" s="226" t="s">
        <v>619</v>
      </c>
      <c r="F1851" s="226">
        <v>2.3273777517294389</v>
      </c>
      <c r="G1851" s="226">
        <v>1.825</v>
      </c>
    </row>
    <row r="1852" spans="1:7">
      <c r="A1852" s="226" t="s">
        <v>1232</v>
      </c>
      <c r="B1852" s="226" t="s">
        <v>1235</v>
      </c>
      <c r="C1852" s="226" t="s">
        <v>627</v>
      </c>
      <c r="D1852" s="226" t="s">
        <v>13</v>
      </c>
      <c r="E1852" s="226" t="s">
        <v>620</v>
      </c>
      <c r="F1852" s="226">
        <v>1.6833636341275942</v>
      </c>
      <c r="G1852" s="226">
        <v>1.32</v>
      </c>
    </row>
    <row r="1853" spans="1:7">
      <c r="A1853" s="226" t="s">
        <v>1232</v>
      </c>
      <c r="B1853" s="226" t="s">
        <v>1235</v>
      </c>
      <c r="C1853" s="226" t="s">
        <v>627</v>
      </c>
      <c r="D1853" s="226" t="s">
        <v>13</v>
      </c>
      <c r="E1853" s="226" t="s">
        <v>660</v>
      </c>
      <c r="F1853" s="226">
        <v>1.8619022013835513</v>
      </c>
      <c r="G1853" s="226">
        <v>1.46</v>
      </c>
    </row>
    <row r="1854" spans="1:7">
      <c r="A1854" s="226" t="s">
        <v>1232</v>
      </c>
      <c r="B1854" s="226" t="s">
        <v>1235</v>
      </c>
      <c r="C1854" s="226" t="s">
        <v>627</v>
      </c>
      <c r="D1854" s="226" t="s">
        <v>13</v>
      </c>
      <c r="E1854" s="226" t="s">
        <v>661</v>
      </c>
      <c r="F1854" s="226">
        <v>1.8619022013835513</v>
      </c>
      <c r="G1854" s="226">
        <v>1.46</v>
      </c>
    </row>
    <row r="1855" spans="1:7">
      <c r="A1855" s="226" t="s">
        <v>1232</v>
      </c>
      <c r="B1855" s="226" t="s">
        <v>1235</v>
      </c>
      <c r="C1855" s="226" t="s">
        <v>627</v>
      </c>
      <c r="D1855" s="226" t="s">
        <v>13</v>
      </c>
      <c r="E1855" s="226" t="s">
        <v>662</v>
      </c>
      <c r="F1855" s="226">
        <v>1.2927778139451149</v>
      </c>
      <c r="G1855" s="226">
        <v>0</v>
      </c>
    </row>
    <row r="1856" spans="1:7">
      <c r="A1856" s="226" t="s">
        <v>1232</v>
      </c>
      <c r="B1856" s="226" t="s">
        <v>1235</v>
      </c>
      <c r="C1856" s="226" t="s">
        <v>627</v>
      </c>
      <c r="D1856" s="226" t="s">
        <v>13</v>
      </c>
      <c r="E1856" s="226" t="s">
        <v>663</v>
      </c>
      <c r="F1856" s="226">
        <v>1.2927778139451149</v>
      </c>
      <c r="G1856" s="226">
        <v>0</v>
      </c>
    </row>
    <row r="1857" spans="1:7">
      <c r="A1857" s="226" t="s">
        <v>1232</v>
      </c>
      <c r="B1857" s="226" t="s">
        <v>1235</v>
      </c>
      <c r="C1857" s="226" t="s">
        <v>627</v>
      </c>
      <c r="D1857" s="226" t="s">
        <v>13</v>
      </c>
      <c r="E1857" s="226" t="s">
        <v>664</v>
      </c>
      <c r="F1857" s="226">
        <v>1.2927778139451149</v>
      </c>
      <c r="G1857" s="226">
        <v>0</v>
      </c>
    </row>
    <row r="1858" spans="1:7">
      <c r="A1858" s="226" t="s">
        <v>1232</v>
      </c>
      <c r="B1858" s="226" t="s">
        <v>1235</v>
      </c>
      <c r="C1858" s="226" t="s">
        <v>627</v>
      </c>
      <c r="D1858" s="226" t="s">
        <v>13</v>
      </c>
      <c r="E1858" s="226" t="s">
        <v>665</v>
      </c>
      <c r="F1858" s="226">
        <v>1.2927778139451149</v>
      </c>
      <c r="G1858" s="226">
        <v>0</v>
      </c>
    </row>
    <row r="1859" spans="1:7">
      <c r="A1859" s="226" t="s">
        <v>1232</v>
      </c>
      <c r="B1859" s="226" t="s">
        <v>1235</v>
      </c>
      <c r="C1859" s="226" t="s">
        <v>627</v>
      </c>
      <c r="D1859" s="226" t="s">
        <v>13</v>
      </c>
      <c r="E1859" s="226" t="s">
        <v>666</v>
      </c>
      <c r="F1859" s="226">
        <v>1.2927778139451149</v>
      </c>
      <c r="G1859" s="226">
        <v>0</v>
      </c>
    </row>
    <row r="1860" spans="1:7">
      <c r="A1860" s="226" t="s">
        <v>1232</v>
      </c>
      <c r="B1860" s="226" t="s">
        <v>1235</v>
      </c>
      <c r="C1860" s="226" t="s">
        <v>627</v>
      </c>
      <c r="D1860" s="226" t="s">
        <v>13</v>
      </c>
      <c r="E1860" s="226" t="s">
        <v>667</v>
      </c>
      <c r="F1860" s="226">
        <v>1.2927778139451149</v>
      </c>
      <c r="G1860" s="226">
        <v>0</v>
      </c>
    </row>
    <row r="1861" spans="1:7">
      <c r="A1861" s="226" t="s">
        <v>1232</v>
      </c>
      <c r="B1861" s="226" t="s">
        <v>1235</v>
      </c>
      <c r="C1861" s="226" t="s">
        <v>627</v>
      </c>
      <c r="D1861" s="226" t="s">
        <v>15</v>
      </c>
      <c r="E1861" s="226" t="s">
        <v>618</v>
      </c>
      <c r="F1861" s="226">
        <v>0.9658483889064241</v>
      </c>
      <c r="G1861" s="226">
        <v>0.82253334184380233</v>
      </c>
    </row>
    <row r="1862" spans="1:7">
      <c r="A1862" s="226" t="s">
        <v>1232</v>
      </c>
      <c r="B1862" s="226" t="s">
        <v>1235</v>
      </c>
      <c r="C1862" s="226" t="s">
        <v>627</v>
      </c>
      <c r="D1862" s="226" t="s">
        <v>15</v>
      </c>
      <c r="E1862" s="226" t="s">
        <v>619</v>
      </c>
      <c r="F1862" s="226">
        <v>0.95113128576709793</v>
      </c>
      <c r="G1862" s="226">
        <v>0.81</v>
      </c>
    </row>
    <row r="1863" spans="1:7">
      <c r="A1863" s="226" t="s">
        <v>1232</v>
      </c>
      <c r="B1863" s="226" t="s">
        <v>1235</v>
      </c>
      <c r="C1863" s="226" t="s">
        <v>627</v>
      </c>
      <c r="D1863" s="226" t="s">
        <v>15</v>
      </c>
      <c r="E1863" s="226" t="s">
        <v>620</v>
      </c>
      <c r="F1863" s="226">
        <v>2.1958216103512012</v>
      </c>
      <c r="G1863" s="226">
        <v>1.87</v>
      </c>
    </row>
    <row r="1864" spans="1:7">
      <c r="A1864" s="226" t="s">
        <v>1232</v>
      </c>
      <c r="B1864" s="226" t="s">
        <v>1235</v>
      </c>
      <c r="C1864" s="226" t="s">
        <v>627</v>
      </c>
      <c r="D1864" s="226" t="s">
        <v>15</v>
      </c>
      <c r="E1864" s="226" t="s">
        <v>660</v>
      </c>
      <c r="F1864" s="226">
        <v>0</v>
      </c>
      <c r="G1864" s="226">
        <v>0</v>
      </c>
    </row>
    <row r="1865" spans="1:7">
      <c r="A1865" s="226" t="s">
        <v>1232</v>
      </c>
      <c r="B1865" s="226" t="s">
        <v>1235</v>
      </c>
      <c r="C1865" s="226" t="s">
        <v>627</v>
      </c>
      <c r="D1865" s="226" t="s">
        <v>15</v>
      </c>
      <c r="E1865" s="226" t="s">
        <v>661</v>
      </c>
      <c r="F1865" s="226">
        <v>4.6969446210720882</v>
      </c>
      <c r="G1865" s="226">
        <v>4</v>
      </c>
    </row>
    <row r="1866" spans="1:7">
      <c r="A1866" s="226" t="s">
        <v>1232</v>
      </c>
      <c r="B1866" s="226" t="s">
        <v>1235</v>
      </c>
      <c r="C1866" s="226" t="s">
        <v>627</v>
      </c>
      <c r="D1866" s="226" t="s">
        <v>15</v>
      </c>
      <c r="E1866" s="226" t="s">
        <v>662</v>
      </c>
      <c r="F1866" s="226">
        <v>0.61873589352107417</v>
      </c>
      <c r="G1866" s="226">
        <v>0</v>
      </c>
    </row>
    <row r="1867" spans="1:7">
      <c r="A1867" s="226" t="s">
        <v>1232</v>
      </c>
      <c r="B1867" s="226" t="s">
        <v>1235</v>
      </c>
      <c r="C1867" s="226" t="s">
        <v>627</v>
      </c>
      <c r="D1867" s="226" t="s">
        <v>15</v>
      </c>
      <c r="E1867" s="226" t="s">
        <v>663</v>
      </c>
      <c r="F1867" s="226">
        <v>0.61873589352107417</v>
      </c>
      <c r="G1867" s="226">
        <v>0</v>
      </c>
    </row>
    <row r="1868" spans="1:7">
      <c r="A1868" s="226" t="s">
        <v>1232</v>
      </c>
      <c r="B1868" s="226" t="s">
        <v>1235</v>
      </c>
      <c r="C1868" s="226" t="s">
        <v>627</v>
      </c>
      <c r="D1868" s="226" t="s">
        <v>15</v>
      </c>
      <c r="E1868" s="226" t="s">
        <v>664</v>
      </c>
      <c r="F1868" s="226">
        <v>0.61873589352107417</v>
      </c>
      <c r="G1868" s="226">
        <v>0</v>
      </c>
    </row>
    <row r="1869" spans="1:7">
      <c r="A1869" s="226" t="s">
        <v>1232</v>
      </c>
      <c r="B1869" s="226" t="s">
        <v>1235</v>
      </c>
      <c r="C1869" s="226" t="s">
        <v>627</v>
      </c>
      <c r="D1869" s="226" t="s">
        <v>15</v>
      </c>
      <c r="E1869" s="226" t="s">
        <v>665</v>
      </c>
      <c r="F1869" s="226">
        <v>0.61873589352107417</v>
      </c>
      <c r="G1869" s="226">
        <v>0</v>
      </c>
    </row>
    <row r="1870" spans="1:7">
      <c r="A1870" s="226" t="s">
        <v>1232</v>
      </c>
      <c r="B1870" s="226" t="s">
        <v>1235</v>
      </c>
      <c r="C1870" s="226" t="s">
        <v>627</v>
      </c>
      <c r="D1870" s="226" t="s">
        <v>15</v>
      </c>
      <c r="E1870" s="226" t="s">
        <v>666</v>
      </c>
      <c r="F1870" s="226">
        <v>0.61873589352107417</v>
      </c>
      <c r="G1870" s="226">
        <v>0</v>
      </c>
    </row>
    <row r="1871" spans="1:7">
      <c r="A1871" s="226" t="s">
        <v>1232</v>
      </c>
      <c r="B1871" s="226" t="s">
        <v>1235</v>
      </c>
      <c r="C1871" s="226" t="s">
        <v>627</v>
      </c>
      <c r="D1871" s="226" t="s">
        <v>15</v>
      </c>
      <c r="E1871" s="226" t="s">
        <v>667</v>
      </c>
      <c r="F1871" s="226">
        <v>0.61873589352107417</v>
      </c>
      <c r="G1871" s="226">
        <v>0</v>
      </c>
    </row>
    <row r="1872" spans="1:7">
      <c r="A1872" s="226" t="s">
        <v>1232</v>
      </c>
      <c r="B1872" s="226" t="s">
        <v>1235</v>
      </c>
      <c r="C1872" s="226" t="s">
        <v>625</v>
      </c>
      <c r="D1872" s="226" t="s">
        <v>0</v>
      </c>
      <c r="E1872" s="226" t="s">
        <v>618</v>
      </c>
      <c r="F1872" s="226">
        <v>1.2200782854033014</v>
      </c>
      <c r="G1872" s="226">
        <v>1.1026742559700637</v>
      </c>
    </row>
    <row r="1873" spans="1:7">
      <c r="A1873" s="226" t="s">
        <v>1232</v>
      </c>
      <c r="B1873" s="226" t="s">
        <v>1235</v>
      </c>
      <c r="C1873" s="226" t="s">
        <v>625</v>
      </c>
      <c r="D1873" s="226" t="s">
        <v>0</v>
      </c>
      <c r="E1873" s="226" t="s">
        <v>619</v>
      </c>
      <c r="F1873" s="226">
        <v>2.1908147324735596</v>
      </c>
      <c r="G1873" s="226">
        <v>1.98</v>
      </c>
    </row>
    <row r="1874" spans="1:7">
      <c r="A1874" s="226" t="s">
        <v>1232</v>
      </c>
      <c r="B1874" s="226" t="s">
        <v>1235</v>
      </c>
      <c r="C1874" s="226" t="s">
        <v>625</v>
      </c>
      <c r="D1874" s="226" t="s">
        <v>0</v>
      </c>
      <c r="E1874" s="226" t="s">
        <v>620</v>
      </c>
      <c r="F1874" s="226">
        <v>5.8421726199294923</v>
      </c>
      <c r="G1874" s="226">
        <v>5.28</v>
      </c>
    </row>
    <row r="1875" spans="1:7">
      <c r="A1875" s="226" t="s">
        <v>1232</v>
      </c>
      <c r="B1875" s="226" t="s">
        <v>1235</v>
      </c>
      <c r="C1875" s="226" t="s">
        <v>625</v>
      </c>
      <c r="D1875" s="226" t="s">
        <v>0</v>
      </c>
      <c r="E1875" s="226" t="s">
        <v>660</v>
      </c>
      <c r="F1875" s="226">
        <v>0</v>
      </c>
      <c r="G1875" s="226">
        <v>0</v>
      </c>
    </row>
    <row r="1876" spans="1:7">
      <c r="A1876" s="226" t="s">
        <v>1232</v>
      </c>
      <c r="B1876" s="226" t="s">
        <v>1235</v>
      </c>
      <c r="C1876" s="226" t="s">
        <v>625</v>
      </c>
      <c r="D1876" s="226" t="s">
        <v>0</v>
      </c>
      <c r="E1876" s="226" t="s">
        <v>661</v>
      </c>
      <c r="F1876" s="226">
        <v>1.9319928874107166</v>
      </c>
      <c r="G1876" s="226">
        <v>1.32</v>
      </c>
    </row>
    <row r="1877" spans="1:7">
      <c r="A1877" s="226" t="s">
        <v>1232</v>
      </c>
      <c r="B1877" s="226" t="s">
        <v>1235</v>
      </c>
      <c r="C1877" s="226" t="s">
        <v>625</v>
      </c>
      <c r="D1877" s="226" t="s">
        <v>0</v>
      </c>
      <c r="E1877" s="226" t="s">
        <v>662</v>
      </c>
      <c r="F1877" s="226">
        <v>1.9319928874107166</v>
      </c>
      <c r="G1877" s="226">
        <v>0</v>
      </c>
    </row>
    <row r="1878" spans="1:7">
      <c r="A1878" s="226" t="s">
        <v>1232</v>
      </c>
      <c r="B1878" s="226" t="s">
        <v>1235</v>
      </c>
      <c r="C1878" s="226" t="s">
        <v>625</v>
      </c>
      <c r="D1878" s="226" t="s">
        <v>0</v>
      </c>
      <c r="E1878" s="226" t="s">
        <v>663</v>
      </c>
      <c r="F1878" s="226">
        <v>1.9319928874107166</v>
      </c>
      <c r="G1878" s="226">
        <v>0</v>
      </c>
    </row>
    <row r="1879" spans="1:7">
      <c r="A1879" s="226" t="s">
        <v>1232</v>
      </c>
      <c r="B1879" s="226" t="s">
        <v>1235</v>
      </c>
      <c r="C1879" s="226" t="s">
        <v>625</v>
      </c>
      <c r="D1879" s="226" t="s">
        <v>0</v>
      </c>
      <c r="E1879" s="226" t="s">
        <v>664</v>
      </c>
      <c r="F1879" s="226">
        <v>1.9319928874107166</v>
      </c>
      <c r="G1879" s="226">
        <v>0</v>
      </c>
    </row>
    <row r="1880" spans="1:7">
      <c r="A1880" s="226" t="s">
        <v>1232</v>
      </c>
      <c r="B1880" s="226" t="s">
        <v>1235</v>
      </c>
      <c r="C1880" s="226" t="s">
        <v>625</v>
      </c>
      <c r="D1880" s="226" t="s">
        <v>0</v>
      </c>
      <c r="E1880" s="226" t="s">
        <v>665</v>
      </c>
      <c r="F1880" s="226">
        <v>1.9319928874107166</v>
      </c>
      <c r="G1880" s="226">
        <v>0</v>
      </c>
    </row>
    <row r="1881" spans="1:7">
      <c r="A1881" s="226" t="s">
        <v>1232</v>
      </c>
      <c r="B1881" s="226" t="s">
        <v>1235</v>
      </c>
      <c r="C1881" s="226" t="s">
        <v>625</v>
      </c>
      <c r="D1881" s="226" t="s">
        <v>0</v>
      </c>
      <c r="E1881" s="226" t="s">
        <v>666</v>
      </c>
      <c r="F1881" s="226">
        <v>1.9319928874107166</v>
      </c>
      <c r="G1881" s="226">
        <v>0</v>
      </c>
    </row>
    <row r="1882" spans="1:7">
      <c r="A1882" s="226" t="s">
        <v>1232</v>
      </c>
      <c r="B1882" s="226" t="s">
        <v>1235</v>
      </c>
      <c r="C1882" s="226" t="s">
        <v>625</v>
      </c>
      <c r="D1882" s="226" t="s">
        <v>0</v>
      </c>
      <c r="E1882" s="226" t="s">
        <v>667</v>
      </c>
      <c r="F1882" s="226">
        <v>1.9319928874107166</v>
      </c>
      <c r="G1882" s="226">
        <v>0</v>
      </c>
    </row>
    <row r="1883" spans="1:7">
      <c r="A1883" s="226" t="s">
        <v>1232</v>
      </c>
      <c r="B1883" s="226" t="s">
        <v>1235</v>
      </c>
      <c r="C1883" s="226" t="s">
        <v>625</v>
      </c>
      <c r="D1883" s="226" t="s">
        <v>4</v>
      </c>
      <c r="E1883" s="226" t="s">
        <v>618</v>
      </c>
      <c r="F1883" s="226">
        <v>2.3715189116667806E-4</v>
      </c>
      <c r="G1883" s="226">
        <v>2.3715189116667806E-4</v>
      </c>
    </row>
    <row r="1884" spans="1:7">
      <c r="A1884" s="226" t="s">
        <v>1232</v>
      </c>
      <c r="B1884" s="226" t="s">
        <v>1235</v>
      </c>
      <c r="C1884" s="226" t="s">
        <v>625</v>
      </c>
      <c r="D1884" s="226" t="s">
        <v>4</v>
      </c>
      <c r="E1884" s="226" t="s">
        <v>619</v>
      </c>
      <c r="F1884" s="226">
        <v>0</v>
      </c>
      <c r="G1884" s="226">
        <v>0</v>
      </c>
    </row>
    <row r="1885" spans="1:7">
      <c r="A1885" s="226" t="s">
        <v>1232</v>
      </c>
      <c r="B1885" s="226" t="s">
        <v>1235</v>
      </c>
      <c r="C1885" s="226" t="s">
        <v>625</v>
      </c>
      <c r="D1885" s="226" t="s">
        <v>4</v>
      </c>
      <c r="E1885" s="226" t="s">
        <v>620</v>
      </c>
      <c r="F1885" s="226">
        <v>0</v>
      </c>
      <c r="G1885" s="226">
        <v>0</v>
      </c>
    </row>
    <row r="1886" spans="1:7">
      <c r="A1886" s="226" t="s">
        <v>1232</v>
      </c>
      <c r="B1886" s="226" t="s">
        <v>1235</v>
      </c>
      <c r="C1886" s="226" t="s">
        <v>625</v>
      </c>
      <c r="D1886" s="226" t="s">
        <v>4</v>
      </c>
      <c r="E1886" s="226" t="s">
        <v>660</v>
      </c>
      <c r="F1886" s="226">
        <v>0</v>
      </c>
      <c r="G1886" s="226">
        <v>0</v>
      </c>
    </row>
    <row r="1887" spans="1:7">
      <c r="A1887" s="226" t="s">
        <v>1232</v>
      </c>
      <c r="B1887" s="226" t="s">
        <v>1235</v>
      </c>
      <c r="C1887" s="226" t="s">
        <v>625</v>
      </c>
      <c r="D1887" s="226" t="s">
        <v>4</v>
      </c>
      <c r="E1887" s="226" t="s">
        <v>661</v>
      </c>
      <c r="F1887" s="226">
        <v>1.171120450205817E-2</v>
      </c>
      <c r="G1887" s="226">
        <v>0</v>
      </c>
    </row>
    <row r="1888" spans="1:7">
      <c r="A1888" s="226" t="s">
        <v>1232</v>
      </c>
      <c r="B1888" s="226" t="s">
        <v>1235</v>
      </c>
      <c r="C1888" s="226" t="s">
        <v>625</v>
      </c>
      <c r="D1888" s="226" t="s">
        <v>4</v>
      </c>
      <c r="E1888" s="226" t="s">
        <v>662</v>
      </c>
      <c r="F1888" s="226">
        <v>1.171120450205817E-2</v>
      </c>
      <c r="G1888" s="226">
        <v>0</v>
      </c>
    </row>
    <row r="1889" spans="1:7">
      <c r="A1889" s="226" t="s">
        <v>1232</v>
      </c>
      <c r="B1889" s="226" t="s">
        <v>1235</v>
      </c>
      <c r="C1889" s="226" t="s">
        <v>625</v>
      </c>
      <c r="D1889" s="226" t="s">
        <v>4</v>
      </c>
      <c r="E1889" s="226" t="s">
        <v>663</v>
      </c>
      <c r="F1889" s="226">
        <v>1.171120450205817E-2</v>
      </c>
      <c r="G1889" s="226">
        <v>0</v>
      </c>
    </row>
    <row r="1890" spans="1:7">
      <c r="A1890" s="226" t="s">
        <v>1232</v>
      </c>
      <c r="B1890" s="226" t="s">
        <v>1235</v>
      </c>
      <c r="C1890" s="226" t="s">
        <v>625</v>
      </c>
      <c r="D1890" s="226" t="s">
        <v>4</v>
      </c>
      <c r="E1890" s="226" t="s">
        <v>664</v>
      </c>
      <c r="F1890" s="226">
        <v>1.171120450205817E-2</v>
      </c>
      <c r="G1890" s="226">
        <v>0</v>
      </c>
    </row>
    <row r="1891" spans="1:7">
      <c r="A1891" s="226" t="s">
        <v>1232</v>
      </c>
      <c r="B1891" s="226" t="s">
        <v>1235</v>
      </c>
      <c r="C1891" s="226" t="s">
        <v>625</v>
      </c>
      <c r="D1891" s="226" t="s">
        <v>4</v>
      </c>
      <c r="E1891" s="226" t="s">
        <v>665</v>
      </c>
      <c r="F1891" s="226">
        <v>1.171120450205817E-2</v>
      </c>
      <c r="G1891" s="226">
        <v>0</v>
      </c>
    </row>
    <row r="1892" spans="1:7">
      <c r="A1892" s="226" t="s">
        <v>1232</v>
      </c>
      <c r="B1892" s="226" t="s">
        <v>1235</v>
      </c>
      <c r="C1892" s="226" t="s">
        <v>625</v>
      </c>
      <c r="D1892" s="226" t="s">
        <v>4</v>
      </c>
      <c r="E1892" s="226" t="s">
        <v>666</v>
      </c>
      <c r="F1892" s="226">
        <v>1.171120450205817E-2</v>
      </c>
      <c r="G1892" s="226">
        <v>0</v>
      </c>
    </row>
    <row r="1893" spans="1:7">
      <c r="A1893" s="226" t="s">
        <v>1232</v>
      </c>
      <c r="B1893" s="226" t="s">
        <v>1235</v>
      </c>
      <c r="C1893" s="226" t="s">
        <v>625</v>
      </c>
      <c r="D1893" s="226" t="s">
        <v>4</v>
      </c>
      <c r="E1893" s="226" t="s">
        <v>667</v>
      </c>
      <c r="F1893" s="226">
        <v>1.171120450205817E-2</v>
      </c>
      <c r="G1893" s="226">
        <v>0</v>
      </c>
    </row>
    <row r="1894" spans="1:7">
      <c r="A1894" s="226" t="s">
        <v>1232</v>
      </c>
      <c r="B1894" s="226" t="s">
        <v>1235</v>
      </c>
      <c r="C1894" s="226" t="s">
        <v>963</v>
      </c>
      <c r="D1894" s="226" t="s">
        <v>17</v>
      </c>
      <c r="E1894" s="226" t="s">
        <v>618</v>
      </c>
      <c r="F1894" s="226">
        <v>2.5015637410471196E-2</v>
      </c>
      <c r="G1894" s="226">
        <v>2.3655479856085439E-2</v>
      </c>
    </row>
    <row r="1895" spans="1:7">
      <c r="A1895" s="226" t="s">
        <v>1232</v>
      </c>
      <c r="B1895" s="226" t="s">
        <v>1235</v>
      </c>
      <c r="C1895" s="226" t="s">
        <v>963</v>
      </c>
      <c r="D1895" s="226" t="s">
        <v>17</v>
      </c>
      <c r="E1895" s="226" t="s">
        <v>619</v>
      </c>
      <c r="F1895" s="226">
        <v>0</v>
      </c>
      <c r="G1895" s="226">
        <v>0</v>
      </c>
    </row>
    <row r="1896" spans="1:7">
      <c r="A1896" s="226" t="s">
        <v>1232</v>
      </c>
      <c r="B1896" s="226" t="s">
        <v>1235</v>
      </c>
      <c r="C1896" s="226" t="s">
        <v>963</v>
      </c>
      <c r="D1896" s="226" t="s">
        <v>17</v>
      </c>
      <c r="E1896" s="226" t="s">
        <v>620</v>
      </c>
      <c r="F1896" s="226">
        <v>0</v>
      </c>
      <c r="G1896" s="226">
        <v>0</v>
      </c>
    </row>
    <row r="1897" spans="1:7">
      <c r="A1897" s="226" t="s">
        <v>1232</v>
      </c>
      <c r="B1897" s="226" t="s">
        <v>1235</v>
      </c>
      <c r="C1897" s="226" t="s">
        <v>963</v>
      </c>
      <c r="D1897" s="226" t="s">
        <v>17</v>
      </c>
      <c r="E1897" s="226" t="s">
        <v>660</v>
      </c>
      <c r="F1897" s="226">
        <v>0</v>
      </c>
      <c r="G1897" s="226">
        <v>0</v>
      </c>
    </row>
    <row r="1898" spans="1:7">
      <c r="A1898" s="226" t="s">
        <v>1232</v>
      </c>
      <c r="B1898" s="226" t="s">
        <v>1235</v>
      </c>
      <c r="C1898" s="226" t="s">
        <v>963</v>
      </c>
      <c r="D1898" s="226" t="s">
        <v>17</v>
      </c>
      <c r="E1898" s="226" t="s">
        <v>661</v>
      </c>
      <c r="F1898" s="226">
        <v>1.1681718447449594</v>
      </c>
      <c r="G1898" s="226">
        <v>0</v>
      </c>
    </row>
    <row r="1899" spans="1:7">
      <c r="A1899" s="226" t="s">
        <v>1232</v>
      </c>
      <c r="B1899" s="226" t="s">
        <v>1235</v>
      </c>
      <c r="C1899" s="226" t="s">
        <v>963</v>
      </c>
      <c r="D1899" s="226" t="s">
        <v>17</v>
      </c>
      <c r="E1899" s="226" t="s">
        <v>662</v>
      </c>
      <c r="F1899" s="226">
        <v>1.1681718447449594</v>
      </c>
      <c r="G1899" s="226">
        <v>0</v>
      </c>
    </row>
    <row r="1900" spans="1:7">
      <c r="A1900" s="226" t="s">
        <v>1232</v>
      </c>
      <c r="B1900" s="226" t="s">
        <v>1235</v>
      </c>
      <c r="C1900" s="226" t="s">
        <v>963</v>
      </c>
      <c r="D1900" s="226" t="s">
        <v>17</v>
      </c>
      <c r="E1900" s="226" t="s">
        <v>663</v>
      </c>
      <c r="F1900" s="226">
        <v>1.1681718447449594</v>
      </c>
      <c r="G1900" s="226">
        <v>0</v>
      </c>
    </row>
    <row r="1901" spans="1:7">
      <c r="A1901" s="226" t="s">
        <v>1232</v>
      </c>
      <c r="B1901" s="226" t="s">
        <v>1235</v>
      </c>
      <c r="C1901" s="226" t="s">
        <v>963</v>
      </c>
      <c r="D1901" s="226" t="s">
        <v>17</v>
      </c>
      <c r="E1901" s="226" t="s">
        <v>664</v>
      </c>
      <c r="F1901" s="226">
        <v>1.1681718447449594</v>
      </c>
      <c r="G1901" s="226">
        <v>0</v>
      </c>
    </row>
    <row r="1902" spans="1:7">
      <c r="A1902" s="226" t="s">
        <v>1232</v>
      </c>
      <c r="B1902" s="226" t="s">
        <v>1235</v>
      </c>
      <c r="C1902" s="226" t="s">
        <v>963</v>
      </c>
      <c r="D1902" s="226" t="s">
        <v>17</v>
      </c>
      <c r="E1902" s="226" t="s">
        <v>665</v>
      </c>
      <c r="F1902" s="226">
        <v>1.1681718447449594</v>
      </c>
      <c r="G1902" s="226">
        <v>0</v>
      </c>
    </row>
    <row r="1903" spans="1:7">
      <c r="A1903" s="226" t="s">
        <v>1232</v>
      </c>
      <c r="B1903" s="226" t="s">
        <v>1235</v>
      </c>
      <c r="C1903" s="226" t="s">
        <v>963</v>
      </c>
      <c r="D1903" s="226" t="s">
        <v>17</v>
      </c>
      <c r="E1903" s="226" t="s">
        <v>666</v>
      </c>
      <c r="F1903" s="226">
        <v>1.1681718447449594</v>
      </c>
      <c r="G1903" s="226">
        <v>0</v>
      </c>
    </row>
    <row r="1904" spans="1:7">
      <c r="A1904" s="226" t="s">
        <v>1232</v>
      </c>
      <c r="B1904" s="226" t="s">
        <v>1235</v>
      </c>
      <c r="C1904" s="226" t="s">
        <v>963</v>
      </c>
      <c r="D1904" s="226" t="s">
        <v>17</v>
      </c>
      <c r="E1904" s="226" t="s">
        <v>667</v>
      </c>
      <c r="F1904" s="226">
        <v>1.1681718447449594</v>
      </c>
      <c r="G1904" s="226">
        <v>0</v>
      </c>
    </row>
    <row r="1905" spans="1:7">
      <c r="A1905" s="226" t="s">
        <v>1232</v>
      </c>
      <c r="B1905" s="226" t="s">
        <v>1235</v>
      </c>
      <c r="C1905" s="226" t="s">
        <v>626</v>
      </c>
      <c r="D1905" s="226" t="s">
        <v>92</v>
      </c>
      <c r="E1905" s="226" t="s">
        <v>618</v>
      </c>
      <c r="F1905" s="226">
        <v>3.0995157202116076E-2</v>
      </c>
      <c r="G1905" s="226">
        <v>3.0995157202116076E-2</v>
      </c>
    </row>
    <row r="1906" spans="1:7">
      <c r="A1906" s="226" t="s">
        <v>1232</v>
      </c>
      <c r="B1906" s="226" t="s">
        <v>1235</v>
      </c>
      <c r="C1906" s="226" t="s">
        <v>626</v>
      </c>
      <c r="D1906" s="226" t="s">
        <v>92</v>
      </c>
      <c r="E1906" s="226" t="s">
        <v>619</v>
      </c>
      <c r="F1906" s="226">
        <v>0</v>
      </c>
      <c r="G1906" s="226">
        <v>0</v>
      </c>
    </row>
    <row r="1907" spans="1:7">
      <c r="A1907" s="226" t="s">
        <v>1232</v>
      </c>
      <c r="B1907" s="226" t="s">
        <v>1235</v>
      </c>
      <c r="C1907" s="226" t="s">
        <v>626</v>
      </c>
      <c r="D1907" s="226" t="s">
        <v>92</v>
      </c>
      <c r="E1907" s="226" t="s">
        <v>620</v>
      </c>
      <c r="F1907" s="226">
        <v>0</v>
      </c>
      <c r="G1907" s="226">
        <v>0</v>
      </c>
    </row>
    <row r="1908" spans="1:7">
      <c r="A1908" s="226" t="s">
        <v>1232</v>
      </c>
      <c r="B1908" s="226" t="s">
        <v>1235</v>
      </c>
      <c r="C1908" s="226" t="s">
        <v>626</v>
      </c>
      <c r="D1908" s="226" t="s">
        <v>92</v>
      </c>
      <c r="E1908" s="226" t="s">
        <v>660</v>
      </c>
      <c r="F1908" s="226">
        <v>0</v>
      </c>
      <c r="G1908" s="226">
        <v>0</v>
      </c>
    </row>
    <row r="1909" spans="1:7">
      <c r="A1909" s="226" t="s">
        <v>1232</v>
      </c>
      <c r="B1909" s="226" t="s">
        <v>1235</v>
      </c>
      <c r="C1909" s="226" t="s">
        <v>626</v>
      </c>
      <c r="D1909" s="226" t="s">
        <v>92</v>
      </c>
      <c r="E1909" s="226" t="s">
        <v>661</v>
      </c>
      <c r="F1909" s="226">
        <v>3.8102322032644341E-3</v>
      </c>
      <c r="G1909" s="226">
        <v>0</v>
      </c>
    </row>
    <row r="1910" spans="1:7">
      <c r="A1910" s="226" t="s">
        <v>1232</v>
      </c>
      <c r="B1910" s="226" t="s">
        <v>1235</v>
      </c>
      <c r="C1910" s="226" t="s">
        <v>626</v>
      </c>
      <c r="D1910" s="226" t="s">
        <v>92</v>
      </c>
      <c r="E1910" s="226" t="s">
        <v>662</v>
      </c>
      <c r="F1910" s="226">
        <v>3.8102322032644341E-3</v>
      </c>
      <c r="G1910" s="226">
        <v>0</v>
      </c>
    </row>
    <row r="1911" spans="1:7">
      <c r="A1911" s="226" t="s">
        <v>1232</v>
      </c>
      <c r="B1911" s="226" t="s">
        <v>1235</v>
      </c>
      <c r="C1911" s="226" t="s">
        <v>626</v>
      </c>
      <c r="D1911" s="226" t="s">
        <v>92</v>
      </c>
      <c r="E1911" s="226" t="s">
        <v>663</v>
      </c>
      <c r="F1911" s="226">
        <v>3.8102322032644341E-3</v>
      </c>
      <c r="G1911" s="226">
        <v>0</v>
      </c>
    </row>
    <row r="1912" spans="1:7">
      <c r="A1912" s="226" t="s">
        <v>1232</v>
      </c>
      <c r="B1912" s="226" t="s">
        <v>1235</v>
      </c>
      <c r="C1912" s="226" t="s">
        <v>626</v>
      </c>
      <c r="D1912" s="226" t="s">
        <v>92</v>
      </c>
      <c r="E1912" s="226" t="s">
        <v>664</v>
      </c>
      <c r="F1912" s="226">
        <v>3.8102322032644341E-3</v>
      </c>
      <c r="G1912" s="226">
        <v>0</v>
      </c>
    </row>
    <row r="1913" spans="1:7">
      <c r="A1913" s="226" t="s">
        <v>1232</v>
      </c>
      <c r="B1913" s="226" t="s">
        <v>1235</v>
      </c>
      <c r="C1913" s="226" t="s">
        <v>626</v>
      </c>
      <c r="D1913" s="226" t="s">
        <v>92</v>
      </c>
      <c r="E1913" s="226" t="s">
        <v>665</v>
      </c>
      <c r="F1913" s="226">
        <v>3.8102322032644341E-3</v>
      </c>
      <c r="G1913" s="226">
        <v>0</v>
      </c>
    </row>
    <row r="1914" spans="1:7">
      <c r="A1914" s="226" t="s">
        <v>1232</v>
      </c>
      <c r="B1914" s="226" t="s">
        <v>1235</v>
      </c>
      <c r="C1914" s="226" t="s">
        <v>626</v>
      </c>
      <c r="D1914" s="226" t="s">
        <v>92</v>
      </c>
      <c r="E1914" s="226" t="s">
        <v>666</v>
      </c>
      <c r="F1914" s="226">
        <v>3.8102322032644341E-3</v>
      </c>
      <c r="G1914" s="226">
        <v>0</v>
      </c>
    </row>
    <row r="1915" spans="1:7">
      <c r="A1915" s="226" t="s">
        <v>1232</v>
      </c>
      <c r="B1915" s="226" t="s">
        <v>1235</v>
      </c>
      <c r="C1915" s="226" t="s">
        <v>626</v>
      </c>
      <c r="D1915" s="226" t="s">
        <v>92</v>
      </c>
      <c r="E1915" s="226" t="s">
        <v>667</v>
      </c>
      <c r="F1915" s="226">
        <v>3.8102322032644341E-3</v>
      </c>
      <c r="G1915" s="226">
        <v>0</v>
      </c>
    </row>
    <row r="1916" spans="1:7">
      <c r="A1916" s="226" t="s">
        <v>1232</v>
      </c>
      <c r="B1916" s="226" t="s">
        <v>1235</v>
      </c>
      <c r="C1916" s="226" t="s">
        <v>625</v>
      </c>
      <c r="D1916" s="226" t="s">
        <v>93</v>
      </c>
      <c r="E1916" s="226" t="s">
        <v>618</v>
      </c>
      <c r="F1916" s="226">
        <v>0</v>
      </c>
      <c r="G1916" s="226">
        <v>0</v>
      </c>
    </row>
    <row r="1917" spans="1:7">
      <c r="A1917" s="226" t="s">
        <v>1232</v>
      </c>
      <c r="B1917" s="226" t="s">
        <v>1235</v>
      </c>
      <c r="C1917" s="226" t="s">
        <v>625</v>
      </c>
      <c r="D1917" s="226" t="s">
        <v>93</v>
      </c>
      <c r="E1917" s="226" t="s">
        <v>619</v>
      </c>
      <c r="F1917" s="226">
        <v>0</v>
      </c>
      <c r="G1917" s="226">
        <v>0</v>
      </c>
    </row>
    <row r="1918" spans="1:7">
      <c r="A1918" s="226" t="s">
        <v>1232</v>
      </c>
      <c r="B1918" s="226" t="s">
        <v>1235</v>
      </c>
      <c r="C1918" s="226" t="s">
        <v>625</v>
      </c>
      <c r="D1918" s="226" t="s">
        <v>93</v>
      </c>
      <c r="E1918" s="226" t="s">
        <v>620</v>
      </c>
      <c r="F1918" s="226">
        <v>0</v>
      </c>
      <c r="G1918" s="226">
        <v>0</v>
      </c>
    </row>
    <row r="1919" spans="1:7">
      <c r="A1919" s="226" t="s">
        <v>1232</v>
      </c>
      <c r="B1919" s="226" t="s">
        <v>1235</v>
      </c>
      <c r="C1919" s="226" t="s">
        <v>625</v>
      </c>
      <c r="D1919" s="226" t="s">
        <v>93</v>
      </c>
      <c r="E1919" s="226" t="s">
        <v>660</v>
      </c>
      <c r="F1919" s="226">
        <v>0</v>
      </c>
      <c r="G1919" s="226">
        <v>0</v>
      </c>
    </row>
    <row r="1920" spans="1:7">
      <c r="A1920" s="226" t="s">
        <v>1232</v>
      </c>
      <c r="B1920" s="226" t="s">
        <v>1235</v>
      </c>
      <c r="C1920" s="226" t="s">
        <v>625</v>
      </c>
      <c r="D1920" s="226" t="s">
        <v>93</v>
      </c>
      <c r="E1920" s="226" t="s">
        <v>661</v>
      </c>
      <c r="F1920" s="226">
        <v>0</v>
      </c>
      <c r="G1920" s="226">
        <v>0</v>
      </c>
    </row>
    <row r="1921" spans="1:7">
      <c r="A1921" s="226" t="s">
        <v>1232</v>
      </c>
      <c r="B1921" s="226" t="s">
        <v>1235</v>
      </c>
      <c r="C1921" s="226" t="s">
        <v>625</v>
      </c>
      <c r="D1921" s="226" t="s">
        <v>93</v>
      </c>
      <c r="E1921" s="226" t="s">
        <v>662</v>
      </c>
      <c r="F1921" s="226">
        <v>0</v>
      </c>
      <c r="G1921" s="226">
        <v>0</v>
      </c>
    </row>
    <row r="1922" spans="1:7">
      <c r="A1922" s="226" t="s">
        <v>1232</v>
      </c>
      <c r="B1922" s="226" t="s">
        <v>1235</v>
      </c>
      <c r="C1922" s="226" t="s">
        <v>625</v>
      </c>
      <c r="D1922" s="226" t="s">
        <v>93</v>
      </c>
      <c r="E1922" s="226" t="s">
        <v>663</v>
      </c>
      <c r="F1922" s="226">
        <v>0</v>
      </c>
      <c r="G1922" s="226">
        <v>0</v>
      </c>
    </row>
    <row r="1923" spans="1:7">
      <c r="A1923" s="226" t="s">
        <v>1232</v>
      </c>
      <c r="B1923" s="226" t="s">
        <v>1235</v>
      </c>
      <c r="C1923" s="226" t="s">
        <v>625</v>
      </c>
      <c r="D1923" s="226" t="s">
        <v>93</v>
      </c>
      <c r="E1923" s="226" t="s">
        <v>664</v>
      </c>
      <c r="F1923" s="226">
        <v>0</v>
      </c>
      <c r="G1923" s="226">
        <v>0</v>
      </c>
    </row>
    <row r="1924" spans="1:7">
      <c r="A1924" s="226" t="s">
        <v>1232</v>
      </c>
      <c r="B1924" s="226" t="s">
        <v>1235</v>
      </c>
      <c r="C1924" s="226" t="s">
        <v>625</v>
      </c>
      <c r="D1924" s="226" t="s">
        <v>93</v>
      </c>
      <c r="E1924" s="226" t="s">
        <v>665</v>
      </c>
      <c r="F1924" s="226">
        <v>0</v>
      </c>
      <c r="G1924" s="226">
        <v>0</v>
      </c>
    </row>
    <row r="1925" spans="1:7">
      <c r="A1925" s="226" t="s">
        <v>1232</v>
      </c>
      <c r="B1925" s="226" t="s">
        <v>1235</v>
      </c>
      <c r="C1925" s="226" t="s">
        <v>625</v>
      </c>
      <c r="D1925" s="226" t="s">
        <v>93</v>
      </c>
      <c r="E1925" s="226" t="s">
        <v>666</v>
      </c>
      <c r="F1925" s="226">
        <v>0</v>
      </c>
      <c r="G1925" s="226">
        <v>0</v>
      </c>
    </row>
    <row r="1926" spans="1:7">
      <c r="A1926" s="226" t="s">
        <v>1232</v>
      </c>
      <c r="B1926" s="226" t="s">
        <v>1235</v>
      </c>
      <c r="C1926" s="226" t="s">
        <v>625</v>
      </c>
      <c r="D1926" s="226" t="s">
        <v>93</v>
      </c>
      <c r="E1926" s="226" t="s">
        <v>667</v>
      </c>
      <c r="F1926" s="226">
        <v>0</v>
      </c>
      <c r="G1926" s="226">
        <v>0</v>
      </c>
    </row>
    <row r="1927" spans="1:7">
      <c r="A1927" s="226" t="s">
        <v>1244</v>
      </c>
      <c r="B1927" s="226" t="s">
        <v>1235</v>
      </c>
      <c r="C1927" s="226" t="s">
        <v>627</v>
      </c>
      <c r="D1927" s="226" t="s">
        <v>14</v>
      </c>
      <c r="E1927" s="226" t="s">
        <v>618</v>
      </c>
      <c r="F1927" s="226">
        <v>0</v>
      </c>
      <c r="G1927" s="226">
        <v>0</v>
      </c>
    </row>
    <row r="1928" spans="1:7">
      <c r="A1928" s="226" t="s">
        <v>1244</v>
      </c>
      <c r="B1928" s="226" t="s">
        <v>1235</v>
      </c>
      <c r="C1928" s="226" t="s">
        <v>627</v>
      </c>
      <c r="D1928" s="226" t="s">
        <v>14</v>
      </c>
      <c r="E1928" s="226" t="s">
        <v>619</v>
      </c>
      <c r="F1928" s="226">
        <v>3.465440191709751E-2</v>
      </c>
      <c r="G1928" s="226">
        <v>0</v>
      </c>
    </row>
    <row r="1929" spans="1:7">
      <c r="A1929" s="226" t="s">
        <v>1244</v>
      </c>
      <c r="B1929" s="226" t="s">
        <v>1235</v>
      </c>
      <c r="C1929" s="226" t="s">
        <v>627</v>
      </c>
      <c r="D1929" s="226" t="s">
        <v>14</v>
      </c>
      <c r="E1929" s="226" t="s">
        <v>620</v>
      </c>
      <c r="F1929" s="226">
        <v>3.465440191709751E-2</v>
      </c>
      <c r="G1929" s="226">
        <v>0</v>
      </c>
    </row>
    <row r="1930" spans="1:7">
      <c r="A1930" s="226" t="s">
        <v>1244</v>
      </c>
      <c r="B1930" s="226" t="s">
        <v>1235</v>
      </c>
      <c r="C1930" s="226" t="s">
        <v>627</v>
      </c>
      <c r="D1930" s="226" t="s">
        <v>14</v>
      </c>
      <c r="E1930" s="226" t="s">
        <v>660</v>
      </c>
      <c r="F1930" s="226">
        <v>3.465440191709751E-2</v>
      </c>
      <c r="G1930" s="226">
        <v>0</v>
      </c>
    </row>
    <row r="1931" spans="1:7">
      <c r="A1931" s="226" t="s">
        <v>1244</v>
      </c>
      <c r="B1931" s="226" t="s">
        <v>1235</v>
      </c>
      <c r="C1931" s="226" t="s">
        <v>627</v>
      </c>
      <c r="D1931" s="226" t="s">
        <v>14</v>
      </c>
      <c r="E1931" s="226" t="s">
        <v>661</v>
      </c>
      <c r="F1931" s="226">
        <v>3.465440191709751E-2</v>
      </c>
      <c r="G1931" s="226">
        <v>0</v>
      </c>
    </row>
    <row r="1932" spans="1:7">
      <c r="A1932" s="226" t="s">
        <v>1244</v>
      </c>
      <c r="B1932" s="226" t="s">
        <v>1235</v>
      </c>
      <c r="C1932" s="226" t="s">
        <v>627</v>
      </c>
      <c r="D1932" s="226" t="s">
        <v>14</v>
      </c>
      <c r="E1932" s="226" t="s">
        <v>662</v>
      </c>
      <c r="F1932" s="226">
        <v>3.465440191709751E-2</v>
      </c>
      <c r="G1932" s="226">
        <v>0</v>
      </c>
    </row>
    <row r="1933" spans="1:7">
      <c r="A1933" s="226" t="s">
        <v>1244</v>
      </c>
      <c r="B1933" s="226" t="s">
        <v>1235</v>
      </c>
      <c r="C1933" s="226" t="s">
        <v>627</v>
      </c>
      <c r="D1933" s="226" t="s">
        <v>14</v>
      </c>
      <c r="E1933" s="226" t="s">
        <v>663</v>
      </c>
      <c r="F1933" s="226">
        <v>3.465440191709751E-2</v>
      </c>
      <c r="G1933" s="226">
        <v>0</v>
      </c>
    </row>
    <row r="1934" spans="1:7">
      <c r="A1934" s="226" t="s">
        <v>1244</v>
      </c>
      <c r="B1934" s="226" t="s">
        <v>1235</v>
      </c>
      <c r="C1934" s="226" t="s">
        <v>627</v>
      </c>
      <c r="D1934" s="226" t="s">
        <v>14</v>
      </c>
      <c r="E1934" s="226" t="s">
        <v>664</v>
      </c>
      <c r="F1934" s="226">
        <v>3.465440191709751E-2</v>
      </c>
      <c r="G1934" s="226">
        <v>0</v>
      </c>
    </row>
    <row r="1935" spans="1:7">
      <c r="A1935" s="226" t="s">
        <v>1244</v>
      </c>
      <c r="B1935" s="226" t="s">
        <v>1235</v>
      </c>
      <c r="C1935" s="226" t="s">
        <v>627</v>
      </c>
      <c r="D1935" s="226" t="s">
        <v>14</v>
      </c>
      <c r="E1935" s="226" t="s">
        <v>665</v>
      </c>
      <c r="F1935" s="226">
        <v>3.465440191709751E-2</v>
      </c>
      <c r="G1935" s="226">
        <v>0</v>
      </c>
    </row>
    <row r="1936" spans="1:7">
      <c r="A1936" s="226" t="s">
        <v>1244</v>
      </c>
      <c r="B1936" s="226" t="s">
        <v>1235</v>
      </c>
      <c r="C1936" s="226" t="s">
        <v>627</v>
      </c>
      <c r="D1936" s="226" t="s">
        <v>14</v>
      </c>
      <c r="E1936" s="226" t="s">
        <v>666</v>
      </c>
      <c r="F1936" s="226">
        <v>3.465440191709751E-2</v>
      </c>
      <c r="G1936" s="226">
        <v>0</v>
      </c>
    </row>
    <row r="1937" spans="1:7">
      <c r="A1937" s="226" t="s">
        <v>1244</v>
      </c>
      <c r="B1937" s="226" t="s">
        <v>1235</v>
      </c>
      <c r="C1937" s="226" t="s">
        <v>627</v>
      </c>
      <c r="D1937" s="226" t="s">
        <v>14</v>
      </c>
      <c r="E1937" s="226" t="s">
        <v>667</v>
      </c>
      <c r="F1937" s="226">
        <v>3.465440191709751E-2</v>
      </c>
      <c r="G1937" s="226">
        <v>0</v>
      </c>
    </row>
    <row r="1938" spans="1:7">
      <c r="A1938" s="226" t="s">
        <v>1244</v>
      </c>
      <c r="B1938" s="226" t="s">
        <v>1235</v>
      </c>
      <c r="C1938" s="226" t="s">
        <v>630</v>
      </c>
      <c r="D1938" s="226" t="s">
        <v>29</v>
      </c>
      <c r="E1938" s="226" t="s">
        <v>618</v>
      </c>
      <c r="F1938" s="226">
        <v>0</v>
      </c>
      <c r="G1938" s="226">
        <v>0</v>
      </c>
    </row>
    <row r="1939" spans="1:7">
      <c r="A1939" s="226" t="s">
        <v>1244</v>
      </c>
      <c r="B1939" s="226" t="s">
        <v>1235</v>
      </c>
      <c r="C1939" s="226" t="s">
        <v>630</v>
      </c>
      <c r="D1939" s="226" t="s">
        <v>29</v>
      </c>
      <c r="E1939" s="226" t="s">
        <v>619</v>
      </c>
      <c r="F1939" s="226">
        <v>7.2917256763444325E-3</v>
      </c>
      <c r="G1939" s="226">
        <v>0</v>
      </c>
    </row>
    <row r="1940" spans="1:7">
      <c r="A1940" s="226" t="s">
        <v>1244</v>
      </c>
      <c r="B1940" s="226" t="s">
        <v>1235</v>
      </c>
      <c r="C1940" s="226" t="s">
        <v>630</v>
      </c>
      <c r="D1940" s="226" t="s">
        <v>29</v>
      </c>
      <c r="E1940" s="226" t="s">
        <v>620</v>
      </c>
      <c r="F1940" s="226">
        <v>7.2917256763444325E-3</v>
      </c>
      <c r="G1940" s="226">
        <v>0</v>
      </c>
    </row>
    <row r="1941" spans="1:7">
      <c r="A1941" s="226" t="s">
        <v>1244</v>
      </c>
      <c r="B1941" s="226" t="s">
        <v>1235</v>
      </c>
      <c r="C1941" s="226" t="s">
        <v>630</v>
      </c>
      <c r="D1941" s="226" t="s">
        <v>29</v>
      </c>
      <c r="E1941" s="226" t="s">
        <v>660</v>
      </c>
      <c r="F1941" s="226">
        <v>7.2917256763444325E-3</v>
      </c>
      <c r="G1941" s="226">
        <v>0</v>
      </c>
    </row>
    <row r="1942" spans="1:7">
      <c r="A1942" s="226" t="s">
        <v>1244</v>
      </c>
      <c r="B1942" s="226" t="s">
        <v>1235</v>
      </c>
      <c r="C1942" s="226" t="s">
        <v>630</v>
      </c>
      <c r="D1942" s="226" t="s">
        <v>90</v>
      </c>
      <c r="E1942" s="226" t="s">
        <v>618</v>
      </c>
      <c r="F1942" s="226">
        <v>0</v>
      </c>
      <c r="G1942" s="226">
        <v>0</v>
      </c>
    </row>
    <row r="1943" spans="1:7">
      <c r="A1943" s="226" t="s">
        <v>1244</v>
      </c>
      <c r="B1943" s="226" t="s">
        <v>1235</v>
      </c>
      <c r="C1943" s="226" t="s">
        <v>630</v>
      </c>
      <c r="D1943" s="226" t="s">
        <v>90</v>
      </c>
      <c r="E1943" s="226" t="s">
        <v>619</v>
      </c>
      <c r="F1943" s="226">
        <v>6.5060107035093698E-2</v>
      </c>
      <c r="G1943" s="226">
        <v>0</v>
      </c>
    </row>
    <row r="1944" spans="1:7">
      <c r="A1944" s="226" t="s">
        <v>1244</v>
      </c>
      <c r="B1944" s="226" t="s">
        <v>1235</v>
      </c>
      <c r="C1944" s="226" t="s">
        <v>630</v>
      </c>
      <c r="D1944" s="226" t="s">
        <v>90</v>
      </c>
      <c r="E1944" s="226" t="s">
        <v>620</v>
      </c>
      <c r="F1944" s="226">
        <v>6.5060107035093698E-2</v>
      </c>
      <c r="G1944" s="226">
        <v>0</v>
      </c>
    </row>
    <row r="1945" spans="1:7">
      <c r="A1945" s="226" t="s">
        <v>1244</v>
      </c>
      <c r="B1945" s="226" t="s">
        <v>1235</v>
      </c>
      <c r="C1945" s="226" t="s">
        <v>630</v>
      </c>
      <c r="D1945" s="226" t="s">
        <v>90</v>
      </c>
      <c r="E1945" s="226" t="s">
        <v>660</v>
      </c>
      <c r="F1945" s="226">
        <v>6.5060107035093698E-2</v>
      </c>
      <c r="G1945" s="226">
        <v>0</v>
      </c>
    </row>
    <row r="1946" spans="1:7">
      <c r="A1946" s="226" t="s">
        <v>1244</v>
      </c>
      <c r="B1946" s="226" t="s">
        <v>1235</v>
      </c>
      <c r="C1946" s="226" t="s">
        <v>630</v>
      </c>
      <c r="D1946" s="226" t="s">
        <v>90</v>
      </c>
      <c r="E1946" s="226" t="s">
        <v>661</v>
      </c>
      <c r="F1946" s="226">
        <v>6.5060107035093698E-2</v>
      </c>
      <c r="G1946" s="226">
        <v>0</v>
      </c>
    </row>
    <row r="1947" spans="1:7">
      <c r="A1947" s="226" t="s">
        <v>1244</v>
      </c>
      <c r="B1947" s="226" t="s">
        <v>1235</v>
      </c>
      <c r="C1947" s="226" t="s">
        <v>630</v>
      </c>
      <c r="D1947" s="226" t="s">
        <v>90</v>
      </c>
      <c r="E1947" s="226" t="s">
        <v>662</v>
      </c>
      <c r="F1947" s="226">
        <v>6.5060107035093698E-2</v>
      </c>
      <c r="G1947" s="226">
        <v>0</v>
      </c>
    </row>
    <row r="1948" spans="1:7">
      <c r="A1948" s="226" t="s">
        <v>1244</v>
      </c>
      <c r="B1948" s="226" t="s">
        <v>1235</v>
      </c>
      <c r="C1948" s="226" t="s">
        <v>630</v>
      </c>
      <c r="D1948" s="226" t="s">
        <v>90</v>
      </c>
      <c r="E1948" s="226" t="s">
        <v>663</v>
      </c>
      <c r="F1948" s="226">
        <v>6.5060107035093698E-2</v>
      </c>
      <c r="G1948" s="226">
        <v>0</v>
      </c>
    </row>
    <row r="1949" spans="1:7">
      <c r="A1949" s="226" t="s">
        <v>1244</v>
      </c>
      <c r="B1949" s="226" t="s">
        <v>1235</v>
      </c>
      <c r="C1949" s="226" t="s">
        <v>630</v>
      </c>
      <c r="D1949" s="226" t="s">
        <v>90</v>
      </c>
      <c r="E1949" s="226" t="s">
        <v>664</v>
      </c>
      <c r="F1949" s="226">
        <v>6.5060107035093698E-2</v>
      </c>
      <c r="G1949" s="226">
        <v>0</v>
      </c>
    </row>
    <row r="1950" spans="1:7">
      <c r="A1950" s="226" t="s">
        <v>1244</v>
      </c>
      <c r="B1950" s="226" t="s">
        <v>1235</v>
      </c>
      <c r="C1950" s="226" t="s">
        <v>630</v>
      </c>
      <c r="D1950" s="226" t="s">
        <v>90</v>
      </c>
      <c r="E1950" s="226" t="s">
        <v>665</v>
      </c>
      <c r="F1950" s="226">
        <v>6.5060107035093698E-2</v>
      </c>
      <c r="G1950" s="226">
        <v>0</v>
      </c>
    </row>
    <row r="1951" spans="1:7">
      <c r="A1951" s="226" t="s">
        <v>1244</v>
      </c>
      <c r="B1951" s="226" t="s">
        <v>1235</v>
      </c>
      <c r="C1951" s="226" t="s">
        <v>630</v>
      </c>
      <c r="D1951" s="226" t="s">
        <v>90</v>
      </c>
      <c r="E1951" s="226" t="s">
        <v>666</v>
      </c>
      <c r="F1951" s="226">
        <v>6.5060107035093698E-2</v>
      </c>
      <c r="G1951" s="226">
        <v>0</v>
      </c>
    </row>
    <row r="1952" spans="1:7">
      <c r="A1952" s="226" t="s">
        <v>1244</v>
      </c>
      <c r="B1952" s="226" t="s">
        <v>1235</v>
      </c>
      <c r="C1952" s="226" t="s">
        <v>630</v>
      </c>
      <c r="D1952" s="226" t="s">
        <v>90</v>
      </c>
      <c r="E1952" s="226" t="s">
        <v>667</v>
      </c>
      <c r="F1952" s="226">
        <v>6.5060107035093698E-2</v>
      </c>
      <c r="G1952" s="226">
        <v>0</v>
      </c>
    </row>
    <row r="1953" spans="1:7">
      <c r="A1953" s="226" t="s">
        <v>1244</v>
      </c>
      <c r="B1953" s="226" t="s">
        <v>1235</v>
      </c>
      <c r="C1953" s="226" t="s">
        <v>630</v>
      </c>
      <c r="D1953" s="226" t="s">
        <v>29</v>
      </c>
      <c r="E1953" s="226" t="s">
        <v>661</v>
      </c>
      <c r="F1953" s="226">
        <v>7.2917256763444325E-3</v>
      </c>
      <c r="G1953" s="226">
        <v>0</v>
      </c>
    </row>
    <row r="1954" spans="1:7">
      <c r="A1954" s="226" t="s">
        <v>1244</v>
      </c>
      <c r="B1954" s="226" t="s">
        <v>1235</v>
      </c>
      <c r="C1954" s="226" t="s">
        <v>630</v>
      </c>
      <c r="D1954" s="226" t="s">
        <v>29</v>
      </c>
      <c r="E1954" s="226" t="s">
        <v>662</v>
      </c>
      <c r="F1954" s="226">
        <v>7.2917256763444325E-3</v>
      </c>
      <c r="G1954" s="226">
        <v>0</v>
      </c>
    </row>
    <row r="1955" spans="1:7">
      <c r="A1955" s="226" t="s">
        <v>1244</v>
      </c>
      <c r="B1955" s="226" t="s">
        <v>1235</v>
      </c>
      <c r="C1955" s="226" t="s">
        <v>630</v>
      </c>
      <c r="D1955" s="226" t="s">
        <v>29</v>
      </c>
      <c r="E1955" s="226" t="s">
        <v>663</v>
      </c>
      <c r="F1955" s="226">
        <v>7.2917256763444325E-3</v>
      </c>
      <c r="G1955" s="226">
        <v>0</v>
      </c>
    </row>
    <row r="1956" spans="1:7">
      <c r="A1956" s="226" t="s">
        <v>1244</v>
      </c>
      <c r="B1956" s="226" t="s">
        <v>1235</v>
      </c>
      <c r="C1956" s="226" t="s">
        <v>630</v>
      </c>
      <c r="D1956" s="226" t="s">
        <v>29</v>
      </c>
      <c r="E1956" s="226" t="s">
        <v>664</v>
      </c>
      <c r="F1956" s="226">
        <v>7.2917256763444325E-3</v>
      </c>
      <c r="G1956" s="226">
        <v>0</v>
      </c>
    </row>
    <row r="1957" spans="1:7">
      <c r="A1957" s="226" t="s">
        <v>1244</v>
      </c>
      <c r="B1957" s="226" t="s">
        <v>1235</v>
      </c>
      <c r="C1957" s="226" t="s">
        <v>630</v>
      </c>
      <c r="D1957" s="226" t="s">
        <v>29</v>
      </c>
      <c r="E1957" s="226" t="s">
        <v>665</v>
      </c>
      <c r="F1957" s="226">
        <v>7.2917256763444325E-3</v>
      </c>
      <c r="G1957" s="226">
        <v>0</v>
      </c>
    </row>
    <row r="1958" spans="1:7">
      <c r="A1958" s="226" t="s">
        <v>1244</v>
      </c>
      <c r="B1958" s="226" t="s">
        <v>1235</v>
      </c>
      <c r="C1958" s="226" t="s">
        <v>630</v>
      </c>
      <c r="D1958" s="226" t="s">
        <v>29</v>
      </c>
      <c r="E1958" s="226" t="s">
        <v>666</v>
      </c>
      <c r="F1958" s="226">
        <v>7.2917256763444325E-3</v>
      </c>
      <c r="G1958" s="226">
        <v>0</v>
      </c>
    </row>
    <row r="1959" spans="1:7">
      <c r="A1959" s="226" t="s">
        <v>1244</v>
      </c>
      <c r="B1959" s="226" t="s">
        <v>1235</v>
      </c>
      <c r="C1959" s="226" t="s">
        <v>630</v>
      </c>
      <c r="D1959" s="226" t="s">
        <v>29</v>
      </c>
      <c r="E1959" s="226" t="s">
        <v>667</v>
      </c>
      <c r="F1959" s="226">
        <v>7.2917256763444325E-3</v>
      </c>
      <c r="G1959" s="226">
        <v>0</v>
      </c>
    </row>
    <row r="1960" spans="1:7">
      <c r="A1960" s="226" t="s">
        <v>1244</v>
      </c>
      <c r="B1960" s="226" t="s">
        <v>1235</v>
      </c>
      <c r="C1960" s="226" t="s">
        <v>963</v>
      </c>
      <c r="D1960" s="226" t="s">
        <v>19</v>
      </c>
      <c r="E1960" s="226" t="s">
        <v>618</v>
      </c>
      <c r="F1960" s="226">
        <v>0</v>
      </c>
      <c r="G1960" s="226">
        <v>0</v>
      </c>
    </row>
    <row r="1961" spans="1:7">
      <c r="A1961" s="226" t="s">
        <v>1244</v>
      </c>
      <c r="B1961" s="226" t="s">
        <v>1235</v>
      </c>
      <c r="C1961" s="226" t="s">
        <v>963</v>
      </c>
      <c r="D1961" s="226" t="s">
        <v>19</v>
      </c>
      <c r="E1961" s="226" t="s">
        <v>619</v>
      </c>
      <c r="F1961" s="226">
        <v>1.5113603204853457E-2</v>
      </c>
      <c r="G1961" s="226">
        <v>0</v>
      </c>
    </row>
    <row r="1962" spans="1:7">
      <c r="A1962" s="226" t="s">
        <v>1244</v>
      </c>
      <c r="B1962" s="226" t="s">
        <v>1235</v>
      </c>
      <c r="C1962" s="226" t="s">
        <v>963</v>
      </c>
      <c r="D1962" s="226" t="s">
        <v>19</v>
      </c>
      <c r="E1962" s="226" t="s">
        <v>620</v>
      </c>
      <c r="F1962" s="226">
        <v>1.5113603204853457E-2</v>
      </c>
      <c r="G1962" s="226">
        <v>0</v>
      </c>
    </row>
    <row r="1963" spans="1:7">
      <c r="A1963" s="226" t="s">
        <v>1244</v>
      </c>
      <c r="B1963" s="226" t="s">
        <v>1235</v>
      </c>
      <c r="C1963" s="226" t="s">
        <v>963</v>
      </c>
      <c r="D1963" s="226" t="s">
        <v>19</v>
      </c>
      <c r="E1963" s="226" t="s">
        <v>660</v>
      </c>
      <c r="F1963" s="226">
        <v>1.5113603204853457E-2</v>
      </c>
      <c r="G1963" s="226">
        <v>0</v>
      </c>
    </row>
    <row r="1964" spans="1:7">
      <c r="A1964" s="226" t="s">
        <v>1244</v>
      </c>
      <c r="B1964" s="226" t="s">
        <v>1235</v>
      </c>
      <c r="C1964" s="226" t="s">
        <v>963</v>
      </c>
      <c r="D1964" s="226" t="s">
        <v>19</v>
      </c>
      <c r="E1964" s="226" t="s">
        <v>661</v>
      </c>
      <c r="F1964" s="226">
        <v>1.5113603204853457E-2</v>
      </c>
      <c r="G1964" s="226">
        <v>0</v>
      </c>
    </row>
    <row r="1965" spans="1:7">
      <c r="A1965" s="226" t="s">
        <v>1244</v>
      </c>
      <c r="B1965" s="226" t="s">
        <v>1235</v>
      </c>
      <c r="C1965" s="226" t="s">
        <v>963</v>
      </c>
      <c r="D1965" s="226" t="s">
        <v>19</v>
      </c>
      <c r="E1965" s="226" t="s">
        <v>662</v>
      </c>
      <c r="F1965" s="226">
        <v>1.5113603204853457E-2</v>
      </c>
      <c r="G1965" s="226">
        <v>0</v>
      </c>
    </row>
    <row r="1966" spans="1:7">
      <c r="A1966" s="226" t="s">
        <v>1244</v>
      </c>
      <c r="B1966" s="226" t="s">
        <v>1235</v>
      </c>
      <c r="C1966" s="226" t="s">
        <v>963</v>
      </c>
      <c r="D1966" s="226" t="s">
        <v>19</v>
      </c>
      <c r="E1966" s="226" t="s">
        <v>663</v>
      </c>
      <c r="F1966" s="226">
        <v>1.5113603204853457E-2</v>
      </c>
      <c r="G1966" s="226">
        <v>0</v>
      </c>
    </row>
    <row r="1967" spans="1:7">
      <c r="A1967" s="226" t="s">
        <v>1244</v>
      </c>
      <c r="B1967" s="226" t="s">
        <v>1235</v>
      </c>
      <c r="C1967" s="226" t="s">
        <v>963</v>
      </c>
      <c r="D1967" s="226" t="s">
        <v>19</v>
      </c>
      <c r="E1967" s="226" t="s">
        <v>664</v>
      </c>
      <c r="F1967" s="226">
        <v>1.5113603204853457E-2</v>
      </c>
      <c r="G1967" s="226">
        <v>0</v>
      </c>
    </row>
    <row r="1968" spans="1:7">
      <c r="A1968" s="226" t="s">
        <v>1244</v>
      </c>
      <c r="B1968" s="226" t="s">
        <v>1235</v>
      </c>
      <c r="C1968" s="226" t="s">
        <v>963</v>
      </c>
      <c r="D1968" s="226" t="s">
        <v>19</v>
      </c>
      <c r="E1968" s="226" t="s">
        <v>665</v>
      </c>
      <c r="F1968" s="226">
        <v>1.5113603204853457E-2</v>
      </c>
      <c r="G1968" s="226">
        <v>0</v>
      </c>
    </row>
    <row r="1969" spans="1:7">
      <c r="A1969" s="226" t="s">
        <v>1244</v>
      </c>
      <c r="B1969" s="226" t="s">
        <v>1235</v>
      </c>
      <c r="C1969" s="226" t="s">
        <v>963</v>
      </c>
      <c r="D1969" s="226" t="s">
        <v>19</v>
      </c>
      <c r="E1969" s="226" t="s">
        <v>666</v>
      </c>
      <c r="F1969" s="226">
        <v>1.5113603204853457E-2</v>
      </c>
      <c r="G1969" s="226">
        <v>0</v>
      </c>
    </row>
    <row r="1970" spans="1:7">
      <c r="A1970" s="226" t="s">
        <v>1244</v>
      </c>
      <c r="B1970" s="226" t="s">
        <v>1235</v>
      </c>
      <c r="C1970" s="226" t="s">
        <v>963</v>
      </c>
      <c r="D1970" s="226" t="s">
        <v>19</v>
      </c>
      <c r="E1970" s="226" t="s">
        <v>667</v>
      </c>
      <c r="F1970" s="226">
        <v>1.5113603204853457E-2</v>
      </c>
      <c r="G1970" s="226">
        <v>0</v>
      </c>
    </row>
    <row r="1971" spans="1:7">
      <c r="A1971" s="226" t="s">
        <v>1244</v>
      </c>
      <c r="B1971" s="226" t="s">
        <v>1235</v>
      </c>
      <c r="C1971" s="226" t="s">
        <v>626</v>
      </c>
      <c r="D1971" s="226" t="s">
        <v>18</v>
      </c>
      <c r="E1971" s="226" t="s">
        <v>618</v>
      </c>
      <c r="F1971" s="226">
        <v>0</v>
      </c>
      <c r="G1971" s="226">
        <v>0</v>
      </c>
    </row>
    <row r="1972" spans="1:7">
      <c r="A1972" s="226" t="s">
        <v>1244</v>
      </c>
      <c r="B1972" s="226" t="s">
        <v>1235</v>
      </c>
      <c r="C1972" s="226" t="s">
        <v>626</v>
      </c>
      <c r="D1972" s="226" t="s">
        <v>18</v>
      </c>
      <c r="E1972" s="226" t="s">
        <v>619</v>
      </c>
      <c r="F1972" s="226">
        <v>1.6246589017947143E-2</v>
      </c>
      <c r="G1972" s="226">
        <v>0</v>
      </c>
    </row>
    <row r="1973" spans="1:7">
      <c r="A1973" s="226" t="s">
        <v>1244</v>
      </c>
      <c r="B1973" s="226" t="s">
        <v>1235</v>
      </c>
      <c r="C1973" s="226" t="s">
        <v>626</v>
      </c>
      <c r="D1973" s="226" t="s">
        <v>18</v>
      </c>
      <c r="E1973" s="226" t="s">
        <v>620</v>
      </c>
      <c r="F1973" s="226">
        <v>1.6246589017947143E-2</v>
      </c>
      <c r="G1973" s="226">
        <v>0</v>
      </c>
    </row>
    <row r="1974" spans="1:7">
      <c r="A1974" s="226" t="s">
        <v>1244</v>
      </c>
      <c r="B1974" s="226" t="s">
        <v>1235</v>
      </c>
      <c r="C1974" s="226" t="s">
        <v>626</v>
      </c>
      <c r="D1974" s="226" t="s">
        <v>18</v>
      </c>
      <c r="E1974" s="226" t="s">
        <v>660</v>
      </c>
      <c r="F1974" s="226">
        <v>1.6246589017947143E-2</v>
      </c>
      <c r="G1974" s="226">
        <v>0</v>
      </c>
    </row>
    <row r="1975" spans="1:7">
      <c r="A1975" s="226" t="s">
        <v>1244</v>
      </c>
      <c r="B1975" s="226" t="s">
        <v>1235</v>
      </c>
      <c r="C1975" s="226" t="s">
        <v>626</v>
      </c>
      <c r="D1975" s="226" t="s">
        <v>18</v>
      </c>
      <c r="E1975" s="226" t="s">
        <v>661</v>
      </c>
      <c r="F1975" s="226">
        <v>1.6246589017947143E-2</v>
      </c>
      <c r="G1975" s="226">
        <v>0</v>
      </c>
    </row>
    <row r="1976" spans="1:7">
      <c r="A1976" s="226" t="s">
        <v>1244</v>
      </c>
      <c r="B1976" s="226" t="s">
        <v>1235</v>
      </c>
      <c r="C1976" s="226" t="s">
        <v>626</v>
      </c>
      <c r="D1976" s="226" t="s">
        <v>18</v>
      </c>
      <c r="E1976" s="226" t="s">
        <v>662</v>
      </c>
      <c r="F1976" s="226">
        <v>1.6246589017947143E-2</v>
      </c>
      <c r="G1976" s="226">
        <v>0</v>
      </c>
    </row>
    <row r="1977" spans="1:7">
      <c r="A1977" s="226" t="s">
        <v>1244</v>
      </c>
      <c r="B1977" s="226" t="s">
        <v>1235</v>
      </c>
      <c r="C1977" s="226" t="s">
        <v>626</v>
      </c>
      <c r="D1977" s="226" t="s">
        <v>18</v>
      </c>
      <c r="E1977" s="226" t="s">
        <v>663</v>
      </c>
      <c r="F1977" s="226">
        <v>1.6246589017947143E-2</v>
      </c>
      <c r="G1977" s="226">
        <v>0</v>
      </c>
    </row>
    <row r="1978" spans="1:7">
      <c r="A1978" s="226" t="s">
        <v>1244</v>
      </c>
      <c r="B1978" s="226" t="s">
        <v>1235</v>
      </c>
      <c r="C1978" s="226" t="s">
        <v>626</v>
      </c>
      <c r="D1978" s="226" t="s">
        <v>18</v>
      </c>
      <c r="E1978" s="226" t="s">
        <v>664</v>
      </c>
      <c r="F1978" s="226">
        <v>1.6246589017947143E-2</v>
      </c>
      <c r="G1978" s="226">
        <v>0</v>
      </c>
    </row>
    <row r="1979" spans="1:7">
      <c r="A1979" s="226" t="s">
        <v>1244</v>
      </c>
      <c r="B1979" s="226" t="s">
        <v>1235</v>
      </c>
      <c r="C1979" s="226" t="s">
        <v>626</v>
      </c>
      <c r="D1979" s="226" t="s">
        <v>18</v>
      </c>
      <c r="E1979" s="226" t="s">
        <v>665</v>
      </c>
      <c r="F1979" s="226">
        <v>1.6246589017947143E-2</v>
      </c>
      <c r="G1979" s="226">
        <v>0</v>
      </c>
    </row>
    <row r="1980" spans="1:7">
      <c r="A1980" s="226" t="s">
        <v>1244</v>
      </c>
      <c r="B1980" s="226" t="s">
        <v>1235</v>
      </c>
      <c r="C1980" s="226" t="s">
        <v>626</v>
      </c>
      <c r="D1980" s="226" t="s">
        <v>18</v>
      </c>
      <c r="E1980" s="226" t="s">
        <v>666</v>
      </c>
      <c r="F1980" s="226">
        <v>1.6246589017947143E-2</v>
      </c>
      <c r="G1980" s="226">
        <v>0</v>
      </c>
    </row>
    <row r="1981" spans="1:7">
      <c r="A1981" s="226" t="s">
        <v>1244</v>
      </c>
      <c r="B1981" s="226" t="s">
        <v>1235</v>
      </c>
      <c r="C1981" s="226" t="s">
        <v>626</v>
      </c>
      <c r="D1981" s="226" t="s">
        <v>18</v>
      </c>
      <c r="E1981" s="226" t="s">
        <v>667</v>
      </c>
      <c r="F1981" s="226">
        <v>1.6246589017947143E-2</v>
      </c>
      <c r="G1981" s="226">
        <v>0</v>
      </c>
    </row>
    <row r="1982" spans="1:7">
      <c r="A1982" s="226" t="s">
        <v>1244</v>
      </c>
      <c r="B1982" s="226" t="s">
        <v>1235</v>
      </c>
      <c r="C1982" s="226" t="s">
        <v>626</v>
      </c>
      <c r="D1982" s="226" t="s">
        <v>91</v>
      </c>
      <c r="E1982" s="226" t="s">
        <v>618</v>
      </c>
      <c r="F1982" s="226">
        <v>0</v>
      </c>
      <c r="G1982" s="226">
        <v>0</v>
      </c>
    </row>
    <row r="1983" spans="1:7">
      <c r="A1983" s="226" t="s">
        <v>1244</v>
      </c>
      <c r="B1983" s="226" t="s">
        <v>1235</v>
      </c>
      <c r="C1983" s="226" t="s">
        <v>626</v>
      </c>
      <c r="D1983" s="226" t="s">
        <v>91</v>
      </c>
      <c r="E1983" s="226" t="s">
        <v>619</v>
      </c>
      <c r="F1983" s="226">
        <v>1.068854540654417E-5</v>
      </c>
      <c r="G1983" s="226">
        <v>0</v>
      </c>
    </row>
    <row r="1984" spans="1:7">
      <c r="A1984" s="226" t="s">
        <v>1244</v>
      </c>
      <c r="B1984" s="226" t="s">
        <v>1235</v>
      </c>
      <c r="C1984" s="226" t="s">
        <v>626</v>
      </c>
      <c r="D1984" s="226" t="s">
        <v>91</v>
      </c>
      <c r="E1984" s="226" t="s">
        <v>620</v>
      </c>
      <c r="F1984" s="226">
        <v>1.068854540654417E-5</v>
      </c>
      <c r="G1984" s="226">
        <v>0</v>
      </c>
    </row>
    <row r="1985" spans="1:7">
      <c r="A1985" s="226" t="s">
        <v>1244</v>
      </c>
      <c r="B1985" s="226" t="s">
        <v>1235</v>
      </c>
      <c r="C1985" s="226" t="s">
        <v>626</v>
      </c>
      <c r="D1985" s="226" t="s">
        <v>91</v>
      </c>
      <c r="E1985" s="226" t="s">
        <v>660</v>
      </c>
      <c r="F1985" s="226">
        <v>1.068854540654417E-5</v>
      </c>
      <c r="G1985" s="226">
        <v>0</v>
      </c>
    </row>
    <row r="1986" spans="1:7">
      <c r="A1986" s="226" t="s">
        <v>1244</v>
      </c>
      <c r="B1986" s="226" t="s">
        <v>1235</v>
      </c>
      <c r="C1986" s="226" t="s">
        <v>626</v>
      </c>
      <c r="D1986" s="226" t="s">
        <v>91</v>
      </c>
      <c r="E1986" s="226" t="s">
        <v>661</v>
      </c>
      <c r="F1986" s="226">
        <v>1.068854540654417E-5</v>
      </c>
      <c r="G1986" s="226">
        <v>0</v>
      </c>
    </row>
    <row r="1987" spans="1:7">
      <c r="A1987" s="226" t="s">
        <v>1244</v>
      </c>
      <c r="B1987" s="226" t="s">
        <v>1235</v>
      </c>
      <c r="C1987" s="226" t="s">
        <v>626</v>
      </c>
      <c r="D1987" s="226" t="s">
        <v>91</v>
      </c>
      <c r="E1987" s="226" t="s">
        <v>662</v>
      </c>
      <c r="F1987" s="226">
        <v>1.068854540654417E-5</v>
      </c>
      <c r="G1987" s="226">
        <v>0</v>
      </c>
    </row>
    <row r="1988" spans="1:7">
      <c r="A1988" s="226" t="s">
        <v>1244</v>
      </c>
      <c r="B1988" s="226" t="s">
        <v>1235</v>
      </c>
      <c r="C1988" s="226" t="s">
        <v>626</v>
      </c>
      <c r="D1988" s="226" t="s">
        <v>91</v>
      </c>
      <c r="E1988" s="226" t="s">
        <v>663</v>
      </c>
      <c r="F1988" s="226">
        <v>1.068854540654417E-5</v>
      </c>
      <c r="G1988" s="226">
        <v>0</v>
      </c>
    </row>
    <row r="1989" spans="1:7">
      <c r="A1989" s="226" t="s">
        <v>1244</v>
      </c>
      <c r="B1989" s="226" t="s">
        <v>1235</v>
      </c>
      <c r="C1989" s="226" t="s">
        <v>626</v>
      </c>
      <c r="D1989" s="226" t="s">
        <v>91</v>
      </c>
      <c r="E1989" s="226" t="s">
        <v>664</v>
      </c>
      <c r="F1989" s="226">
        <v>1.068854540654417E-5</v>
      </c>
      <c r="G1989" s="226">
        <v>0</v>
      </c>
    </row>
    <row r="1990" spans="1:7">
      <c r="A1990" s="226" t="s">
        <v>1244</v>
      </c>
      <c r="B1990" s="226" t="s">
        <v>1235</v>
      </c>
      <c r="C1990" s="226" t="s">
        <v>626</v>
      </c>
      <c r="D1990" s="226" t="s">
        <v>91</v>
      </c>
      <c r="E1990" s="226" t="s">
        <v>665</v>
      </c>
      <c r="F1990" s="226">
        <v>1.068854540654417E-5</v>
      </c>
      <c r="G1990" s="226">
        <v>0</v>
      </c>
    </row>
    <row r="1991" spans="1:7">
      <c r="A1991" s="226" t="s">
        <v>1244</v>
      </c>
      <c r="B1991" s="226" t="s">
        <v>1235</v>
      </c>
      <c r="C1991" s="226" t="s">
        <v>626</v>
      </c>
      <c r="D1991" s="226" t="s">
        <v>91</v>
      </c>
      <c r="E1991" s="226" t="s">
        <v>666</v>
      </c>
      <c r="F1991" s="226">
        <v>1.068854540654417E-5</v>
      </c>
      <c r="G1991" s="226">
        <v>0</v>
      </c>
    </row>
    <row r="1992" spans="1:7">
      <c r="A1992" s="226" t="s">
        <v>1244</v>
      </c>
      <c r="B1992" s="226" t="s">
        <v>1235</v>
      </c>
      <c r="C1992" s="226" t="s">
        <v>626</v>
      </c>
      <c r="D1992" s="226" t="s">
        <v>91</v>
      </c>
      <c r="E1992" s="226" t="s">
        <v>667</v>
      </c>
      <c r="F1992" s="226">
        <v>1.068854540654417E-5</v>
      </c>
      <c r="G1992" s="226">
        <v>0</v>
      </c>
    </row>
    <row r="1993" spans="1:7">
      <c r="A1993" s="226" t="s">
        <v>1244</v>
      </c>
      <c r="B1993" s="226" t="s">
        <v>1235</v>
      </c>
      <c r="C1993" s="226" t="s">
        <v>626</v>
      </c>
      <c r="D1993" s="226" t="s">
        <v>8</v>
      </c>
      <c r="E1993" s="226" t="s">
        <v>618</v>
      </c>
      <c r="F1993" s="226">
        <v>9.9899999999999954E-3</v>
      </c>
      <c r="G1993" s="226">
        <v>9.9899999999999954E-3</v>
      </c>
    </row>
    <row r="1994" spans="1:7">
      <c r="A1994" s="226" t="s">
        <v>1244</v>
      </c>
      <c r="B1994" s="226" t="s">
        <v>1235</v>
      </c>
      <c r="C1994" s="226" t="s">
        <v>626</v>
      </c>
      <c r="D1994" s="226" t="s">
        <v>8</v>
      </c>
      <c r="E1994" s="226" t="s">
        <v>619</v>
      </c>
      <c r="F1994" s="226">
        <v>1.473950411562441E-2</v>
      </c>
      <c r="G1994" s="226">
        <v>0</v>
      </c>
    </row>
    <row r="1995" spans="1:7">
      <c r="A1995" s="226" t="s">
        <v>1244</v>
      </c>
      <c r="B1995" s="226" t="s">
        <v>1235</v>
      </c>
      <c r="C1995" s="226" t="s">
        <v>626</v>
      </c>
      <c r="D1995" s="226" t="s">
        <v>8</v>
      </c>
      <c r="E1995" s="226" t="s">
        <v>620</v>
      </c>
      <c r="F1995" s="226">
        <v>1.473950411562441E-2</v>
      </c>
      <c r="G1995" s="226">
        <v>0</v>
      </c>
    </row>
    <row r="1996" spans="1:7">
      <c r="A1996" s="226" t="s">
        <v>1244</v>
      </c>
      <c r="B1996" s="226" t="s">
        <v>1235</v>
      </c>
      <c r="C1996" s="226" t="s">
        <v>626</v>
      </c>
      <c r="D1996" s="226" t="s">
        <v>8</v>
      </c>
      <c r="E1996" s="226" t="s">
        <v>660</v>
      </c>
      <c r="F1996" s="226">
        <v>1.473950411562441E-2</v>
      </c>
      <c r="G1996" s="226">
        <v>0</v>
      </c>
    </row>
    <row r="1997" spans="1:7">
      <c r="A1997" s="226" t="s">
        <v>1244</v>
      </c>
      <c r="B1997" s="226" t="s">
        <v>1235</v>
      </c>
      <c r="C1997" s="226" t="s">
        <v>626</v>
      </c>
      <c r="D1997" s="226" t="s">
        <v>8</v>
      </c>
      <c r="E1997" s="226" t="s">
        <v>661</v>
      </c>
      <c r="F1997" s="226">
        <v>1.473950411562441E-2</v>
      </c>
      <c r="G1997" s="226">
        <v>0</v>
      </c>
    </row>
    <row r="1998" spans="1:7">
      <c r="A1998" s="226" t="s">
        <v>1244</v>
      </c>
      <c r="B1998" s="226" t="s">
        <v>1235</v>
      </c>
      <c r="C1998" s="226" t="s">
        <v>626</v>
      </c>
      <c r="D1998" s="226" t="s">
        <v>8</v>
      </c>
      <c r="E1998" s="226" t="s">
        <v>662</v>
      </c>
      <c r="F1998" s="226">
        <v>1.473950411562441E-2</v>
      </c>
      <c r="G1998" s="226">
        <v>0</v>
      </c>
    </row>
    <row r="1999" spans="1:7">
      <c r="A1999" s="226" t="s">
        <v>1244</v>
      </c>
      <c r="B1999" s="226" t="s">
        <v>1235</v>
      </c>
      <c r="C1999" s="226" t="s">
        <v>626</v>
      </c>
      <c r="D1999" s="226" t="s">
        <v>8</v>
      </c>
      <c r="E1999" s="226" t="s">
        <v>663</v>
      </c>
      <c r="F1999" s="226">
        <v>1.473950411562441E-2</v>
      </c>
      <c r="G1999" s="226">
        <v>0</v>
      </c>
    </row>
    <row r="2000" spans="1:7">
      <c r="A2000" s="226" t="s">
        <v>1244</v>
      </c>
      <c r="B2000" s="226" t="s">
        <v>1235</v>
      </c>
      <c r="C2000" s="226" t="s">
        <v>626</v>
      </c>
      <c r="D2000" s="226" t="s">
        <v>8</v>
      </c>
      <c r="E2000" s="226" t="s">
        <v>664</v>
      </c>
      <c r="F2000" s="226">
        <v>1.473950411562441E-2</v>
      </c>
      <c r="G2000" s="226">
        <v>0</v>
      </c>
    </row>
    <row r="2001" spans="1:7">
      <c r="A2001" s="226" t="s">
        <v>1244</v>
      </c>
      <c r="B2001" s="226" t="s">
        <v>1235</v>
      </c>
      <c r="C2001" s="226" t="s">
        <v>626</v>
      </c>
      <c r="D2001" s="226" t="s">
        <v>8</v>
      </c>
      <c r="E2001" s="226" t="s">
        <v>665</v>
      </c>
      <c r="F2001" s="226">
        <v>1.473950411562441E-2</v>
      </c>
      <c r="G2001" s="226">
        <v>0</v>
      </c>
    </row>
    <row r="2002" spans="1:7">
      <c r="A2002" s="226" t="s">
        <v>1244</v>
      </c>
      <c r="B2002" s="226" t="s">
        <v>1235</v>
      </c>
      <c r="C2002" s="226" t="s">
        <v>626</v>
      </c>
      <c r="D2002" s="226" t="s">
        <v>8</v>
      </c>
      <c r="E2002" s="226" t="s">
        <v>666</v>
      </c>
      <c r="F2002" s="226">
        <v>1.473950411562441E-2</v>
      </c>
      <c r="G2002" s="226">
        <v>0</v>
      </c>
    </row>
    <row r="2003" spans="1:7">
      <c r="A2003" s="226" t="s">
        <v>1244</v>
      </c>
      <c r="B2003" s="226" t="s">
        <v>1235</v>
      </c>
      <c r="C2003" s="226" t="s">
        <v>626</v>
      </c>
      <c r="D2003" s="226" t="s">
        <v>8</v>
      </c>
      <c r="E2003" s="226" t="s">
        <v>667</v>
      </c>
      <c r="F2003" s="226">
        <v>1.473950411562441E-2</v>
      </c>
      <c r="G2003" s="226">
        <v>0</v>
      </c>
    </row>
    <row r="2004" spans="1:7">
      <c r="A2004" s="226" t="s">
        <v>1244</v>
      </c>
      <c r="B2004" s="226" t="s">
        <v>1235</v>
      </c>
      <c r="C2004" s="226" t="s">
        <v>625</v>
      </c>
      <c r="D2004" s="226" t="s">
        <v>5</v>
      </c>
      <c r="E2004" s="226" t="s">
        <v>618</v>
      </c>
      <c r="F2004" s="226">
        <v>0</v>
      </c>
      <c r="G2004" s="226">
        <v>0</v>
      </c>
    </row>
    <row r="2005" spans="1:7">
      <c r="A2005" s="226" t="s">
        <v>1244</v>
      </c>
      <c r="B2005" s="226" t="s">
        <v>1235</v>
      </c>
      <c r="C2005" s="226" t="s">
        <v>625</v>
      </c>
      <c r="D2005" s="226" t="s">
        <v>5</v>
      </c>
      <c r="E2005" s="226" t="s">
        <v>619</v>
      </c>
      <c r="F2005" s="226">
        <v>1.571216174761993E-2</v>
      </c>
      <c r="G2005" s="226">
        <v>0</v>
      </c>
    </row>
    <row r="2006" spans="1:7">
      <c r="A2006" s="226" t="s">
        <v>1244</v>
      </c>
      <c r="B2006" s="226" t="s">
        <v>1235</v>
      </c>
      <c r="C2006" s="226" t="s">
        <v>625</v>
      </c>
      <c r="D2006" s="226" t="s">
        <v>5</v>
      </c>
      <c r="E2006" s="226" t="s">
        <v>620</v>
      </c>
      <c r="F2006" s="226">
        <v>1.571216174761993E-2</v>
      </c>
      <c r="G2006" s="226">
        <v>0</v>
      </c>
    </row>
    <row r="2007" spans="1:7">
      <c r="A2007" s="226" t="s">
        <v>1244</v>
      </c>
      <c r="B2007" s="226" t="s">
        <v>1235</v>
      </c>
      <c r="C2007" s="226" t="s">
        <v>625</v>
      </c>
      <c r="D2007" s="226" t="s">
        <v>5</v>
      </c>
      <c r="E2007" s="226" t="s">
        <v>660</v>
      </c>
      <c r="F2007" s="226">
        <v>1.571216174761993E-2</v>
      </c>
      <c r="G2007" s="226">
        <v>0</v>
      </c>
    </row>
    <row r="2008" spans="1:7">
      <c r="A2008" s="226" t="s">
        <v>1244</v>
      </c>
      <c r="B2008" s="226" t="s">
        <v>1235</v>
      </c>
      <c r="C2008" s="226" t="s">
        <v>625</v>
      </c>
      <c r="D2008" s="226" t="s">
        <v>5</v>
      </c>
      <c r="E2008" s="226" t="s">
        <v>661</v>
      </c>
      <c r="F2008" s="226">
        <v>1.571216174761993E-2</v>
      </c>
      <c r="G2008" s="226">
        <v>0</v>
      </c>
    </row>
    <row r="2009" spans="1:7">
      <c r="A2009" s="226" t="s">
        <v>1244</v>
      </c>
      <c r="B2009" s="226" t="s">
        <v>1235</v>
      </c>
      <c r="C2009" s="226" t="s">
        <v>625</v>
      </c>
      <c r="D2009" s="226" t="s">
        <v>5</v>
      </c>
      <c r="E2009" s="226" t="s">
        <v>662</v>
      </c>
      <c r="F2009" s="226">
        <v>1.571216174761993E-2</v>
      </c>
      <c r="G2009" s="226">
        <v>0</v>
      </c>
    </row>
    <row r="2010" spans="1:7">
      <c r="A2010" s="226" t="s">
        <v>1244</v>
      </c>
      <c r="B2010" s="226" t="s">
        <v>1235</v>
      </c>
      <c r="C2010" s="226" t="s">
        <v>625</v>
      </c>
      <c r="D2010" s="226" t="s">
        <v>5</v>
      </c>
      <c r="E2010" s="226" t="s">
        <v>663</v>
      </c>
      <c r="F2010" s="226">
        <v>1.571216174761993E-2</v>
      </c>
      <c r="G2010" s="226">
        <v>0</v>
      </c>
    </row>
    <row r="2011" spans="1:7">
      <c r="A2011" s="226" t="s">
        <v>1244</v>
      </c>
      <c r="B2011" s="226" t="s">
        <v>1235</v>
      </c>
      <c r="C2011" s="226" t="s">
        <v>625</v>
      </c>
      <c r="D2011" s="226" t="s">
        <v>5</v>
      </c>
      <c r="E2011" s="226" t="s">
        <v>664</v>
      </c>
      <c r="F2011" s="226">
        <v>1.571216174761993E-2</v>
      </c>
      <c r="G2011" s="226">
        <v>0</v>
      </c>
    </row>
    <row r="2012" spans="1:7">
      <c r="A2012" s="226" t="s">
        <v>1244</v>
      </c>
      <c r="B2012" s="226" t="s">
        <v>1235</v>
      </c>
      <c r="C2012" s="226" t="s">
        <v>625</v>
      </c>
      <c r="D2012" s="226" t="s">
        <v>5</v>
      </c>
      <c r="E2012" s="226" t="s">
        <v>665</v>
      </c>
      <c r="F2012" s="226">
        <v>1.571216174761993E-2</v>
      </c>
      <c r="G2012" s="226">
        <v>0</v>
      </c>
    </row>
    <row r="2013" spans="1:7">
      <c r="A2013" s="226" t="s">
        <v>1244</v>
      </c>
      <c r="B2013" s="226" t="s">
        <v>1235</v>
      </c>
      <c r="C2013" s="226" t="s">
        <v>625</v>
      </c>
      <c r="D2013" s="226" t="s">
        <v>5</v>
      </c>
      <c r="E2013" s="226" t="s">
        <v>666</v>
      </c>
      <c r="F2013" s="226">
        <v>1.571216174761993E-2</v>
      </c>
      <c r="G2013" s="226">
        <v>0</v>
      </c>
    </row>
    <row r="2014" spans="1:7">
      <c r="A2014" s="226" t="s">
        <v>1244</v>
      </c>
      <c r="B2014" s="226" t="s">
        <v>1235</v>
      </c>
      <c r="C2014" s="226" t="s">
        <v>625</v>
      </c>
      <c r="D2014" s="226" t="s">
        <v>5</v>
      </c>
      <c r="E2014" s="226" t="s">
        <v>667</v>
      </c>
      <c r="F2014" s="226">
        <v>1.571216174761993E-2</v>
      </c>
      <c r="G2014" s="226">
        <v>0</v>
      </c>
    </row>
    <row r="2015" spans="1:7">
      <c r="A2015" s="226" t="s">
        <v>1244</v>
      </c>
      <c r="B2015" s="226" t="s">
        <v>1235</v>
      </c>
      <c r="C2015" s="226" t="s">
        <v>625</v>
      </c>
      <c r="D2015" s="226" t="s">
        <v>88</v>
      </c>
      <c r="E2015" s="226" t="s">
        <v>618</v>
      </c>
      <c r="F2015" s="226">
        <v>2.4600000000000021E-2</v>
      </c>
      <c r="G2015" s="226">
        <v>2.4600000000000021E-2</v>
      </c>
    </row>
    <row r="2016" spans="1:7">
      <c r="A2016" s="226" t="s">
        <v>1244</v>
      </c>
      <c r="B2016" s="226" t="s">
        <v>1235</v>
      </c>
      <c r="C2016" s="226" t="s">
        <v>625</v>
      </c>
      <c r="D2016" s="226" t="s">
        <v>88</v>
      </c>
      <c r="E2016" s="226" t="s">
        <v>619</v>
      </c>
      <c r="F2016" s="226">
        <v>0.19485432047038151</v>
      </c>
      <c r="G2016" s="226">
        <v>0</v>
      </c>
    </row>
    <row r="2017" spans="1:7">
      <c r="A2017" s="226" t="s">
        <v>1244</v>
      </c>
      <c r="B2017" s="226" t="s">
        <v>1235</v>
      </c>
      <c r="C2017" s="226" t="s">
        <v>625</v>
      </c>
      <c r="D2017" s="226" t="s">
        <v>88</v>
      </c>
      <c r="E2017" s="226" t="s">
        <v>620</v>
      </c>
      <c r="F2017" s="226">
        <v>0.19485432047038151</v>
      </c>
      <c r="G2017" s="226">
        <v>0</v>
      </c>
    </row>
    <row r="2018" spans="1:7">
      <c r="A2018" s="226" t="s">
        <v>1244</v>
      </c>
      <c r="B2018" s="226" t="s">
        <v>1235</v>
      </c>
      <c r="C2018" s="226" t="s">
        <v>625</v>
      </c>
      <c r="D2018" s="226" t="s">
        <v>88</v>
      </c>
      <c r="E2018" s="226" t="s">
        <v>660</v>
      </c>
      <c r="F2018" s="226">
        <v>0.19485432047038151</v>
      </c>
      <c r="G2018" s="226">
        <v>0</v>
      </c>
    </row>
    <row r="2019" spans="1:7">
      <c r="A2019" s="226" t="s">
        <v>1244</v>
      </c>
      <c r="B2019" s="226" t="s">
        <v>1235</v>
      </c>
      <c r="C2019" s="226" t="s">
        <v>625</v>
      </c>
      <c r="D2019" s="226" t="s">
        <v>88</v>
      </c>
      <c r="E2019" s="226" t="s">
        <v>661</v>
      </c>
      <c r="F2019" s="226">
        <v>0.19485432047038151</v>
      </c>
      <c r="G2019" s="226">
        <v>0</v>
      </c>
    </row>
    <row r="2020" spans="1:7">
      <c r="A2020" s="226" t="s">
        <v>1244</v>
      </c>
      <c r="B2020" s="226" t="s">
        <v>1235</v>
      </c>
      <c r="C2020" s="226" t="s">
        <v>625</v>
      </c>
      <c r="D2020" s="226" t="s">
        <v>88</v>
      </c>
      <c r="E2020" s="226" t="s">
        <v>662</v>
      </c>
      <c r="F2020" s="226">
        <v>0.19485432047038151</v>
      </c>
      <c r="G2020" s="226">
        <v>0</v>
      </c>
    </row>
    <row r="2021" spans="1:7">
      <c r="A2021" s="226" t="s">
        <v>1244</v>
      </c>
      <c r="B2021" s="226" t="s">
        <v>1235</v>
      </c>
      <c r="C2021" s="226" t="s">
        <v>625</v>
      </c>
      <c r="D2021" s="226" t="s">
        <v>88</v>
      </c>
      <c r="E2021" s="226" t="s">
        <v>663</v>
      </c>
      <c r="F2021" s="226">
        <v>0.19485432047038151</v>
      </c>
      <c r="G2021" s="226">
        <v>0</v>
      </c>
    </row>
    <row r="2022" spans="1:7">
      <c r="A2022" s="226" t="s">
        <v>1244</v>
      </c>
      <c r="B2022" s="226" t="s">
        <v>1235</v>
      </c>
      <c r="C2022" s="226" t="s">
        <v>625</v>
      </c>
      <c r="D2022" s="226" t="s">
        <v>88</v>
      </c>
      <c r="E2022" s="226" t="s">
        <v>664</v>
      </c>
      <c r="F2022" s="226">
        <v>0.19485432047038151</v>
      </c>
      <c r="G2022" s="226">
        <v>0</v>
      </c>
    </row>
    <row r="2023" spans="1:7">
      <c r="A2023" s="226" t="s">
        <v>1244</v>
      </c>
      <c r="B2023" s="226" t="s">
        <v>1235</v>
      </c>
      <c r="C2023" s="226" t="s">
        <v>625</v>
      </c>
      <c r="D2023" s="226" t="s">
        <v>88</v>
      </c>
      <c r="E2023" s="226" t="s">
        <v>665</v>
      </c>
      <c r="F2023" s="226">
        <v>0.19485432047038151</v>
      </c>
      <c r="G2023" s="226">
        <v>0</v>
      </c>
    </row>
    <row r="2024" spans="1:7">
      <c r="A2024" s="226" t="s">
        <v>1244</v>
      </c>
      <c r="B2024" s="226" t="s">
        <v>1235</v>
      </c>
      <c r="C2024" s="226" t="s">
        <v>625</v>
      </c>
      <c r="D2024" s="226" t="s">
        <v>88</v>
      </c>
      <c r="E2024" s="226" t="s">
        <v>666</v>
      </c>
      <c r="F2024" s="226">
        <v>0.19485432047038151</v>
      </c>
      <c r="G2024" s="226">
        <v>0</v>
      </c>
    </row>
    <row r="2025" spans="1:7">
      <c r="A2025" s="226" t="s">
        <v>1244</v>
      </c>
      <c r="B2025" s="226" t="s">
        <v>1235</v>
      </c>
      <c r="C2025" s="226" t="s">
        <v>625</v>
      </c>
      <c r="D2025" s="226" t="s">
        <v>88</v>
      </c>
      <c r="E2025" s="226" t="s">
        <v>667</v>
      </c>
      <c r="F2025" s="226">
        <v>0.19485432047038151</v>
      </c>
      <c r="G2025" s="226">
        <v>0</v>
      </c>
    </row>
    <row r="2026" spans="1:7">
      <c r="A2026" s="226" t="s">
        <v>1244</v>
      </c>
      <c r="B2026" s="226" t="s">
        <v>1235</v>
      </c>
      <c r="C2026" s="226" t="s">
        <v>625</v>
      </c>
      <c r="D2026" s="226" t="s">
        <v>89</v>
      </c>
      <c r="E2026" s="226" t="s">
        <v>618</v>
      </c>
      <c r="F2026" s="226">
        <v>5.4999999999999997E-3</v>
      </c>
      <c r="G2026" s="226">
        <v>5.4999999999999997E-3</v>
      </c>
    </row>
    <row r="2027" spans="1:7">
      <c r="A2027" s="226" t="s">
        <v>1244</v>
      </c>
      <c r="B2027" s="226" t="s">
        <v>1235</v>
      </c>
      <c r="C2027" s="226" t="s">
        <v>625</v>
      </c>
      <c r="D2027" s="226" t="s">
        <v>89</v>
      </c>
      <c r="E2027" s="226" t="s">
        <v>619</v>
      </c>
      <c r="F2027" s="226">
        <v>3.8581373499461828E-2</v>
      </c>
      <c r="G2027" s="226">
        <v>0</v>
      </c>
    </row>
    <row r="2028" spans="1:7">
      <c r="A2028" s="226" t="s">
        <v>1244</v>
      </c>
      <c r="B2028" s="226" t="s">
        <v>1235</v>
      </c>
      <c r="C2028" s="226" t="s">
        <v>625</v>
      </c>
      <c r="D2028" s="226" t="s">
        <v>89</v>
      </c>
      <c r="E2028" s="226" t="s">
        <v>620</v>
      </c>
      <c r="F2028" s="226">
        <v>3.8581373499461828E-2</v>
      </c>
      <c r="G2028" s="226">
        <v>0</v>
      </c>
    </row>
    <row r="2029" spans="1:7">
      <c r="A2029" s="226" t="s">
        <v>1244</v>
      </c>
      <c r="B2029" s="226" t="s">
        <v>1235</v>
      </c>
      <c r="C2029" s="226" t="s">
        <v>625</v>
      </c>
      <c r="D2029" s="226" t="s">
        <v>89</v>
      </c>
      <c r="E2029" s="226" t="s">
        <v>660</v>
      </c>
      <c r="F2029" s="226">
        <v>3.8581373499461828E-2</v>
      </c>
      <c r="G2029" s="226">
        <v>0</v>
      </c>
    </row>
    <row r="2030" spans="1:7">
      <c r="A2030" s="226" t="s">
        <v>1244</v>
      </c>
      <c r="B2030" s="226" t="s">
        <v>1235</v>
      </c>
      <c r="C2030" s="226" t="s">
        <v>625</v>
      </c>
      <c r="D2030" s="226" t="s">
        <v>89</v>
      </c>
      <c r="E2030" s="226" t="s">
        <v>661</v>
      </c>
      <c r="F2030" s="226">
        <v>3.8581373499461828E-2</v>
      </c>
      <c r="G2030" s="226">
        <v>0</v>
      </c>
    </row>
    <row r="2031" spans="1:7">
      <c r="A2031" s="226" t="s">
        <v>1244</v>
      </c>
      <c r="B2031" s="226" t="s">
        <v>1235</v>
      </c>
      <c r="C2031" s="226" t="s">
        <v>625</v>
      </c>
      <c r="D2031" s="226" t="s">
        <v>89</v>
      </c>
      <c r="E2031" s="226" t="s">
        <v>662</v>
      </c>
      <c r="F2031" s="226">
        <v>3.8581373499461828E-2</v>
      </c>
      <c r="G2031" s="226">
        <v>0</v>
      </c>
    </row>
    <row r="2032" spans="1:7">
      <c r="A2032" s="226" t="s">
        <v>1244</v>
      </c>
      <c r="B2032" s="226" t="s">
        <v>1235</v>
      </c>
      <c r="C2032" s="226" t="s">
        <v>625</v>
      </c>
      <c r="D2032" s="226" t="s">
        <v>89</v>
      </c>
      <c r="E2032" s="226" t="s">
        <v>663</v>
      </c>
      <c r="F2032" s="226">
        <v>3.8581373499461828E-2</v>
      </c>
      <c r="G2032" s="226">
        <v>0</v>
      </c>
    </row>
    <row r="2033" spans="1:7">
      <c r="A2033" s="226" t="s">
        <v>1244</v>
      </c>
      <c r="B2033" s="226" t="s">
        <v>1235</v>
      </c>
      <c r="C2033" s="226" t="s">
        <v>625</v>
      </c>
      <c r="D2033" s="226" t="s">
        <v>89</v>
      </c>
      <c r="E2033" s="226" t="s">
        <v>664</v>
      </c>
      <c r="F2033" s="226">
        <v>3.8581373499461828E-2</v>
      </c>
      <c r="G2033" s="226">
        <v>0</v>
      </c>
    </row>
    <row r="2034" spans="1:7">
      <c r="A2034" s="226" t="s">
        <v>1244</v>
      </c>
      <c r="B2034" s="226" t="s">
        <v>1235</v>
      </c>
      <c r="C2034" s="226" t="s">
        <v>625</v>
      </c>
      <c r="D2034" s="226" t="s">
        <v>89</v>
      </c>
      <c r="E2034" s="226" t="s">
        <v>665</v>
      </c>
      <c r="F2034" s="226">
        <v>3.8581373499461828E-2</v>
      </c>
      <c r="G2034" s="226">
        <v>0</v>
      </c>
    </row>
    <row r="2035" spans="1:7">
      <c r="A2035" s="226" t="s">
        <v>1244</v>
      </c>
      <c r="B2035" s="226" t="s">
        <v>1235</v>
      </c>
      <c r="C2035" s="226" t="s">
        <v>625</v>
      </c>
      <c r="D2035" s="226" t="s">
        <v>89</v>
      </c>
      <c r="E2035" s="226" t="s">
        <v>666</v>
      </c>
      <c r="F2035" s="226">
        <v>3.8581373499461828E-2</v>
      </c>
      <c r="G2035" s="226">
        <v>0</v>
      </c>
    </row>
    <row r="2036" spans="1:7">
      <c r="A2036" s="226" t="s">
        <v>1244</v>
      </c>
      <c r="B2036" s="226" t="s">
        <v>1235</v>
      </c>
      <c r="C2036" s="226" t="s">
        <v>625</v>
      </c>
      <c r="D2036" s="226" t="s">
        <v>89</v>
      </c>
      <c r="E2036" s="226" t="s">
        <v>667</v>
      </c>
      <c r="F2036" s="226">
        <v>3.8581373499461828E-2</v>
      </c>
      <c r="G2036" s="226">
        <v>0</v>
      </c>
    </row>
    <row r="2037" spans="1:7">
      <c r="A2037" s="226" t="s">
        <v>1244</v>
      </c>
      <c r="B2037" s="226" t="s">
        <v>1235</v>
      </c>
      <c r="C2037" s="226" t="s">
        <v>963</v>
      </c>
      <c r="D2037" s="226" t="s">
        <v>20</v>
      </c>
      <c r="E2037" s="226" t="s">
        <v>618</v>
      </c>
      <c r="F2037" s="226">
        <v>0</v>
      </c>
      <c r="G2037" s="226">
        <v>0</v>
      </c>
    </row>
    <row r="2038" spans="1:7">
      <c r="A2038" s="226" t="s">
        <v>1244</v>
      </c>
      <c r="B2038" s="226" t="s">
        <v>1235</v>
      </c>
      <c r="C2038" s="226" t="s">
        <v>963</v>
      </c>
      <c r="D2038" s="226" t="s">
        <v>20</v>
      </c>
      <c r="E2038" s="226" t="s">
        <v>619</v>
      </c>
      <c r="F2038" s="226">
        <v>8.6577217793007769E-4</v>
      </c>
      <c r="G2038" s="226">
        <v>0</v>
      </c>
    </row>
    <row r="2039" spans="1:7">
      <c r="A2039" s="226" t="s">
        <v>1244</v>
      </c>
      <c r="B2039" s="226" t="s">
        <v>1235</v>
      </c>
      <c r="C2039" s="226" t="s">
        <v>963</v>
      </c>
      <c r="D2039" s="226" t="s">
        <v>20</v>
      </c>
      <c r="E2039" s="226" t="s">
        <v>620</v>
      </c>
      <c r="F2039" s="226">
        <v>8.6577217793007769E-4</v>
      </c>
      <c r="G2039" s="226">
        <v>0</v>
      </c>
    </row>
    <row r="2040" spans="1:7">
      <c r="A2040" s="226" t="s">
        <v>1244</v>
      </c>
      <c r="B2040" s="226" t="s">
        <v>1235</v>
      </c>
      <c r="C2040" s="226" t="s">
        <v>963</v>
      </c>
      <c r="D2040" s="226" t="s">
        <v>20</v>
      </c>
      <c r="E2040" s="226" t="s">
        <v>660</v>
      </c>
      <c r="F2040" s="226">
        <v>8.6577217793007769E-4</v>
      </c>
      <c r="G2040" s="226">
        <v>0</v>
      </c>
    </row>
    <row r="2041" spans="1:7">
      <c r="A2041" s="226" t="s">
        <v>1244</v>
      </c>
      <c r="B2041" s="226" t="s">
        <v>1235</v>
      </c>
      <c r="C2041" s="226" t="s">
        <v>963</v>
      </c>
      <c r="D2041" s="226" t="s">
        <v>20</v>
      </c>
      <c r="E2041" s="226" t="s">
        <v>661</v>
      </c>
      <c r="F2041" s="226">
        <v>8.6577217793007769E-4</v>
      </c>
      <c r="G2041" s="226">
        <v>0</v>
      </c>
    </row>
    <row r="2042" spans="1:7">
      <c r="A2042" s="226" t="s">
        <v>1244</v>
      </c>
      <c r="B2042" s="226" t="s">
        <v>1235</v>
      </c>
      <c r="C2042" s="226" t="s">
        <v>963</v>
      </c>
      <c r="D2042" s="226" t="s">
        <v>20</v>
      </c>
      <c r="E2042" s="226" t="s">
        <v>662</v>
      </c>
      <c r="F2042" s="226">
        <v>8.6577217793007769E-4</v>
      </c>
      <c r="G2042" s="226">
        <v>0</v>
      </c>
    </row>
    <row r="2043" spans="1:7">
      <c r="A2043" s="226" t="s">
        <v>1244</v>
      </c>
      <c r="B2043" s="226" t="s">
        <v>1235</v>
      </c>
      <c r="C2043" s="226" t="s">
        <v>963</v>
      </c>
      <c r="D2043" s="226" t="s">
        <v>20</v>
      </c>
      <c r="E2043" s="226" t="s">
        <v>663</v>
      </c>
      <c r="F2043" s="226">
        <v>8.6577217793007769E-4</v>
      </c>
      <c r="G2043" s="226">
        <v>0</v>
      </c>
    </row>
    <row r="2044" spans="1:7">
      <c r="A2044" s="226" t="s">
        <v>1244</v>
      </c>
      <c r="B2044" s="226" t="s">
        <v>1235</v>
      </c>
      <c r="C2044" s="226" t="s">
        <v>963</v>
      </c>
      <c r="D2044" s="226" t="s">
        <v>20</v>
      </c>
      <c r="E2044" s="226" t="s">
        <v>664</v>
      </c>
      <c r="F2044" s="226">
        <v>8.6577217793007769E-4</v>
      </c>
      <c r="G2044" s="226">
        <v>0</v>
      </c>
    </row>
    <row r="2045" spans="1:7">
      <c r="A2045" s="226" t="s">
        <v>1244</v>
      </c>
      <c r="B2045" s="226" t="s">
        <v>1235</v>
      </c>
      <c r="C2045" s="226" t="s">
        <v>963</v>
      </c>
      <c r="D2045" s="226" t="s">
        <v>20</v>
      </c>
      <c r="E2045" s="226" t="s">
        <v>665</v>
      </c>
      <c r="F2045" s="226">
        <v>8.6577217793007769E-4</v>
      </c>
      <c r="G2045" s="226">
        <v>0</v>
      </c>
    </row>
    <row r="2046" spans="1:7">
      <c r="A2046" s="226" t="s">
        <v>1244</v>
      </c>
      <c r="B2046" s="226" t="s">
        <v>1235</v>
      </c>
      <c r="C2046" s="226" t="s">
        <v>963</v>
      </c>
      <c r="D2046" s="226" t="s">
        <v>20</v>
      </c>
      <c r="E2046" s="226" t="s">
        <v>666</v>
      </c>
      <c r="F2046" s="226">
        <v>8.6577217793007769E-4</v>
      </c>
      <c r="G2046" s="226">
        <v>0</v>
      </c>
    </row>
    <row r="2047" spans="1:7">
      <c r="A2047" s="226" t="s">
        <v>1244</v>
      </c>
      <c r="B2047" s="226" t="s">
        <v>1235</v>
      </c>
      <c r="C2047" s="226" t="s">
        <v>963</v>
      </c>
      <c r="D2047" s="226" t="s">
        <v>20</v>
      </c>
      <c r="E2047" s="226" t="s">
        <v>667</v>
      </c>
      <c r="F2047" s="226">
        <v>8.6577217793007769E-4</v>
      </c>
      <c r="G2047" s="226">
        <v>0</v>
      </c>
    </row>
    <row r="2048" spans="1:7">
      <c r="A2048" s="226" t="s">
        <v>1244</v>
      </c>
      <c r="B2048" s="226" t="s">
        <v>1235</v>
      </c>
      <c r="C2048" s="226" t="s">
        <v>627</v>
      </c>
      <c r="D2048" s="226" t="s">
        <v>11</v>
      </c>
      <c r="E2048" s="226" t="s">
        <v>618</v>
      </c>
      <c r="F2048" s="226">
        <v>0</v>
      </c>
      <c r="G2048" s="226">
        <v>0</v>
      </c>
    </row>
    <row r="2049" spans="1:7">
      <c r="A2049" s="226" t="s">
        <v>1244</v>
      </c>
      <c r="B2049" s="226" t="s">
        <v>1235</v>
      </c>
      <c r="C2049" s="226" t="s">
        <v>627</v>
      </c>
      <c r="D2049" s="226" t="s">
        <v>11</v>
      </c>
      <c r="E2049" s="226" t="s">
        <v>619</v>
      </c>
      <c r="F2049" s="226">
        <v>0.27378281517046626</v>
      </c>
      <c r="G2049" s="226">
        <v>0</v>
      </c>
    </row>
    <row r="2050" spans="1:7">
      <c r="A2050" s="226" t="s">
        <v>1244</v>
      </c>
      <c r="B2050" s="226" t="s">
        <v>1235</v>
      </c>
      <c r="C2050" s="226" t="s">
        <v>627</v>
      </c>
      <c r="D2050" s="226" t="s">
        <v>11</v>
      </c>
      <c r="E2050" s="226" t="s">
        <v>620</v>
      </c>
      <c r="F2050" s="226">
        <v>0.27378281517046626</v>
      </c>
      <c r="G2050" s="226">
        <v>0</v>
      </c>
    </row>
    <row r="2051" spans="1:7">
      <c r="A2051" s="226" t="s">
        <v>1244</v>
      </c>
      <c r="B2051" s="226" t="s">
        <v>1235</v>
      </c>
      <c r="C2051" s="226" t="s">
        <v>627</v>
      </c>
      <c r="D2051" s="226" t="s">
        <v>11</v>
      </c>
      <c r="E2051" s="226" t="s">
        <v>660</v>
      </c>
      <c r="F2051" s="226">
        <v>0.27378281517046626</v>
      </c>
      <c r="G2051" s="226">
        <v>0</v>
      </c>
    </row>
    <row r="2052" spans="1:7">
      <c r="A2052" s="226" t="s">
        <v>1244</v>
      </c>
      <c r="B2052" s="226" t="s">
        <v>1235</v>
      </c>
      <c r="C2052" s="226" t="s">
        <v>627</v>
      </c>
      <c r="D2052" s="226" t="s">
        <v>11</v>
      </c>
      <c r="E2052" s="226" t="s">
        <v>661</v>
      </c>
      <c r="F2052" s="226">
        <v>0.27378281517046626</v>
      </c>
      <c r="G2052" s="226">
        <v>0</v>
      </c>
    </row>
    <row r="2053" spans="1:7">
      <c r="A2053" s="226" t="s">
        <v>1244</v>
      </c>
      <c r="B2053" s="226" t="s">
        <v>1235</v>
      </c>
      <c r="C2053" s="226" t="s">
        <v>627</v>
      </c>
      <c r="D2053" s="226" t="s">
        <v>11</v>
      </c>
      <c r="E2053" s="226" t="s">
        <v>662</v>
      </c>
      <c r="F2053" s="226">
        <v>0.27378281517046626</v>
      </c>
      <c r="G2053" s="226">
        <v>0</v>
      </c>
    </row>
    <row r="2054" spans="1:7">
      <c r="A2054" s="226" t="s">
        <v>1244</v>
      </c>
      <c r="B2054" s="226" t="s">
        <v>1235</v>
      </c>
      <c r="C2054" s="226" t="s">
        <v>627</v>
      </c>
      <c r="D2054" s="226" t="s">
        <v>11</v>
      </c>
      <c r="E2054" s="226" t="s">
        <v>663</v>
      </c>
      <c r="F2054" s="226">
        <v>0.27378281517046626</v>
      </c>
      <c r="G2054" s="226">
        <v>0</v>
      </c>
    </row>
    <row r="2055" spans="1:7">
      <c r="A2055" s="226" t="s">
        <v>1244</v>
      </c>
      <c r="B2055" s="226" t="s">
        <v>1235</v>
      </c>
      <c r="C2055" s="226" t="s">
        <v>627</v>
      </c>
      <c r="D2055" s="226" t="s">
        <v>11</v>
      </c>
      <c r="E2055" s="226" t="s">
        <v>664</v>
      </c>
      <c r="F2055" s="226">
        <v>0.27378281517046626</v>
      </c>
      <c r="G2055" s="226">
        <v>0</v>
      </c>
    </row>
    <row r="2056" spans="1:7">
      <c r="A2056" s="226" t="s">
        <v>1244</v>
      </c>
      <c r="B2056" s="226" t="s">
        <v>1235</v>
      </c>
      <c r="C2056" s="226" t="s">
        <v>627</v>
      </c>
      <c r="D2056" s="226" t="s">
        <v>11</v>
      </c>
      <c r="E2056" s="226" t="s">
        <v>665</v>
      </c>
      <c r="F2056" s="226">
        <v>0.27378281517046626</v>
      </c>
      <c r="G2056" s="226">
        <v>0</v>
      </c>
    </row>
    <row r="2057" spans="1:7">
      <c r="A2057" s="226" t="s">
        <v>1244</v>
      </c>
      <c r="B2057" s="226" t="s">
        <v>1235</v>
      </c>
      <c r="C2057" s="226" t="s">
        <v>627</v>
      </c>
      <c r="D2057" s="226" t="s">
        <v>11</v>
      </c>
      <c r="E2057" s="226" t="s">
        <v>666</v>
      </c>
      <c r="F2057" s="226">
        <v>0.27378281517046626</v>
      </c>
      <c r="G2057" s="226">
        <v>0</v>
      </c>
    </row>
    <row r="2058" spans="1:7">
      <c r="A2058" s="226" t="s">
        <v>1244</v>
      </c>
      <c r="B2058" s="226" t="s">
        <v>1235</v>
      </c>
      <c r="C2058" s="226" t="s">
        <v>627</v>
      </c>
      <c r="D2058" s="226" t="s">
        <v>11</v>
      </c>
      <c r="E2058" s="226" t="s">
        <v>667</v>
      </c>
      <c r="F2058" s="226">
        <v>0.27378281517046626</v>
      </c>
      <c r="G2058" s="226">
        <v>0</v>
      </c>
    </row>
    <row r="2059" spans="1:7">
      <c r="A2059" s="226" t="s">
        <v>1244</v>
      </c>
      <c r="B2059" s="226" t="s">
        <v>1235</v>
      </c>
      <c r="C2059" s="226" t="s">
        <v>627</v>
      </c>
      <c r="D2059" s="226" t="s">
        <v>12</v>
      </c>
      <c r="E2059" s="226" t="s">
        <v>618</v>
      </c>
      <c r="F2059" s="226">
        <v>8.0000000000000002E-3</v>
      </c>
      <c r="G2059" s="226">
        <v>8.0000000000000002E-3</v>
      </c>
    </row>
    <row r="2060" spans="1:7">
      <c r="A2060" s="226" t="s">
        <v>1244</v>
      </c>
      <c r="B2060" s="226" t="s">
        <v>1235</v>
      </c>
      <c r="C2060" s="226" t="s">
        <v>627</v>
      </c>
      <c r="D2060" s="226" t="s">
        <v>12</v>
      </c>
      <c r="E2060" s="226" t="s">
        <v>619</v>
      </c>
      <c r="F2060" s="226">
        <v>4.7461417023218731E-2</v>
      </c>
      <c r="G2060" s="226">
        <v>0</v>
      </c>
    </row>
    <row r="2061" spans="1:7">
      <c r="A2061" s="226" t="s">
        <v>1244</v>
      </c>
      <c r="B2061" s="226" t="s">
        <v>1235</v>
      </c>
      <c r="C2061" s="226" t="s">
        <v>627</v>
      </c>
      <c r="D2061" s="226" t="s">
        <v>12</v>
      </c>
      <c r="E2061" s="226" t="s">
        <v>620</v>
      </c>
      <c r="F2061" s="226">
        <v>4.7461417023218731E-2</v>
      </c>
      <c r="G2061" s="226">
        <v>0</v>
      </c>
    </row>
    <row r="2062" spans="1:7">
      <c r="A2062" s="226" t="s">
        <v>1244</v>
      </c>
      <c r="B2062" s="226" t="s">
        <v>1235</v>
      </c>
      <c r="C2062" s="226" t="s">
        <v>627</v>
      </c>
      <c r="D2062" s="226" t="s">
        <v>12</v>
      </c>
      <c r="E2062" s="226" t="s">
        <v>660</v>
      </c>
      <c r="F2062" s="226">
        <v>4.7461417023218731E-2</v>
      </c>
      <c r="G2062" s="226">
        <v>0</v>
      </c>
    </row>
    <row r="2063" spans="1:7">
      <c r="A2063" s="226" t="s">
        <v>1244</v>
      </c>
      <c r="B2063" s="226" t="s">
        <v>1235</v>
      </c>
      <c r="C2063" s="226" t="s">
        <v>627</v>
      </c>
      <c r="D2063" s="226" t="s">
        <v>12</v>
      </c>
      <c r="E2063" s="226" t="s">
        <v>661</v>
      </c>
      <c r="F2063" s="226">
        <v>4.7461417023218731E-2</v>
      </c>
      <c r="G2063" s="226">
        <v>0</v>
      </c>
    </row>
    <row r="2064" spans="1:7">
      <c r="A2064" s="226" t="s">
        <v>1244</v>
      </c>
      <c r="B2064" s="226" t="s">
        <v>1235</v>
      </c>
      <c r="C2064" s="226" t="s">
        <v>627</v>
      </c>
      <c r="D2064" s="226" t="s">
        <v>12</v>
      </c>
      <c r="E2064" s="226" t="s">
        <v>662</v>
      </c>
      <c r="F2064" s="226">
        <v>4.7461417023218731E-2</v>
      </c>
      <c r="G2064" s="226">
        <v>0</v>
      </c>
    </row>
    <row r="2065" spans="1:7">
      <c r="A2065" s="226" t="s">
        <v>1244</v>
      </c>
      <c r="B2065" s="226" t="s">
        <v>1235</v>
      </c>
      <c r="C2065" s="226" t="s">
        <v>627</v>
      </c>
      <c r="D2065" s="226" t="s">
        <v>12</v>
      </c>
      <c r="E2065" s="226" t="s">
        <v>663</v>
      </c>
      <c r="F2065" s="226">
        <v>4.7461417023218731E-2</v>
      </c>
      <c r="G2065" s="226">
        <v>0</v>
      </c>
    </row>
    <row r="2066" spans="1:7">
      <c r="A2066" s="226" t="s">
        <v>1244</v>
      </c>
      <c r="B2066" s="226" t="s">
        <v>1235</v>
      </c>
      <c r="C2066" s="226" t="s">
        <v>627</v>
      </c>
      <c r="D2066" s="226" t="s">
        <v>12</v>
      </c>
      <c r="E2066" s="226" t="s">
        <v>664</v>
      </c>
      <c r="F2066" s="226">
        <v>4.7461417023218731E-2</v>
      </c>
      <c r="G2066" s="226">
        <v>0</v>
      </c>
    </row>
    <row r="2067" spans="1:7">
      <c r="A2067" s="226" t="s">
        <v>1244</v>
      </c>
      <c r="B2067" s="226" t="s">
        <v>1235</v>
      </c>
      <c r="C2067" s="226" t="s">
        <v>627</v>
      </c>
      <c r="D2067" s="226" t="s">
        <v>12</v>
      </c>
      <c r="E2067" s="226" t="s">
        <v>665</v>
      </c>
      <c r="F2067" s="226">
        <v>4.7461417023218731E-2</v>
      </c>
      <c r="G2067" s="226">
        <v>0</v>
      </c>
    </row>
    <row r="2068" spans="1:7">
      <c r="A2068" s="226" t="s">
        <v>1244</v>
      </c>
      <c r="B2068" s="226" t="s">
        <v>1235</v>
      </c>
      <c r="C2068" s="226" t="s">
        <v>627</v>
      </c>
      <c r="D2068" s="226" t="s">
        <v>12</v>
      </c>
      <c r="E2068" s="226" t="s">
        <v>666</v>
      </c>
      <c r="F2068" s="226">
        <v>4.7461417023218731E-2</v>
      </c>
      <c r="G2068" s="226">
        <v>0</v>
      </c>
    </row>
    <row r="2069" spans="1:7">
      <c r="A2069" s="226" t="s">
        <v>1244</v>
      </c>
      <c r="B2069" s="226" t="s">
        <v>1235</v>
      </c>
      <c r="C2069" s="226" t="s">
        <v>627</v>
      </c>
      <c r="D2069" s="226" t="s">
        <v>12</v>
      </c>
      <c r="E2069" s="226" t="s">
        <v>667</v>
      </c>
      <c r="F2069" s="226">
        <v>4.7461417023218731E-2</v>
      </c>
      <c r="G2069" s="226">
        <v>0</v>
      </c>
    </row>
    <row r="2070" spans="1:7">
      <c r="A2070" s="226" t="s">
        <v>1244</v>
      </c>
      <c r="B2070" s="226" t="s">
        <v>1235</v>
      </c>
      <c r="C2070" s="226" t="s">
        <v>626</v>
      </c>
      <c r="D2070" s="226" t="s">
        <v>9</v>
      </c>
      <c r="E2070" s="226" t="s">
        <v>618</v>
      </c>
      <c r="F2070" s="226">
        <v>3.799999999999997E-3</v>
      </c>
      <c r="G2070" s="226">
        <v>3.799999999999997E-3</v>
      </c>
    </row>
    <row r="2071" spans="1:7">
      <c r="A2071" s="226" t="s">
        <v>1244</v>
      </c>
      <c r="B2071" s="226" t="s">
        <v>1235</v>
      </c>
      <c r="C2071" s="226" t="s">
        <v>626</v>
      </c>
      <c r="D2071" s="226" t="s">
        <v>9</v>
      </c>
      <c r="E2071" s="226" t="s">
        <v>619</v>
      </c>
      <c r="F2071" s="226">
        <v>2.0502767798833026E-2</v>
      </c>
      <c r="G2071" s="226">
        <v>0</v>
      </c>
    </row>
    <row r="2072" spans="1:7">
      <c r="A2072" s="226" t="s">
        <v>1244</v>
      </c>
      <c r="B2072" s="226" t="s">
        <v>1235</v>
      </c>
      <c r="C2072" s="226" t="s">
        <v>626</v>
      </c>
      <c r="D2072" s="226" t="s">
        <v>9</v>
      </c>
      <c r="E2072" s="226" t="s">
        <v>620</v>
      </c>
      <c r="F2072" s="226">
        <v>2.0502767798833026E-2</v>
      </c>
      <c r="G2072" s="226">
        <v>0</v>
      </c>
    </row>
    <row r="2073" spans="1:7">
      <c r="A2073" s="226" t="s">
        <v>1244</v>
      </c>
      <c r="B2073" s="226" t="s">
        <v>1235</v>
      </c>
      <c r="C2073" s="226" t="s">
        <v>626</v>
      </c>
      <c r="D2073" s="226" t="s">
        <v>9</v>
      </c>
      <c r="E2073" s="226" t="s">
        <v>660</v>
      </c>
      <c r="F2073" s="226">
        <v>2.0502767798833026E-2</v>
      </c>
      <c r="G2073" s="226">
        <v>0</v>
      </c>
    </row>
    <row r="2074" spans="1:7">
      <c r="A2074" s="226" t="s">
        <v>1244</v>
      </c>
      <c r="B2074" s="226" t="s">
        <v>1235</v>
      </c>
      <c r="C2074" s="226" t="s">
        <v>626</v>
      </c>
      <c r="D2074" s="226" t="s">
        <v>9</v>
      </c>
      <c r="E2074" s="226" t="s">
        <v>661</v>
      </c>
      <c r="F2074" s="226">
        <v>2.0502767798833026E-2</v>
      </c>
      <c r="G2074" s="226">
        <v>0</v>
      </c>
    </row>
    <row r="2075" spans="1:7">
      <c r="A2075" s="226" t="s">
        <v>1244</v>
      </c>
      <c r="B2075" s="226" t="s">
        <v>1235</v>
      </c>
      <c r="C2075" s="226" t="s">
        <v>626</v>
      </c>
      <c r="D2075" s="226" t="s">
        <v>9</v>
      </c>
      <c r="E2075" s="226" t="s">
        <v>662</v>
      </c>
      <c r="F2075" s="226">
        <v>2.0502767798833026E-2</v>
      </c>
      <c r="G2075" s="226">
        <v>0</v>
      </c>
    </row>
    <row r="2076" spans="1:7">
      <c r="A2076" s="226" t="s">
        <v>1244</v>
      </c>
      <c r="B2076" s="226" t="s">
        <v>1235</v>
      </c>
      <c r="C2076" s="226" t="s">
        <v>626</v>
      </c>
      <c r="D2076" s="226" t="s">
        <v>9</v>
      </c>
      <c r="E2076" s="226" t="s">
        <v>663</v>
      </c>
      <c r="F2076" s="226">
        <v>2.0502767798833026E-2</v>
      </c>
      <c r="G2076" s="226">
        <v>0</v>
      </c>
    </row>
    <row r="2077" spans="1:7">
      <c r="A2077" s="226" t="s">
        <v>1244</v>
      </c>
      <c r="B2077" s="226" t="s">
        <v>1235</v>
      </c>
      <c r="C2077" s="226" t="s">
        <v>626</v>
      </c>
      <c r="D2077" s="226" t="s">
        <v>9</v>
      </c>
      <c r="E2077" s="226" t="s">
        <v>664</v>
      </c>
      <c r="F2077" s="226">
        <v>2.0502767798833026E-2</v>
      </c>
      <c r="G2077" s="226">
        <v>0</v>
      </c>
    </row>
    <row r="2078" spans="1:7">
      <c r="A2078" s="226" t="s">
        <v>1244</v>
      </c>
      <c r="B2078" s="226" t="s">
        <v>1235</v>
      </c>
      <c r="C2078" s="226" t="s">
        <v>626</v>
      </c>
      <c r="D2078" s="226" t="s">
        <v>9</v>
      </c>
      <c r="E2078" s="226" t="s">
        <v>665</v>
      </c>
      <c r="F2078" s="226">
        <v>2.0502767798833026E-2</v>
      </c>
      <c r="G2078" s="226">
        <v>0</v>
      </c>
    </row>
    <row r="2079" spans="1:7">
      <c r="A2079" s="226" t="s">
        <v>1244</v>
      </c>
      <c r="B2079" s="226" t="s">
        <v>1235</v>
      </c>
      <c r="C2079" s="226" t="s">
        <v>626</v>
      </c>
      <c r="D2079" s="226" t="s">
        <v>9</v>
      </c>
      <c r="E2079" s="226" t="s">
        <v>666</v>
      </c>
      <c r="F2079" s="226">
        <v>2.0502767798833026E-2</v>
      </c>
      <c r="G2079" s="226">
        <v>0</v>
      </c>
    </row>
    <row r="2080" spans="1:7">
      <c r="A2080" s="226" t="s">
        <v>1244</v>
      </c>
      <c r="B2080" s="226" t="s">
        <v>1235</v>
      </c>
      <c r="C2080" s="226" t="s">
        <v>626</v>
      </c>
      <c r="D2080" s="226" t="s">
        <v>9</v>
      </c>
      <c r="E2080" s="226" t="s">
        <v>667</v>
      </c>
      <c r="F2080" s="226">
        <v>2.0502767798833026E-2</v>
      </c>
      <c r="G2080" s="226">
        <v>0</v>
      </c>
    </row>
    <row r="2081" spans="1:7">
      <c r="A2081" s="226" t="s">
        <v>1244</v>
      </c>
      <c r="B2081" s="226" t="s">
        <v>1235</v>
      </c>
      <c r="C2081" s="226" t="s">
        <v>626</v>
      </c>
      <c r="D2081" s="226" t="s">
        <v>10</v>
      </c>
      <c r="E2081" s="226" t="s">
        <v>618</v>
      </c>
      <c r="F2081" s="226">
        <v>4.9999999999954527E-6</v>
      </c>
      <c r="G2081" s="226">
        <v>4.9999999999954527E-6</v>
      </c>
    </row>
    <row r="2082" spans="1:7">
      <c r="A2082" s="226" t="s">
        <v>1244</v>
      </c>
      <c r="B2082" s="226" t="s">
        <v>1235</v>
      </c>
      <c r="C2082" s="226" t="s">
        <v>626</v>
      </c>
      <c r="D2082" s="226" t="s">
        <v>10</v>
      </c>
      <c r="E2082" s="226" t="s">
        <v>619</v>
      </c>
      <c r="F2082" s="226">
        <v>8.1142092453780054E-2</v>
      </c>
      <c r="G2082" s="226">
        <v>0</v>
      </c>
    </row>
    <row r="2083" spans="1:7">
      <c r="A2083" s="226" t="s">
        <v>1244</v>
      </c>
      <c r="B2083" s="226" t="s">
        <v>1235</v>
      </c>
      <c r="C2083" s="226" t="s">
        <v>626</v>
      </c>
      <c r="D2083" s="226" t="s">
        <v>10</v>
      </c>
      <c r="E2083" s="226" t="s">
        <v>620</v>
      </c>
      <c r="F2083" s="226">
        <v>8.1142092453780054E-2</v>
      </c>
      <c r="G2083" s="226">
        <v>0</v>
      </c>
    </row>
    <row r="2084" spans="1:7">
      <c r="A2084" s="226" t="s">
        <v>1244</v>
      </c>
      <c r="B2084" s="226" t="s">
        <v>1235</v>
      </c>
      <c r="C2084" s="226" t="s">
        <v>626</v>
      </c>
      <c r="D2084" s="226" t="s">
        <v>10</v>
      </c>
      <c r="E2084" s="226" t="s">
        <v>660</v>
      </c>
      <c r="F2084" s="226">
        <v>8.1142092453780054E-2</v>
      </c>
      <c r="G2084" s="226">
        <v>0</v>
      </c>
    </row>
    <row r="2085" spans="1:7">
      <c r="A2085" s="226" t="s">
        <v>1244</v>
      </c>
      <c r="B2085" s="226" t="s">
        <v>1235</v>
      </c>
      <c r="C2085" s="226" t="s">
        <v>626</v>
      </c>
      <c r="D2085" s="226" t="s">
        <v>10</v>
      </c>
      <c r="E2085" s="226" t="s">
        <v>661</v>
      </c>
      <c r="F2085" s="226">
        <v>8.1142092453780054E-2</v>
      </c>
      <c r="G2085" s="226">
        <v>0</v>
      </c>
    </row>
    <row r="2086" spans="1:7">
      <c r="A2086" s="226" t="s">
        <v>1244</v>
      </c>
      <c r="B2086" s="226" t="s">
        <v>1235</v>
      </c>
      <c r="C2086" s="226" t="s">
        <v>626</v>
      </c>
      <c r="D2086" s="226" t="s">
        <v>10</v>
      </c>
      <c r="E2086" s="226" t="s">
        <v>662</v>
      </c>
      <c r="F2086" s="226">
        <v>8.1142092453780054E-2</v>
      </c>
      <c r="G2086" s="226">
        <v>0</v>
      </c>
    </row>
    <row r="2087" spans="1:7">
      <c r="A2087" s="226" t="s">
        <v>1244</v>
      </c>
      <c r="B2087" s="226" t="s">
        <v>1235</v>
      </c>
      <c r="C2087" s="226" t="s">
        <v>626</v>
      </c>
      <c r="D2087" s="226" t="s">
        <v>10</v>
      </c>
      <c r="E2087" s="226" t="s">
        <v>663</v>
      </c>
      <c r="F2087" s="226">
        <v>8.1142092453780054E-2</v>
      </c>
      <c r="G2087" s="226">
        <v>0</v>
      </c>
    </row>
    <row r="2088" spans="1:7">
      <c r="A2088" s="226" t="s">
        <v>1244</v>
      </c>
      <c r="B2088" s="226" t="s">
        <v>1235</v>
      </c>
      <c r="C2088" s="226" t="s">
        <v>626</v>
      </c>
      <c r="D2088" s="226" t="s">
        <v>10</v>
      </c>
      <c r="E2088" s="226" t="s">
        <v>664</v>
      </c>
      <c r="F2088" s="226">
        <v>8.1142092453780054E-2</v>
      </c>
      <c r="G2088" s="226">
        <v>0</v>
      </c>
    </row>
    <row r="2089" spans="1:7">
      <c r="A2089" s="226" t="s">
        <v>1244</v>
      </c>
      <c r="B2089" s="226" t="s">
        <v>1235</v>
      </c>
      <c r="C2089" s="226" t="s">
        <v>626</v>
      </c>
      <c r="D2089" s="226" t="s">
        <v>10</v>
      </c>
      <c r="E2089" s="226" t="s">
        <v>665</v>
      </c>
      <c r="F2089" s="226">
        <v>8.1142092453780054E-2</v>
      </c>
      <c r="G2089" s="226">
        <v>0</v>
      </c>
    </row>
    <row r="2090" spans="1:7">
      <c r="A2090" s="226" t="s">
        <v>1244</v>
      </c>
      <c r="B2090" s="226" t="s">
        <v>1235</v>
      </c>
      <c r="C2090" s="226" t="s">
        <v>626</v>
      </c>
      <c r="D2090" s="226" t="s">
        <v>10</v>
      </c>
      <c r="E2090" s="226" t="s">
        <v>666</v>
      </c>
      <c r="F2090" s="226">
        <v>8.1142092453780054E-2</v>
      </c>
      <c r="G2090" s="226">
        <v>0</v>
      </c>
    </row>
    <row r="2091" spans="1:7">
      <c r="A2091" s="226" t="s">
        <v>1244</v>
      </c>
      <c r="B2091" s="226" t="s">
        <v>1235</v>
      </c>
      <c r="C2091" s="226" t="s">
        <v>626</v>
      </c>
      <c r="D2091" s="226" t="s">
        <v>10</v>
      </c>
      <c r="E2091" s="226" t="s">
        <v>667</v>
      </c>
      <c r="F2091" s="226">
        <v>8.1142092453780054E-2</v>
      </c>
      <c r="G2091" s="226">
        <v>0</v>
      </c>
    </row>
    <row r="2092" spans="1:7">
      <c r="A2092" s="226" t="s">
        <v>1244</v>
      </c>
      <c r="B2092" s="226" t="s">
        <v>1235</v>
      </c>
      <c r="C2092" s="226" t="s">
        <v>963</v>
      </c>
      <c r="D2092" s="226" t="s">
        <v>16</v>
      </c>
      <c r="E2092" s="226" t="s">
        <v>618</v>
      </c>
      <c r="F2092" s="226">
        <v>2.4004999999999995E-2</v>
      </c>
      <c r="G2092" s="226">
        <v>2.4004999999999995E-2</v>
      </c>
    </row>
    <row r="2093" spans="1:7">
      <c r="A2093" s="226" t="s">
        <v>1244</v>
      </c>
      <c r="B2093" s="226" t="s">
        <v>1235</v>
      </c>
      <c r="C2093" s="226" t="s">
        <v>963</v>
      </c>
      <c r="D2093" s="226" t="s">
        <v>16</v>
      </c>
      <c r="E2093" s="226" t="s">
        <v>619</v>
      </c>
      <c r="F2093" s="226">
        <v>1.3814944937958339E-2</v>
      </c>
      <c r="G2093" s="226">
        <v>0</v>
      </c>
    </row>
    <row r="2094" spans="1:7">
      <c r="A2094" s="226" t="s">
        <v>1244</v>
      </c>
      <c r="B2094" s="226" t="s">
        <v>1235</v>
      </c>
      <c r="C2094" s="226" t="s">
        <v>963</v>
      </c>
      <c r="D2094" s="226" t="s">
        <v>16</v>
      </c>
      <c r="E2094" s="226" t="s">
        <v>620</v>
      </c>
      <c r="F2094" s="226">
        <v>1.3814944937958339E-2</v>
      </c>
      <c r="G2094" s="226">
        <v>0</v>
      </c>
    </row>
    <row r="2095" spans="1:7">
      <c r="A2095" s="226" t="s">
        <v>1244</v>
      </c>
      <c r="B2095" s="226" t="s">
        <v>1235</v>
      </c>
      <c r="C2095" s="226" t="s">
        <v>963</v>
      </c>
      <c r="D2095" s="226" t="s">
        <v>16</v>
      </c>
      <c r="E2095" s="226" t="s">
        <v>660</v>
      </c>
      <c r="F2095" s="226">
        <v>1.3814944937958339E-2</v>
      </c>
      <c r="G2095" s="226">
        <v>0</v>
      </c>
    </row>
    <row r="2096" spans="1:7">
      <c r="A2096" s="226" t="s">
        <v>1244</v>
      </c>
      <c r="B2096" s="226" t="s">
        <v>1235</v>
      </c>
      <c r="C2096" s="226" t="s">
        <v>963</v>
      </c>
      <c r="D2096" s="226" t="s">
        <v>16</v>
      </c>
      <c r="E2096" s="226" t="s">
        <v>661</v>
      </c>
      <c r="F2096" s="226">
        <v>1.3814944937958339E-2</v>
      </c>
      <c r="G2096" s="226">
        <v>0</v>
      </c>
    </row>
    <row r="2097" spans="1:7">
      <c r="A2097" s="226" t="s">
        <v>1244</v>
      </c>
      <c r="B2097" s="226" t="s">
        <v>1235</v>
      </c>
      <c r="C2097" s="226" t="s">
        <v>963</v>
      </c>
      <c r="D2097" s="226" t="s">
        <v>16</v>
      </c>
      <c r="E2097" s="226" t="s">
        <v>662</v>
      </c>
      <c r="F2097" s="226">
        <v>1.3814944937958339E-2</v>
      </c>
      <c r="G2097" s="226">
        <v>0</v>
      </c>
    </row>
    <row r="2098" spans="1:7">
      <c r="A2098" s="226" t="s">
        <v>1244</v>
      </c>
      <c r="B2098" s="226" t="s">
        <v>1235</v>
      </c>
      <c r="C2098" s="226" t="s">
        <v>963</v>
      </c>
      <c r="D2098" s="226" t="s">
        <v>16</v>
      </c>
      <c r="E2098" s="226" t="s">
        <v>663</v>
      </c>
      <c r="F2098" s="226">
        <v>1.3814944937958339E-2</v>
      </c>
      <c r="G2098" s="226">
        <v>0</v>
      </c>
    </row>
    <row r="2099" spans="1:7">
      <c r="A2099" s="226" t="s">
        <v>1244</v>
      </c>
      <c r="B2099" s="226" t="s">
        <v>1235</v>
      </c>
      <c r="C2099" s="226" t="s">
        <v>963</v>
      </c>
      <c r="D2099" s="226" t="s">
        <v>16</v>
      </c>
      <c r="E2099" s="226" t="s">
        <v>664</v>
      </c>
      <c r="F2099" s="226">
        <v>1.3814944937958339E-2</v>
      </c>
      <c r="G2099" s="226">
        <v>0</v>
      </c>
    </row>
    <row r="2100" spans="1:7">
      <c r="A2100" s="226" t="s">
        <v>1244</v>
      </c>
      <c r="B2100" s="226" t="s">
        <v>1235</v>
      </c>
      <c r="C2100" s="226" t="s">
        <v>963</v>
      </c>
      <c r="D2100" s="226" t="s">
        <v>16</v>
      </c>
      <c r="E2100" s="226" t="s">
        <v>665</v>
      </c>
      <c r="F2100" s="226">
        <v>1.3814944937958339E-2</v>
      </c>
      <c r="G2100" s="226">
        <v>0</v>
      </c>
    </row>
    <row r="2101" spans="1:7">
      <c r="A2101" s="226" t="s">
        <v>1244</v>
      </c>
      <c r="B2101" s="226" t="s">
        <v>1235</v>
      </c>
      <c r="C2101" s="226" t="s">
        <v>963</v>
      </c>
      <c r="D2101" s="226" t="s">
        <v>16</v>
      </c>
      <c r="E2101" s="226" t="s">
        <v>666</v>
      </c>
      <c r="F2101" s="226">
        <v>1.3814944937958339E-2</v>
      </c>
      <c r="G2101" s="226">
        <v>0</v>
      </c>
    </row>
    <row r="2102" spans="1:7">
      <c r="A2102" s="226" t="s">
        <v>1244</v>
      </c>
      <c r="B2102" s="226" t="s">
        <v>1235</v>
      </c>
      <c r="C2102" s="226" t="s">
        <v>963</v>
      </c>
      <c r="D2102" s="226" t="s">
        <v>16</v>
      </c>
      <c r="E2102" s="226" t="s">
        <v>667</v>
      </c>
      <c r="F2102" s="226">
        <v>1.3814944937958339E-2</v>
      </c>
      <c r="G2102" s="226">
        <v>0</v>
      </c>
    </row>
    <row r="2103" spans="1:7">
      <c r="A2103" s="226" t="s">
        <v>1244</v>
      </c>
      <c r="B2103" s="226" t="s">
        <v>1235</v>
      </c>
      <c r="C2103" s="226" t="s">
        <v>625</v>
      </c>
      <c r="D2103" s="226" t="s">
        <v>1</v>
      </c>
      <c r="E2103" s="226" t="s">
        <v>618</v>
      </c>
      <c r="F2103" s="226">
        <v>0</v>
      </c>
      <c r="G2103" s="226">
        <v>0</v>
      </c>
    </row>
    <row r="2104" spans="1:7">
      <c r="A2104" s="226" t="s">
        <v>1244</v>
      </c>
      <c r="B2104" s="226" t="s">
        <v>1235</v>
      </c>
      <c r="C2104" s="226" t="s">
        <v>625</v>
      </c>
      <c r="D2104" s="226" t="s">
        <v>1</v>
      </c>
      <c r="E2104" s="226" t="s">
        <v>619</v>
      </c>
      <c r="F2104" s="226">
        <v>3.7099941106114816E-2</v>
      </c>
      <c r="G2104" s="226">
        <v>0</v>
      </c>
    </row>
    <row r="2105" spans="1:7">
      <c r="A2105" s="226" t="s">
        <v>1244</v>
      </c>
      <c r="B2105" s="226" t="s">
        <v>1235</v>
      </c>
      <c r="C2105" s="226" t="s">
        <v>625</v>
      </c>
      <c r="D2105" s="226" t="s">
        <v>1</v>
      </c>
      <c r="E2105" s="226" t="s">
        <v>620</v>
      </c>
      <c r="F2105" s="226">
        <v>3.7099941106114816E-2</v>
      </c>
      <c r="G2105" s="226">
        <v>0</v>
      </c>
    </row>
    <row r="2106" spans="1:7">
      <c r="A2106" s="226" t="s">
        <v>1244</v>
      </c>
      <c r="B2106" s="226" t="s">
        <v>1235</v>
      </c>
      <c r="C2106" s="226" t="s">
        <v>625</v>
      </c>
      <c r="D2106" s="226" t="s">
        <v>1</v>
      </c>
      <c r="E2106" s="226" t="s">
        <v>660</v>
      </c>
      <c r="F2106" s="226">
        <v>3.7099941106114816E-2</v>
      </c>
      <c r="G2106" s="226">
        <v>0</v>
      </c>
    </row>
    <row r="2107" spans="1:7">
      <c r="A2107" s="226" t="s">
        <v>1244</v>
      </c>
      <c r="B2107" s="226" t="s">
        <v>1235</v>
      </c>
      <c r="C2107" s="226" t="s">
        <v>625</v>
      </c>
      <c r="D2107" s="226" t="s">
        <v>1</v>
      </c>
      <c r="E2107" s="226" t="s">
        <v>661</v>
      </c>
      <c r="F2107" s="226">
        <v>3.7099941106114816E-2</v>
      </c>
      <c r="G2107" s="226">
        <v>0</v>
      </c>
    </row>
    <row r="2108" spans="1:7">
      <c r="A2108" s="226" t="s">
        <v>1244</v>
      </c>
      <c r="B2108" s="226" t="s">
        <v>1235</v>
      </c>
      <c r="C2108" s="226" t="s">
        <v>625</v>
      </c>
      <c r="D2108" s="226" t="s">
        <v>1</v>
      </c>
      <c r="E2108" s="226" t="s">
        <v>662</v>
      </c>
      <c r="F2108" s="226">
        <v>3.7099941106114816E-2</v>
      </c>
      <c r="G2108" s="226">
        <v>0</v>
      </c>
    </row>
    <row r="2109" spans="1:7">
      <c r="A2109" s="226" t="s">
        <v>1244</v>
      </c>
      <c r="B2109" s="226" t="s">
        <v>1235</v>
      </c>
      <c r="C2109" s="226" t="s">
        <v>625</v>
      </c>
      <c r="D2109" s="226" t="s">
        <v>1</v>
      </c>
      <c r="E2109" s="226" t="s">
        <v>663</v>
      </c>
      <c r="F2109" s="226">
        <v>3.7099941106114816E-2</v>
      </c>
      <c r="G2109" s="226">
        <v>0</v>
      </c>
    </row>
    <row r="2110" spans="1:7">
      <c r="A2110" s="226" t="s">
        <v>1244</v>
      </c>
      <c r="B2110" s="226" t="s">
        <v>1235</v>
      </c>
      <c r="C2110" s="226" t="s">
        <v>625</v>
      </c>
      <c r="D2110" s="226" t="s">
        <v>1</v>
      </c>
      <c r="E2110" s="226" t="s">
        <v>664</v>
      </c>
      <c r="F2110" s="226">
        <v>3.7099941106114816E-2</v>
      </c>
      <c r="G2110" s="226">
        <v>0</v>
      </c>
    </row>
    <row r="2111" spans="1:7">
      <c r="A2111" s="226" t="s">
        <v>1244</v>
      </c>
      <c r="B2111" s="226" t="s">
        <v>1235</v>
      </c>
      <c r="C2111" s="226" t="s">
        <v>625</v>
      </c>
      <c r="D2111" s="226" t="s">
        <v>1</v>
      </c>
      <c r="E2111" s="226" t="s">
        <v>665</v>
      </c>
      <c r="F2111" s="226">
        <v>3.7099941106114816E-2</v>
      </c>
      <c r="G2111" s="226">
        <v>0</v>
      </c>
    </row>
    <row r="2112" spans="1:7">
      <c r="A2112" s="226" t="s">
        <v>1244</v>
      </c>
      <c r="B2112" s="226" t="s">
        <v>1235</v>
      </c>
      <c r="C2112" s="226" t="s">
        <v>625</v>
      </c>
      <c r="D2112" s="226" t="s">
        <v>1</v>
      </c>
      <c r="E2112" s="226" t="s">
        <v>666</v>
      </c>
      <c r="F2112" s="226">
        <v>3.7099941106114816E-2</v>
      </c>
      <c r="G2112" s="226">
        <v>0</v>
      </c>
    </row>
    <row r="2113" spans="1:7">
      <c r="A2113" s="226" t="s">
        <v>1244</v>
      </c>
      <c r="B2113" s="226" t="s">
        <v>1235</v>
      </c>
      <c r="C2113" s="226" t="s">
        <v>625</v>
      </c>
      <c r="D2113" s="226" t="s">
        <v>1</v>
      </c>
      <c r="E2113" s="226" t="s">
        <v>667</v>
      </c>
      <c r="F2113" s="226">
        <v>3.7099941106114816E-2</v>
      </c>
      <c r="G2113" s="226">
        <v>0</v>
      </c>
    </row>
    <row r="2114" spans="1:7">
      <c r="A2114" s="226" t="s">
        <v>1244</v>
      </c>
      <c r="B2114" s="226" t="s">
        <v>1235</v>
      </c>
      <c r="C2114" s="226" t="s">
        <v>625</v>
      </c>
      <c r="D2114" s="226" t="s">
        <v>6</v>
      </c>
      <c r="E2114" s="226" t="s">
        <v>618</v>
      </c>
      <c r="F2114" s="226">
        <v>0</v>
      </c>
      <c r="G2114" s="226">
        <v>0</v>
      </c>
    </row>
    <row r="2115" spans="1:7">
      <c r="A2115" s="226" t="s">
        <v>1244</v>
      </c>
      <c r="B2115" s="226" t="s">
        <v>1235</v>
      </c>
      <c r="C2115" s="226" t="s">
        <v>625</v>
      </c>
      <c r="D2115" s="226" t="s">
        <v>6</v>
      </c>
      <c r="E2115" s="226" t="s">
        <v>619</v>
      </c>
      <c r="F2115" s="226">
        <v>5.0984361589215691E-3</v>
      </c>
      <c r="G2115" s="226">
        <v>0</v>
      </c>
    </row>
    <row r="2116" spans="1:7">
      <c r="A2116" s="226" t="s">
        <v>1244</v>
      </c>
      <c r="B2116" s="226" t="s">
        <v>1235</v>
      </c>
      <c r="C2116" s="226" t="s">
        <v>625</v>
      </c>
      <c r="D2116" s="226" t="s">
        <v>6</v>
      </c>
      <c r="E2116" s="226" t="s">
        <v>620</v>
      </c>
      <c r="F2116" s="226">
        <v>5.0984361589215691E-3</v>
      </c>
      <c r="G2116" s="226">
        <v>0</v>
      </c>
    </row>
    <row r="2117" spans="1:7">
      <c r="A2117" s="226" t="s">
        <v>1244</v>
      </c>
      <c r="B2117" s="226" t="s">
        <v>1235</v>
      </c>
      <c r="C2117" s="226" t="s">
        <v>625</v>
      </c>
      <c r="D2117" s="226" t="s">
        <v>6</v>
      </c>
      <c r="E2117" s="226" t="s">
        <v>660</v>
      </c>
      <c r="F2117" s="226">
        <v>5.0984361589215691E-3</v>
      </c>
      <c r="G2117" s="226">
        <v>0</v>
      </c>
    </row>
    <row r="2118" spans="1:7">
      <c r="A2118" s="226" t="s">
        <v>1244</v>
      </c>
      <c r="B2118" s="226" t="s">
        <v>1235</v>
      </c>
      <c r="C2118" s="226" t="s">
        <v>625</v>
      </c>
      <c r="D2118" s="226" t="s">
        <v>6</v>
      </c>
      <c r="E2118" s="226" t="s">
        <v>661</v>
      </c>
      <c r="F2118" s="226">
        <v>5.0984361589215691E-3</v>
      </c>
      <c r="G2118" s="226">
        <v>0</v>
      </c>
    </row>
    <row r="2119" spans="1:7">
      <c r="A2119" s="226" t="s">
        <v>1244</v>
      </c>
      <c r="B2119" s="226" t="s">
        <v>1235</v>
      </c>
      <c r="C2119" s="226" t="s">
        <v>625</v>
      </c>
      <c r="D2119" s="226" t="s">
        <v>6</v>
      </c>
      <c r="E2119" s="226" t="s">
        <v>662</v>
      </c>
      <c r="F2119" s="226">
        <v>5.0984361589215691E-3</v>
      </c>
      <c r="G2119" s="226">
        <v>0</v>
      </c>
    </row>
    <row r="2120" spans="1:7">
      <c r="A2120" s="226" t="s">
        <v>1244</v>
      </c>
      <c r="B2120" s="226" t="s">
        <v>1235</v>
      </c>
      <c r="C2120" s="226" t="s">
        <v>625</v>
      </c>
      <c r="D2120" s="226" t="s">
        <v>6</v>
      </c>
      <c r="E2120" s="226" t="s">
        <v>663</v>
      </c>
      <c r="F2120" s="226">
        <v>5.0984361589215691E-3</v>
      </c>
      <c r="G2120" s="226">
        <v>0</v>
      </c>
    </row>
    <row r="2121" spans="1:7">
      <c r="A2121" s="226" t="s">
        <v>1244</v>
      </c>
      <c r="B2121" s="226" t="s">
        <v>1235</v>
      </c>
      <c r="C2121" s="226" t="s">
        <v>625</v>
      </c>
      <c r="D2121" s="226" t="s">
        <v>6</v>
      </c>
      <c r="E2121" s="226" t="s">
        <v>664</v>
      </c>
      <c r="F2121" s="226">
        <v>5.0984361589215691E-3</v>
      </c>
      <c r="G2121" s="226">
        <v>0</v>
      </c>
    </row>
    <row r="2122" spans="1:7">
      <c r="A2122" s="226" t="s">
        <v>1244</v>
      </c>
      <c r="B2122" s="226" t="s">
        <v>1235</v>
      </c>
      <c r="C2122" s="226" t="s">
        <v>625</v>
      </c>
      <c r="D2122" s="226" t="s">
        <v>6</v>
      </c>
      <c r="E2122" s="226" t="s">
        <v>665</v>
      </c>
      <c r="F2122" s="226">
        <v>5.0984361589215691E-3</v>
      </c>
      <c r="G2122" s="226">
        <v>0</v>
      </c>
    </row>
    <row r="2123" spans="1:7">
      <c r="A2123" s="226" t="s">
        <v>1244</v>
      </c>
      <c r="B2123" s="226" t="s">
        <v>1235</v>
      </c>
      <c r="C2123" s="226" t="s">
        <v>625</v>
      </c>
      <c r="D2123" s="226" t="s">
        <v>6</v>
      </c>
      <c r="E2123" s="226" t="s">
        <v>666</v>
      </c>
      <c r="F2123" s="226">
        <v>5.0984361589215691E-3</v>
      </c>
      <c r="G2123" s="226">
        <v>0</v>
      </c>
    </row>
    <row r="2124" spans="1:7">
      <c r="A2124" s="226" t="s">
        <v>1244</v>
      </c>
      <c r="B2124" s="226" t="s">
        <v>1235</v>
      </c>
      <c r="C2124" s="226" t="s">
        <v>625</v>
      </c>
      <c r="D2124" s="226" t="s">
        <v>6</v>
      </c>
      <c r="E2124" s="226" t="s">
        <v>667</v>
      </c>
      <c r="F2124" s="226">
        <v>5.0984361589215691E-3</v>
      </c>
      <c r="G2124" s="226">
        <v>0</v>
      </c>
    </row>
    <row r="2125" spans="1:7">
      <c r="A2125" s="226" t="s">
        <v>1244</v>
      </c>
      <c r="B2125" s="226" t="s">
        <v>1235</v>
      </c>
      <c r="C2125" s="226" t="s">
        <v>627</v>
      </c>
      <c r="D2125" s="226" t="s">
        <v>13</v>
      </c>
      <c r="E2125" s="226" t="s">
        <v>618</v>
      </c>
      <c r="F2125" s="226">
        <v>0</v>
      </c>
      <c r="G2125" s="226">
        <v>0</v>
      </c>
    </row>
    <row r="2126" spans="1:7">
      <c r="A2126" s="226" t="s">
        <v>1244</v>
      </c>
      <c r="B2126" s="226" t="s">
        <v>1235</v>
      </c>
      <c r="C2126" s="226" t="s">
        <v>627</v>
      </c>
      <c r="D2126" s="226" t="s">
        <v>13</v>
      </c>
      <c r="E2126" s="226" t="s">
        <v>619</v>
      </c>
      <c r="F2126" s="226">
        <v>2.6304510245505199E-2</v>
      </c>
      <c r="G2126" s="226">
        <v>0</v>
      </c>
    </row>
    <row r="2127" spans="1:7">
      <c r="A2127" s="226" t="s">
        <v>1244</v>
      </c>
      <c r="B2127" s="226" t="s">
        <v>1235</v>
      </c>
      <c r="C2127" s="226" t="s">
        <v>627</v>
      </c>
      <c r="D2127" s="226" t="s">
        <v>13</v>
      </c>
      <c r="E2127" s="226" t="s">
        <v>620</v>
      </c>
      <c r="F2127" s="226">
        <v>2.6304510245505199E-2</v>
      </c>
      <c r="G2127" s="226">
        <v>0</v>
      </c>
    </row>
    <row r="2128" spans="1:7">
      <c r="A2128" s="226" t="s">
        <v>1244</v>
      </c>
      <c r="B2128" s="226" t="s">
        <v>1235</v>
      </c>
      <c r="C2128" s="226" t="s">
        <v>627</v>
      </c>
      <c r="D2128" s="226" t="s">
        <v>13</v>
      </c>
      <c r="E2128" s="226" t="s">
        <v>660</v>
      </c>
      <c r="F2128" s="226">
        <v>2.6304510245505199E-2</v>
      </c>
      <c r="G2128" s="226">
        <v>0</v>
      </c>
    </row>
    <row r="2129" spans="1:7">
      <c r="A2129" s="226" t="s">
        <v>1244</v>
      </c>
      <c r="B2129" s="226" t="s">
        <v>1235</v>
      </c>
      <c r="C2129" s="226" t="s">
        <v>627</v>
      </c>
      <c r="D2129" s="226" t="s">
        <v>13</v>
      </c>
      <c r="E2129" s="226" t="s">
        <v>661</v>
      </c>
      <c r="F2129" s="226">
        <v>2.6304510245505199E-2</v>
      </c>
      <c r="G2129" s="226">
        <v>0</v>
      </c>
    </row>
    <row r="2130" spans="1:7">
      <c r="A2130" s="226" t="s">
        <v>1244</v>
      </c>
      <c r="B2130" s="226" t="s">
        <v>1235</v>
      </c>
      <c r="C2130" s="226" t="s">
        <v>627</v>
      </c>
      <c r="D2130" s="226" t="s">
        <v>13</v>
      </c>
      <c r="E2130" s="226" t="s">
        <v>662</v>
      </c>
      <c r="F2130" s="226">
        <v>2.6304510245505199E-2</v>
      </c>
      <c r="G2130" s="226">
        <v>0</v>
      </c>
    </row>
    <row r="2131" spans="1:7">
      <c r="A2131" s="226" t="s">
        <v>1244</v>
      </c>
      <c r="B2131" s="226" t="s">
        <v>1235</v>
      </c>
      <c r="C2131" s="226" t="s">
        <v>627</v>
      </c>
      <c r="D2131" s="226" t="s">
        <v>13</v>
      </c>
      <c r="E2131" s="226" t="s">
        <v>663</v>
      </c>
      <c r="F2131" s="226">
        <v>2.6304510245505199E-2</v>
      </c>
      <c r="G2131" s="226">
        <v>0</v>
      </c>
    </row>
    <row r="2132" spans="1:7">
      <c r="A2132" s="226" t="s">
        <v>1244</v>
      </c>
      <c r="B2132" s="226" t="s">
        <v>1235</v>
      </c>
      <c r="C2132" s="226" t="s">
        <v>627</v>
      </c>
      <c r="D2132" s="226" t="s">
        <v>13</v>
      </c>
      <c r="E2132" s="226" t="s">
        <v>664</v>
      </c>
      <c r="F2132" s="226">
        <v>2.6304510245505199E-2</v>
      </c>
      <c r="G2132" s="226">
        <v>0</v>
      </c>
    </row>
    <row r="2133" spans="1:7">
      <c r="A2133" s="226" t="s">
        <v>1244</v>
      </c>
      <c r="B2133" s="226" t="s">
        <v>1235</v>
      </c>
      <c r="C2133" s="226" t="s">
        <v>627</v>
      </c>
      <c r="D2133" s="226" t="s">
        <v>13</v>
      </c>
      <c r="E2133" s="226" t="s">
        <v>665</v>
      </c>
      <c r="F2133" s="226">
        <v>2.6304510245505199E-2</v>
      </c>
      <c r="G2133" s="226">
        <v>0</v>
      </c>
    </row>
    <row r="2134" spans="1:7">
      <c r="A2134" s="226" t="s">
        <v>1244</v>
      </c>
      <c r="B2134" s="226" t="s">
        <v>1235</v>
      </c>
      <c r="C2134" s="226" t="s">
        <v>627</v>
      </c>
      <c r="D2134" s="226" t="s">
        <v>13</v>
      </c>
      <c r="E2134" s="226" t="s">
        <v>666</v>
      </c>
      <c r="F2134" s="226">
        <v>2.6304510245505199E-2</v>
      </c>
      <c r="G2134" s="226">
        <v>0</v>
      </c>
    </row>
    <row r="2135" spans="1:7">
      <c r="A2135" s="226" t="s">
        <v>1244</v>
      </c>
      <c r="B2135" s="226" t="s">
        <v>1235</v>
      </c>
      <c r="C2135" s="226" t="s">
        <v>627</v>
      </c>
      <c r="D2135" s="226" t="s">
        <v>13</v>
      </c>
      <c r="E2135" s="226" t="s">
        <v>667</v>
      </c>
      <c r="F2135" s="226">
        <v>2.6304510245505199E-2</v>
      </c>
      <c r="G2135" s="226">
        <v>0</v>
      </c>
    </row>
    <row r="2136" spans="1:7">
      <c r="A2136" s="226" t="s">
        <v>1244</v>
      </c>
      <c r="B2136" s="226" t="s">
        <v>1235</v>
      </c>
      <c r="C2136" s="226" t="s">
        <v>627</v>
      </c>
      <c r="D2136" s="226" t="s">
        <v>15</v>
      </c>
      <c r="E2136" s="226" t="s">
        <v>618</v>
      </c>
      <c r="F2136" s="226">
        <v>0</v>
      </c>
      <c r="G2136" s="226">
        <v>0</v>
      </c>
    </row>
    <row r="2137" spans="1:7">
      <c r="A2137" s="226" t="s">
        <v>1244</v>
      </c>
      <c r="B2137" s="226" t="s">
        <v>1235</v>
      </c>
      <c r="C2137" s="226" t="s">
        <v>627</v>
      </c>
      <c r="D2137" s="226" t="s">
        <v>15</v>
      </c>
      <c r="E2137" s="226" t="s">
        <v>619</v>
      </c>
      <c r="F2137" s="226">
        <v>1.9425362421853373E-2</v>
      </c>
      <c r="G2137" s="226">
        <v>0</v>
      </c>
    </row>
    <row r="2138" spans="1:7">
      <c r="A2138" s="226" t="s">
        <v>1244</v>
      </c>
      <c r="B2138" s="226" t="s">
        <v>1235</v>
      </c>
      <c r="C2138" s="226" t="s">
        <v>627</v>
      </c>
      <c r="D2138" s="226" t="s">
        <v>15</v>
      </c>
      <c r="E2138" s="226" t="s">
        <v>620</v>
      </c>
      <c r="F2138" s="226">
        <v>1.9425362421853373E-2</v>
      </c>
      <c r="G2138" s="226">
        <v>0</v>
      </c>
    </row>
    <row r="2139" spans="1:7">
      <c r="A2139" s="226" t="s">
        <v>1244</v>
      </c>
      <c r="B2139" s="226" t="s">
        <v>1235</v>
      </c>
      <c r="C2139" s="226" t="s">
        <v>627</v>
      </c>
      <c r="D2139" s="226" t="s">
        <v>15</v>
      </c>
      <c r="E2139" s="226" t="s">
        <v>660</v>
      </c>
      <c r="F2139" s="226">
        <v>1.9425362421853373E-2</v>
      </c>
      <c r="G2139" s="226">
        <v>0</v>
      </c>
    </row>
    <row r="2140" spans="1:7">
      <c r="A2140" s="226" t="s">
        <v>1244</v>
      </c>
      <c r="B2140" s="226" t="s">
        <v>1235</v>
      </c>
      <c r="C2140" s="226" t="s">
        <v>627</v>
      </c>
      <c r="D2140" s="226" t="s">
        <v>15</v>
      </c>
      <c r="E2140" s="226" t="s">
        <v>661</v>
      </c>
      <c r="F2140" s="226">
        <v>1.9425362421853373E-2</v>
      </c>
      <c r="G2140" s="226">
        <v>0</v>
      </c>
    </row>
    <row r="2141" spans="1:7">
      <c r="A2141" s="226" t="s">
        <v>1244</v>
      </c>
      <c r="B2141" s="226" t="s">
        <v>1235</v>
      </c>
      <c r="C2141" s="226" t="s">
        <v>627</v>
      </c>
      <c r="D2141" s="226" t="s">
        <v>15</v>
      </c>
      <c r="E2141" s="226" t="s">
        <v>662</v>
      </c>
      <c r="F2141" s="226">
        <v>1.9425362421853373E-2</v>
      </c>
      <c r="G2141" s="226">
        <v>0</v>
      </c>
    </row>
    <row r="2142" spans="1:7">
      <c r="A2142" s="226" t="s">
        <v>1244</v>
      </c>
      <c r="B2142" s="226" t="s">
        <v>1235</v>
      </c>
      <c r="C2142" s="226" t="s">
        <v>627</v>
      </c>
      <c r="D2142" s="226" t="s">
        <v>15</v>
      </c>
      <c r="E2142" s="226" t="s">
        <v>663</v>
      </c>
      <c r="F2142" s="226">
        <v>1.9425362421853373E-2</v>
      </c>
      <c r="G2142" s="226">
        <v>0</v>
      </c>
    </row>
    <row r="2143" spans="1:7">
      <c r="A2143" s="226" t="s">
        <v>1244</v>
      </c>
      <c r="B2143" s="226" t="s">
        <v>1235</v>
      </c>
      <c r="C2143" s="226" t="s">
        <v>627</v>
      </c>
      <c r="D2143" s="226" t="s">
        <v>15</v>
      </c>
      <c r="E2143" s="226" t="s">
        <v>664</v>
      </c>
      <c r="F2143" s="226">
        <v>1.9425362421853373E-2</v>
      </c>
      <c r="G2143" s="226">
        <v>0</v>
      </c>
    </row>
    <row r="2144" spans="1:7">
      <c r="A2144" s="226" t="s">
        <v>1244</v>
      </c>
      <c r="B2144" s="226" t="s">
        <v>1235</v>
      </c>
      <c r="C2144" s="226" t="s">
        <v>627</v>
      </c>
      <c r="D2144" s="226" t="s">
        <v>15</v>
      </c>
      <c r="E2144" s="226" t="s">
        <v>665</v>
      </c>
      <c r="F2144" s="226">
        <v>1.9425362421853373E-2</v>
      </c>
      <c r="G2144" s="226">
        <v>0</v>
      </c>
    </row>
    <row r="2145" spans="1:7">
      <c r="A2145" s="226" t="s">
        <v>1244</v>
      </c>
      <c r="B2145" s="226" t="s">
        <v>1235</v>
      </c>
      <c r="C2145" s="226" t="s">
        <v>627</v>
      </c>
      <c r="D2145" s="226" t="s">
        <v>15</v>
      </c>
      <c r="E2145" s="226" t="s">
        <v>666</v>
      </c>
      <c r="F2145" s="226">
        <v>1.9425362421853373E-2</v>
      </c>
      <c r="G2145" s="226">
        <v>0</v>
      </c>
    </row>
    <row r="2146" spans="1:7">
      <c r="A2146" s="226" t="s">
        <v>1244</v>
      </c>
      <c r="B2146" s="226" t="s">
        <v>1235</v>
      </c>
      <c r="C2146" s="226" t="s">
        <v>627</v>
      </c>
      <c r="D2146" s="226" t="s">
        <v>15</v>
      </c>
      <c r="E2146" s="226" t="s">
        <v>667</v>
      </c>
      <c r="F2146" s="226">
        <v>1.9425362421853373E-2</v>
      </c>
      <c r="G2146" s="226">
        <v>0</v>
      </c>
    </row>
    <row r="2147" spans="1:7">
      <c r="A2147" s="226" t="s">
        <v>1244</v>
      </c>
      <c r="B2147" s="226" t="s">
        <v>1235</v>
      </c>
      <c r="C2147" s="226" t="s">
        <v>625</v>
      </c>
      <c r="D2147" s="226" t="s">
        <v>0</v>
      </c>
      <c r="E2147" s="226" t="s">
        <v>618</v>
      </c>
      <c r="F2147" s="226">
        <v>2.4E-2</v>
      </c>
      <c r="G2147" s="226">
        <v>2.4E-2</v>
      </c>
    </row>
    <row r="2148" spans="1:7">
      <c r="A2148" s="226" t="s">
        <v>1244</v>
      </c>
      <c r="B2148" s="226" t="s">
        <v>1235</v>
      </c>
      <c r="C2148" s="226" t="s">
        <v>625</v>
      </c>
      <c r="D2148" s="226" t="s">
        <v>0</v>
      </c>
      <c r="E2148" s="226" t="s">
        <v>619</v>
      </c>
      <c r="F2148" s="226">
        <v>5.3656497940851736E-3</v>
      </c>
      <c r="G2148" s="226">
        <v>0</v>
      </c>
    </row>
    <row r="2149" spans="1:7">
      <c r="A2149" s="226" t="s">
        <v>1244</v>
      </c>
      <c r="B2149" s="226" t="s">
        <v>1235</v>
      </c>
      <c r="C2149" s="226" t="s">
        <v>625</v>
      </c>
      <c r="D2149" s="226" t="s">
        <v>0</v>
      </c>
      <c r="E2149" s="226" t="s">
        <v>620</v>
      </c>
      <c r="F2149" s="226">
        <v>5.3656497940851736E-3</v>
      </c>
      <c r="G2149" s="226">
        <v>0</v>
      </c>
    </row>
    <row r="2150" spans="1:7">
      <c r="A2150" s="226" t="s">
        <v>1244</v>
      </c>
      <c r="B2150" s="226" t="s">
        <v>1235</v>
      </c>
      <c r="C2150" s="226" t="s">
        <v>625</v>
      </c>
      <c r="D2150" s="226" t="s">
        <v>0</v>
      </c>
      <c r="E2150" s="226" t="s">
        <v>660</v>
      </c>
      <c r="F2150" s="226">
        <v>5.3656497940851736E-3</v>
      </c>
      <c r="G2150" s="226">
        <v>0</v>
      </c>
    </row>
    <row r="2151" spans="1:7">
      <c r="A2151" s="226" t="s">
        <v>1244</v>
      </c>
      <c r="B2151" s="226" t="s">
        <v>1235</v>
      </c>
      <c r="C2151" s="226" t="s">
        <v>625</v>
      </c>
      <c r="D2151" s="226" t="s">
        <v>0</v>
      </c>
      <c r="E2151" s="226" t="s">
        <v>661</v>
      </c>
      <c r="F2151" s="226">
        <v>5.3656497940851736E-3</v>
      </c>
      <c r="G2151" s="226">
        <v>0</v>
      </c>
    </row>
    <row r="2152" spans="1:7">
      <c r="A2152" s="226" t="s">
        <v>1244</v>
      </c>
      <c r="B2152" s="226" t="s">
        <v>1235</v>
      </c>
      <c r="C2152" s="226" t="s">
        <v>625</v>
      </c>
      <c r="D2152" s="226" t="s">
        <v>0</v>
      </c>
      <c r="E2152" s="226" t="s">
        <v>662</v>
      </c>
      <c r="F2152" s="226">
        <v>5.3656497940851736E-3</v>
      </c>
      <c r="G2152" s="226">
        <v>0</v>
      </c>
    </row>
    <row r="2153" spans="1:7">
      <c r="A2153" s="226" t="s">
        <v>1244</v>
      </c>
      <c r="B2153" s="226" t="s">
        <v>1235</v>
      </c>
      <c r="C2153" s="226" t="s">
        <v>625</v>
      </c>
      <c r="D2153" s="226" t="s">
        <v>0</v>
      </c>
      <c r="E2153" s="226" t="s">
        <v>663</v>
      </c>
      <c r="F2153" s="226">
        <v>5.3656497940851736E-3</v>
      </c>
      <c r="G2153" s="226">
        <v>0</v>
      </c>
    </row>
    <row r="2154" spans="1:7">
      <c r="A2154" s="226" t="s">
        <v>1244</v>
      </c>
      <c r="B2154" s="226" t="s">
        <v>1235</v>
      </c>
      <c r="C2154" s="226" t="s">
        <v>625</v>
      </c>
      <c r="D2154" s="226" t="s">
        <v>0</v>
      </c>
      <c r="E2154" s="226" t="s">
        <v>664</v>
      </c>
      <c r="F2154" s="226">
        <v>5.3656497940851736E-3</v>
      </c>
      <c r="G2154" s="226">
        <v>0</v>
      </c>
    </row>
    <row r="2155" spans="1:7">
      <c r="A2155" s="226" t="s">
        <v>1244</v>
      </c>
      <c r="B2155" s="226" t="s">
        <v>1235</v>
      </c>
      <c r="C2155" s="226" t="s">
        <v>625</v>
      </c>
      <c r="D2155" s="226" t="s">
        <v>0</v>
      </c>
      <c r="E2155" s="226" t="s">
        <v>665</v>
      </c>
      <c r="F2155" s="226">
        <v>5.3656497940851736E-3</v>
      </c>
      <c r="G2155" s="226">
        <v>0</v>
      </c>
    </row>
    <row r="2156" spans="1:7">
      <c r="A2156" s="226" t="s">
        <v>1244</v>
      </c>
      <c r="B2156" s="226" t="s">
        <v>1235</v>
      </c>
      <c r="C2156" s="226" t="s">
        <v>625</v>
      </c>
      <c r="D2156" s="226" t="s">
        <v>0</v>
      </c>
      <c r="E2156" s="226" t="s">
        <v>666</v>
      </c>
      <c r="F2156" s="226">
        <v>5.3656497940851736E-3</v>
      </c>
      <c r="G2156" s="226">
        <v>0</v>
      </c>
    </row>
    <row r="2157" spans="1:7">
      <c r="A2157" s="226" t="s">
        <v>1244</v>
      </c>
      <c r="B2157" s="226" t="s">
        <v>1235</v>
      </c>
      <c r="C2157" s="226" t="s">
        <v>625</v>
      </c>
      <c r="D2157" s="226" t="s">
        <v>0</v>
      </c>
      <c r="E2157" s="226" t="s">
        <v>667</v>
      </c>
      <c r="F2157" s="226">
        <v>5.3656497940851736E-3</v>
      </c>
      <c r="G2157" s="226">
        <v>0</v>
      </c>
    </row>
    <row r="2158" spans="1:7">
      <c r="A2158" s="226" t="s">
        <v>1244</v>
      </c>
      <c r="B2158" s="226" t="s">
        <v>1235</v>
      </c>
      <c r="C2158" s="226" t="s">
        <v>625</v>
      </c>
      <c r="D2158" s="226" t="s">
        <v>4</v>
      </c>
      <c r="E2158" s="226" t="s">
        <v>618</v>
      </c>
      <c r="F2158" s="226">
        <v>0</v>
      </c>
      <c r="G2158" s="226">
        <v>0</v>
      </c>
    </row>
    <row r="2159" spans="1:7">
      <c r="A2159" s="226" t="s">
        <v>1244</v>
      </c>
      <c r="B2159" s="226" t="s">
        <v>1235</v>
      </c>
      <c r="C2159" s="226" t="s">
        <v>625</v>
      </c>
      <c r="D2159" s="226" t="s">
        <v>4</v>
      </c>
      <c r="E2159" s="226" t="s">
        <v>619</v>
      </c>
      <c r="F2159" s="226">
        <v>4.5815381030610933E-2</v>
      </c>
      <c r="G2159" s="226">
        <v>0</v>
      </c>
    </row>
    <row r="2160" spans="1:7">
      <c r="A2160" s="226" t="s">
        <v>1244</v>
      </c>
      <c r="B2160" s="226" t="s">
        <v>1235</v>
      </c>
      <c r="C2160" s="226" t="s">
        <v>625</v>
      </c>
      <c r="D2160" s="226" t="s">
        <v>4</v>
      </c>
      <c r="E2160" s="226" t="s">
        <v>620</v>
      </c>
      <c r="F2160" s="226">
        <v>4.5815381030610933E-2</v>
      </c>
      <c r="G2160" s="226">
        <v>0</v>
      </c>
    </row>
    <row r="2161" spans="1:7">
      <c r="A2161" s="226" t="s">
        <v>1244</v>
      </c>
      <c r="B2161" s="226" t="s">
        <v>1235</v>
      </c>
      <c r="C2161" s="226" t="s">
        <v>625</v>
      </c>
      <c r="D2161" s="226" t="s">
        <v>4</v>
      </c>
      <c r="E2161" s="226" t="s">
        <v>660</v>
      </c>
      <c r="F2161" s="226">
        <v>4.5815381030610933E-2</v>
      </c>
      <c r="G2161" s="226">
        <v>0</v>
      </c>
    </row>
    <row r="2162" spans="1:7">
      <c r="A2162" s="226" t="s">
        <v>1244</v>
      </c>
      <c r="B2162" s="226" t="s">
        <v>1235</v>
      </c>
      <c r="C2162" s="226" t="s">
        <v>625</v>
      </c>
      <c r="D2162" s="226" t="s">
        <v>4</v>
      </c>
      <c r="E2162" s="226" t="s">
        <v>661</v>
      </c>
      <c r="F2162" s="226">
        <v>4.5815381030610933E-2</v>
      </c>
      <c r="G2162" s="226">
        <v>0</v>
      </c>
    </row>
    <row r="2163" spans="1:7">
      <c r="A2163" s="226" t="s">
        <v>1244</v>
      </c>
      <c r="B2163" s="226" t="s">
        <v>1235</v>
      </c>
      <c r="C2163" s="226" t="s">
        <v>625</v>
      </c>
      <c r="D2163" s="226" t="s">
        <v>4</v>
      </c>
      <c r="E2163" s="226" t="s">
        <v>662</v>
      </c>
      <c r="F2163" s="226">
        <v>4.5815381030610933E-2</v>
      </c>
      <c r="G2163" s="226">
        <v>0</v>
      </c>
    </row>
    <row r="2164" spans="1:7">
      <c r="A2164" s="226" t="s">
        <v>1244</v>
      </c>
      <c r="B2164" s="226" t="s">
        <v>1235</v>
      </c>
      <c r="C2164" s="226" t="s">
        <v>625</v>
      </c>
      <c r="D2164" s="226" t="s">
        <v>4</v>
      </c>
      <c r="E2164" s="226" t="s">
        <v>663</v>
      </c>
      <c r="F2164" s="226">
        <v>4.5815381030610933E-2</v>
      </c>
      <c r="G2164" s="226">
        <v>0</v>
      </c>
    </row>
    <row r="2165" spans="1:7">
      <c r="A2165" s="226" t="s">
        <v>1244</v>
      </c>
      <c r="B2165" s="226" t="s">
        <v>1235</v>
      </c>
      <c r="C2165" s="226" t="s">
        <v>625</v>
      </c>
      <c r="D2165" s="226" t="s">
        <v>4</v>
      </c>
      <c r="E2165" s="226" t="s">
        <v>664</v>
      </c>
      <c r="F2165" s="226">
        <v>4.5815381030610933E-2</v>
      </c>
      <c r="G2165" s="226">
        <v>0</v>
      </c>
    </row>
    <row r="2166" spans="1:7">
      <c r="A2166" s="226" t="s">
        <v>1244</v>
      </c>
      <c r="B2166" s="226" t="s">
        <v>1235</v>
      </c>
      <c r="C2166" s="226" t="s">
        <v>625</v>
      </c>
      <c r="D2166" s="226" t="s">
        <v>4</v>
      </c>
      <c r="E2166" s="226" t="s">
        <v>665</v>
      </c>
      <c r="F2166" s="226">
        <v>4.5815381030610933E-2</v>
      </c>
      <c r="G2166" s="226">
        <v>0</v>
      </c>
    </row>
    <row r="2167" spans="1:7">
      <c r="A2167" s="226" t="s">
        <v>1244</v>
      </c>
      <c r="B2167" s="226" t="s">
        <v>1235</v>
      </c>
      <c r="C2167" s="226" t="s">
        <v>625</v>
      </c>
      <c r="D2167" s="226" t="s">
        <v>4</v>
      </c>
      <c r="E2167" s="226" t="s">
        <v>666</v>
      </c>
      <c r="F2167" s="226">
        <v>4.5815381030610933E-2</v>
      </c>
      <c r="G2167" s="226">
        <v>0</v>
      </c>
    </row>
    <row r="2168" spans="1:7">
      <c r="A2168" s="226" t="s">
        <v>1244</v>
      </c>
      <c r="B2168" s="226" t="s">
        <v>1235</v>
      </c>
      <c r="C2168" s="226" t="s">
        <v>625</v>
      </c>
      <c r="D2168" s="226" t="s">
        <v>4</v>
      </c>
      <c r="E2168" s="226" t="s">
        <v>667</v>
      </c>
      <c r="F2168" s="226">
        <v>4.5815381030610933E-2</v>
      </c>
      <c r="G2168" s="226">
        <v>0</v>
      </c>
    </row>
    <row r="2169" spans="1:7">
      <c r="A2169" s="226" t="s">
        <v>1244</v>
      </c>
      <c r="B2169" s="226" t="s">
        <v>1235</v>
      </c>
      <c r="C2169" s="226" t="s">
        <v>963</v>
      </c>
      <c r="D2169" s="226" t="s">
        <v>17</v>
      </c>
      <c r="E2169" s="226" t="s">
        <v>618</v>
      </c>
      <c r="F2169" s="226">
        <v>0</v>
      </c>
      <c r="G2169" s="226">
        <v>0</v>
      </c>
    </row>
    <row r="2170" spans="1:7">
      <c r="A2170" s="226" t="s">
        <v>1244</v>
      </c>
      <c r="B2170" s="226" t="s">
        <v>1235</v>
      </c>
      <c r="C2170" s="226" t="s">
        <v>963</v>
      </c>
      <c r="D2170" s="226" t="s">
        <v>17</v>
      </c>
      <c r="E2170" s="226" t="s">
        <v>619</v>
      </c>
      <c r="F2170" s="226">
        <v>2.1056434450892014E-2</v>
      </c>
      <c r="G2170" s="226">
        <v>0</v>
      </c>
    </row>
    <row r="2171" spans="1:7">
      <c r="A2171" s="226" t="s">
        <v>1244</v>
      </c>
      <c r="B2171" s="226" t="s">
        <v>1235</v>
      </c>
      <c r="C2171" s="226" t="s">
        <v>963</v>
      </c>
      <c r="D2171" s="226" t="s">
        <v>17</v>
      </c>
      <c r="E2171" s="226" t="s">
        <v>620</v>
      </c>
      <c r="F2171" s="226">
        <v>2.1056434450892014E-2</v>
      </c>
      <c r="G2171" s="226">
        <v>0</v>
      </c>
    </row>
    <row r="2172" spans="1:7">
      <c r="A2172" s="226" t="s">
        <v>1244</v>
      </c>
      <c r="B2172" s="226" t="s">
        <v>1235</v>
      </c>
      <c r="C2172" s="226" t="s">
        <v>963</v>
      </c>
      <c r="D2172" s="226" t="s">
        <v>17</v>
      </c>
      <c r="E2172" s="226" t="s">
        <v>660</v>
      </c>
      <c r="F2172" s="226">
        <v>2.1056434450892014E-2</v>
      </c>
      <c r="G2172" s="226">
        <v>0</v>
      </c>
    </row>
    <row r="2173" spans="1:7">
      <c r="A2173" s="226" t="s">
        <v>1244</v>
      </c>
      <c r="B2173" s="226" t="s">
        <v>1235</v>
      </c>
      <c r="C2173" s="226" t="s">
        <v>963</v>
      </c>
      <c r="D2173" s="226" t="s">
        <v>17</v>
      </c>
      <c r="E2173" s="226" t="s">
        <v>661</v>
      </c>
      <c r="F2173" s="226">
        <v>2.1056434450892014E-2</v>
      </c>
      <c r="G2173" s="226">
        <v>0</v>
      </c>
    </row>
    <row r="2174" spans="1:7">
      <c r="A2174" s="226" t="s">
        <v>1244</v>
      </c>
      <c r="B2174" s="226" t="s">
        <v>1235</v>
      </c>
      <c r="C2174" s="226" t="s">
        <v>963</v>
      </c>
      <c r="D2174" s="226" t="s">
        <v>17</v>
      </c>
      <c r="E2174" s="226" t="s">
        <v>662</v>
      </c>
      <c r="F2174" s="226">
        <v>2.1056434450892014E-2</v>
      </c>
      <c r="G2174" s="226">
        <v>0</v>
      </c>
    </row>
    <row r="2175" spans="1:7">
      <c r="A2175" s="226" t="s">
        <v>1244</v>
      </c>
      <c r="B2175" s="226" t="s">
        <v>1235</v>
      </c>
      <c r="C2175" s="226" t="s">
        <v>963</v>
      </c>
      <c r="D2175" s="226" t="s">
        <v>17</v>
      </c>
      <c r="E2175" s="226" t="s">
        <v>663</v>
      </c>
      <c r="F2175" s="226">
        <v>2.1056434450892014E-2</v>
      </c>
      <c r="G2175" s="226">
        <v>0</v>
      </c>
    </row>
    <row r="2176" spans="1:7">
      <c r="A2176" s="226" t="s">
        <v>1244</v>
      </c>
      <c r="B2176" s="226" t="s">
        <v>1235</v>
      </c>
      <c r="C2176" s="226" t="s">
        <v>963</v>
      </c>
      <c r="D2176" s="226" t="s">
        <v>17</v>
      </c>
      <c r="E2176" s="226" t="s">
        <v>664</v>
      </c>
      <c r="F2176" s="226">
        <v>2.1056434450892014E-2</v>
      </c>
      <c r="G2176" s="226">
        <v>0</v>
      </c>
    </row>
    <row r="2177" spans="1:7">
      <c r="A2177" s="226" t="s">
        <v>1244</v>
      </c>
      <c r="B2177" s="226" t="s">
        <v>1235</v>
      </c>
      <c r="C2177" s="226" t="s">
        <v>963</v>
      </c>
      <c r="D2177" s="226" t="s">
        <v>17</v>
      </c>
      <c r="E2177" s="226" t="s">
        <v>665</v>
      </c>
      <c r="F2177" s="226">
        <v>2.1056434450892014E-2</v>
      </c>
      <c r="G2177" s="226">
        <v>0</v>
      </c>
    </row>
    <row r="2178" spans="1:7">
      <c r="A2178" s="226" t="s">
        <v>1244</v>
      </c>
      <c r="B2178" s="226" t="s">
        <v>1235</v>
      </c>
      <c r="C2178" s="226" t="s">
        <v>963</v>
      </c>
      <c r="D2178" s="226" t="s">
        <v>17</v>
      </c>
      <c r="E2178" s="226" t="s">
        <v>666</v>
      </c>
      <c r="F2178" s="226">
        <v>2.1056434450892014E-2</v>
      </c>
      <c r="G2178" s="226">
        <v>0</v>
      </c>
    </row>
    <row r="2179" spans="1:7">
      <c r="A2179" s="226" t="s">
        <v>1244</v>
      </c>
      <c r="B2179" s="226" t="s">
        <v>1235</v>
      </c>
      <c r="C2179" s="226" t="s">
        <v>963</v>
      </c>
      <c r="D2179" s="226" t="s">
        <v>17</v>
      </c>
      <c r="E2179" s="226" t="s">
        <v>667</v>
      </c>
      <c r="F2179" s="226">
        <v>2.1056434450892014E-2</v>
      </c>
      <c r="G2179" s="226">
        <v>0</v>
      </c>
    </row>
    <row r="2180" spans="1:7">
      <c r="A2180" s="226" t="s">
        <v>1244</v>
      </c>
      <c r="B2180" s="226" t="s">
        <v>1235</v>
      </c>
      <c r="C2180" s="226" t="s">
        <v>626</v>
      </c>
      <c r="D2180" s="226" t="s">
        <v>92</v>
      </c>
      <c r="E2180" s="226" t="s">
        <v>618</v>
      </c>
      <c r="F2180" s="226">
        <v>0</v>
      </c>
      <c r="G2180" s="226">
        <v>0</v>
      </c>
    </row>
    <row r="2181" spans="1:7">
      <c r="A2181" s="226" t="s">
        <v>1244</v>
      </c>
      <c r="B2181" s="226" t="s">
        <v>1235</v>
      </c>
      <c r="C2181" s="226" t="s">
        <v>626</v>
      </c>
      <c r="D2181" s="226" t="s">
        <v>92</v>
      </c>
      <c r="E2181" s="226" t="s">
        <v>619</v>
      </c>
      <c r="F2181" s="226">
        <v>0</v>
      </c>
      <c r="G2181" s="226">
        <v>0</v>
      </c>
    </row>
    <row r="2182" spans="1:7">
      <c r="A2182" s="226" t="s">
        <v>1244</v>
      </c>
      <c r="B2182" s="226" t="s">
        <v>1235</v>
      </c>
      <c r="C2182" s="226" t="s">
        <v>626</v>
      </c>
      <c r="D2182" s="226" t="s">
        <v>92</v>
      </c>
      <c r="E2182" s="226" t="s">
        <v>620</v>
      </c>
      <c r="F2182" s="226">
        <v>0</v>
      </c>
      <c r="G2182" s="226">
        <v>0</v>
      </c>
    </row>
    <row r="2183" spans="1:7">
      <c r="A2183" s="226" t="s">
        <v>1244</v>
      </c>
      <c r="B2183" s="226" t="s">
        <v>1235</v>
      </c>
      <c r="C2183" s="226" t="s">
        <v>626</v>
      </c>
      <c r="D2183" s="226" t="s">
        <v>92</v>
      </c>
      <c r="E2183" s="226" t="s">
        <v>660</v>
      </c>
      <c r="F2183" s="226">
        <v>0</v>
      </c>
      <c r="G2183" s="226">
        <v>0</v>
      </c>
    </row>
    <row r="2184" spans="1:7">
      <c r="A2184" s="226" t="s">
        <v>1244</v>
      </c>
      <c r="B2184" s="226" t="s">
        <v>1235</v>
      </c>
      <c r="C2184" s="226" t="s">
        <v>626</v>
      </c>
      <c r="D2184" s="226" t="s">
        <v>92</v>
      </c>
      <c r="E2184" s="226" t="s">
        <v>661</v>
      </c>
      <c r="F2184" s="226">
        <v>0</v>
      </c>
      <c r="G2184" s="226">
        <v>0</v>
      </c>
    </row>
    <row r="2185" spans="1:7">
      <c r="A2185" s="226" t="s">
        <v>1244</v>
      </c>
      <c r="B2185" s="226" t="s">
        <v>1235</v>
      </c>
      <c r="C2185" s="226" t="s">
        <v>626</v>
      </c>
      <c r="D2185" s="226" t="s">
        <v>92</v>
      </c>
      <c r="E2185" s="226" t="s">
        <v>662</v>
      </c>
      <c r="F2185" s="226">
        <v>0</v>
      </c>
      <c r="G2185" s="226">
        <v>0</v>
      </c>
    </row>
    <row r="2186" spans="1:7">
      <c r="A2186" s="226" t="s">
        <v>1244</v>
      </c>
      <c r="B2186" s="226" t="s">
        <v>1235</v>
      </c>
      <c r="C2186" s="226" t="s">
        <v>626</v>
      </c>
      <c r="D2186" s="226" t="s">
        <v>92</v>
      </c>
      <c r="E2186" s="226" t="s">
        <v>663</v>
      </c>
      <c r="F2186" s="226">
        <v>0</v>
      </c>
      <c r="G2186" s="226">
        <v>0</v>
      </c>
    </row>
    <row r="2187" spans="1:7">
      <c r="A2187" s="226" t="s">
        <v>1244</v>
      </c>
      <c r="B2187" s="226" t="s">
        <v>1235</v>
      </c>
      <c r="C2187" s="226" t="s">
        <v>626</v>
      </c>
      <c r="D2187" s="226" t="s">
        <v>92</v>
      </c>
      <c r="E2187" s="226" t="s">
        <v>664</v>
      </c>
      <c r="F2187" s="226">
        <v>0</v>
      </c>
      <c r="G2187" s="226">
        <v>0</v>
      </c>
    </row>
    <row r="2188" spans="1:7">
      <c r="A2188" s="226" t="s">
        <v>1244</v>
      </c>
      <c r="B2188" s="226" t="s">
        <v>1235</v>
      </c>
      <c r="C2188" s="226" t="s">
        <v>626</v>
      </c>
      <c r="D2188" s="226" t="s">
        <v>92</v>
      </c>
      <c r="E2188" s="226" t="s">
        <v>665</v>
      </c>
      <c r="F2188" s="226">
        <v>0</v>
      </c>
      <c r="G2188" s="226">
        <v>0</v>
      </c>
    </row>
    <row r="2189" spans="1:7">
      <c r="A2189" s="226" t="s">
        <v>1244</v>
      </c>
      <c r="B2189" s="226" t="s">
        <v>1235</v>
      </c>
      <c r="C2189" s="226" t="s">
        <v>626</v>
      </c>
      <c r="D2189" s="226" t="s">
        <v>92</v>
      </c>
      <c r="E2189" s="226" t="s">
        <v>666</v>
      </c>
      <c r="F2189" s="226">
        <v>0</v>
      </c>
      <c r="G2189" s="226">
        <v>0</v>
      </c>
    </row>
    <row r="2190" spans="1:7">
      <c r="A2190" s="226" t="s">
        <v>1244</v>
      </c>
      <c r="B2190" s="226" t="s">
        <v>1235</v>
      </c>
      <c r="C2190" s="226" t="s">
        <v>626</v>
      </c>
      <c r="D2190" s="226" t="s">
        <v>92</v>
      </c>
      <c r="E2190" s="226" t="s">
        <v>667</v>
      </c>
      <c r="F2190" s="226">
        <v>0</v>
      </c>
      <c r="G2190" s="226">
        <v>0</v>
      </c>
    </row>
    <row r="2191" spans="1:7">
      <c r="A2191" s="226" t="s">
        <v>1244</v>
      </c>
      <c r="B2191" s="226" t="s">
        <v>1235</v>
      </c>
      <c r="C2191" s="226" t="s">
        <v>625</v>
      </c>
      <c r="D2191" s="226" t="s">
        <v>93</v>
      </c>
      <c r="E2191" s="226" t="s">
        <v>618</v>
      </c>
      <c r="F2191" s="226">
        <v>0</v>
      </c>
      <c r="G2191" s="226">
        <v>0</v>
      </c>
    </row>
    <row r="2192" spans="1:7">
      <c r="A2192" s="226" t="s">
        <v>1244</v>
      </c>
      <c r="B2192" s="226" t="s">
        <v>1235</v>
      </c>
      <c r="C2192" s="226" t="s">
        <v>625</v>
      </c>
      <c r="D2192" s="226" t="s">
        <v>93</v>
      </c>
      <c r="E2192" s="226" t="s">
        <v>619</v>
      </c>
      <c r="F2192" s="226">
        <v>0</v>
      </c>
      <c r="G2192" s="226">
        <v>0</v>
      </c>
    </row>
    <row r="2193" spans="1:7">
      <c r="A2193" s="226" t="s">
        <v>1244</v>
      </c>
      <c r="B2193" s="226" t="s">
        <v>1235</v>
      </c>
      <c r="C2193" s="226" t="s">
        <v>625</v>
      </c>
      <c r="D2193" s="226" t="s">
        <v>93</v>
      </c>
      <c r="E2193" s="226" t="s">
        <v>620</v>
      </c>
      <c r="F2193" s="226">
        <v>0</v>
      </c>
      <c r="G2193" s="226">
        <v>0</v>
      </c>
    </row>
    <row r="2194" spans="1:7">
      <c r="A2194" s="226" t="s">
        <v>1244</v>
      </c>
      <c r="B2194" s="226" t="s">
        <v>1235</v>
      </c>
      <c r="C2194" s="226" t="s">
        <v>625</v>
      </c>
      <c r="D2194" s="226" t="s">
        <v>93</v>
      </c>
      <c r="E2194" s="226" t="s">
        <v>660</v>
      </c>
      <c r="F2194" s="226">
        <v>0</v>
      </c>
      <c r="G2194" s="226">
        <v>0</v>
      </c>
    </row>
    <row r="2195" spans="1:7">
      <c r="A2195" s="226" t="s">
        <v>1244</v>
      </c>
      <c r="B2195" s="226" t="s">
        <v>1235</v>
      </c>
      <c r="C2195" s="226" t="s">
        <v>625</v>
      </c>
      <c r="D2195" s="226" t="s">
        <v>93</v>
      </c>
      <c r="E2195" s="226" t="s">
        <v>661</v>
      </c>
      <c r="F2195" s="226">
        <v>0</v>
      </c>
      <c r="G2195" s="226">
        <v>0</v>
      </c>
    </row>
    <row r="2196" spans="1:7">
      <c r="A2196" s="226" t="s">
        <v>1244</v>
      </c>
      <c r="B2196" s="226" t="s">
        <v>1235</v>
      </c>
      <c r="C2196" s="226" t="s">
        <v>625</v>
      </c>
      <c r="D2196" s="226" t="s">
        <v>93</v>
      </c>
      <c r="E2196" s="226" t="s">
        <v>662</v>
      </c>
      <c r="F2196" s="226">
        <v>0</v>
      </c>
      <c r="G2196" s="226">
        <v>0</v>
      </c>
    </row>
    <row r="2197" spans="1:7">
      <c r="A2197" s="226" t="s">
        <v>1244</v>
      </c>
      <c r="B2197" s="226" t="s">
        <v>1235</v>
      </c>
      <c r="C2197" s="226" t="s">
        <v>625</v>
      </c>
      <c r="D2197" s="226" t="s">
        <v>93</v>
      </c>
      <c r="E2197" s="226" t="s">
        <v>663</v>
      </c>
      <c r="F2197" s="226">
        <v>0</v>
      </c>
      <c r="G2197" s="226">
        <v>0</v>
      </c>
    </row>
    <row r="2198" spans="1:7">
      <c r="A2198" s="226" t="s">
        <v>1244</v>
      </c>
      <c r="B2198" s="226" t="s">
        <v>1235</v>
      </c>
      <c r="C2198" s="226" t="s">
        <v>625</v>
      </c>
      <c r="D2198" s="226" t="s">
        <v>93</v>
      </c>
      <c r="E2198" s="226" t="s">
        <v>664</v>
      </c>
      <c r="F2198" s="226">
        <v>0</v>
      </c>
      <c r="G2198" s="226">
        <v>0</v>
      </c>
    </row>
    <row r="2199" spans="1:7">
      <c r="A2199" s="226" t="s">
        <v>1244</v>
      </c>
      <c r="B2199" s="226" t="s">
        <v>1235</v>
      </c>
      <c r="C2199" s="226" t="s">
        <v>625</v>
      </c>
      <c r="D2199" s="226" t="s">
        <v>93</v>
      </c>
      <c r="E2199" s="226" t="s">
        <v>665</v>
      </c>
      <c r="F2199" s="226">
        <v>0</v>
      </c>
      <c r="G2199" s="226">
        <v>0</v>
      </c>
    </row>
    <row r="2200" spans="1:7">
      <c r="A2200" s="226" t="s">
        <v>1244</v>
      </c>
      <c r="B2200" s="226" t="s">
        <v>1235</v>
      </c>
      <c r="C2200" s="226" t="s">
        <v>625</v>
      </c>
      <c r="D2200" s="226" t="s">
        <v>93</v>
      </c>
      <c r="E2200" s="226" t="s">
        <v>666</v>
      </c>
      <c r="F2200" s="226">
        <v>0</v>
      </c>
      <c r="G2200" s="226">
        <v>0</v>
      </c>
    </row>
    <row r="2201" spans="1:7">
      <c r="A2201" s="226" t="s">
        <v>1244</v>
      </c>
      <c r="B2201" s="226" t="s">
        <v>1235</v>
      </c>
      <c r="C2201" s="226" t="s">
        <v>625</v>
      </c>
      <c r="D2201" s="226" t="s">
        <v>93</v>
      </c>
      <c r="E2201" s="226" t="s">
        <v>667</v>
      </c>
      <c r="F2201" s="226">
        <v>0</v>
      </c>
      <c r="G2201" s="226">
        <v>0</v>
      </c>
    </row>
    <row r="2202" spans="1:7">
      <c r="A2202" s="226" t="s">
        <v>1245</v>
      </c>
      <c r="B2202" s="226" t="s">
        <v>1235</v>
      </c>
      <c r="C2202" s="226" t="s">
        <v>627</v>
      </c>
      <c r="D2202" s="226" t="s">
        <v>14</v>
      </c>
      <c r="E2202" s="226" t="s">
        <v>618</v>
      </c>
      <c r="F2202" s="226">
        <v>6.4900000000000088E-3</v>
      </c>
      <c r="G2202" s="226">
        <v>6.4900000000000088E-3</v>
      </c>
    </row>
    <row r="2203" spans="1:7">
      <c r="A2203" s="226" t="s">
        <v>1245</v>
      </c>
      <c r="B2203" s="226" t="s">
        <v>1235</v>
      </c>
      <c r="C2203" s="226" t="s">
        <v>627</v>
      </c>
      <c r="D2203" s="226" t="s">
        <v>14</v>
      </c>
      <c r="E2203" s="226" t="s">
        <v>619</v>
      </c>
      <c r="F2203" s="226">
        <v>5.7395762258653435E-2</v>
      </c>
      <c r="G2203" s="226">
        <v>0</v>
      </c>
    </row>
    <row r="2204" spans="1:7">
      <c r="A2204" s="226" t="s">
        <v>1245</v>
      </c>
      <c r="B2204" s="226" t="s">
        <v>1235</v>
      </c>
      <c r="C2204" s="226" t="s">
        <v>627</v>
      </c>
      <c r="D2204" s="226" t="s">
        <v>14</v>
      </c>
      <c r="E2204" s="226" t="s">
        <v>620</v>
      </c>
      <c r="F2204" s="226">
        <v>5.7395762258653435E-2</v>
      </c>
      <c r="G2204" s="226">
        <v>0</v>
      </c>
    </row>
    <row r="2205" spans="1:7">
      <c r="A2205" s="226" t="s">
        <v>1245</v>
      </c>
      <c r="B2205" s="226" t="s">
        <v>1235</v>
      </c>
      <c r="C2205" s="226" t="s">
        <v>627</v>
      </c>
      <c r="D2205" s="226" t="s">
        <v>14</v>
      </c>
      <c r="E2205" s="226" t="s">
        <v>660</v>
      </c>
      <c r="F2205" s="226">
        <v>5.7395762258653435E-2</v>
      </c>
      <c r="G2205" s="226">
        <v>0</v>
      </c>
    </row>
    <row r="2206" spans="1:7">
      <c r="A2206" s="226" t="s">
        <v>1245</v>
      </c>
      <c r="B2206" s="226" t="s">
        <v>1235</v>
      </c>
      <c r="C2206" s="226" t="s">
        <v>627</v>
      </c>
      <c r="D2206" s="226" t="s">
        <v>14</v>
      </c>
      <c r="E2206" s="226" t="s">
        <v>661</v>
      </c>
      <c r="F2206" s="226">
        <v>5.7395762258653435E-2</v>
      </c>
      <c r="G2206" s="226">
        <v>0</v>
      </c>
    </row>
    <row r="2207" spans="1:7">
      <c r="A2207" s="226" t="s">
        <v>1245</v>
      </c>
      <c r="B2207" s="226" t="s">
        <v>1235</v>
      </c>
      <c r="C2207" s="226" t="s">
        <v>627</v>
      </c>
      <c r="D2207" s="226" t="s">
        <v>14</v>
      </c>
      <c r="E2207" s="226" t="s">
        <v>662</v>
      </c>
      <c r="F2207" s="226">
        <v>5.7395762258653435E-2</v>
      </c>
      <c r="G2207" s="226">
        <v>0</v>
      </c>
    </row>
    <row r="2208" spans="1:7">
      <c r="A2208" s="226" t="s">
        <v>1245</v>
      </c>
      <c r="B2208" s="226" t="s">
        <v>1235</v>
      </c>
      <c r="C2208" s="226" t="s">
        <v>627</v>
      </c>
      <c r="D2208" s="226" t="s">
        <v>14</v>
      </c>
      <c r="E2208" s="226" t="s">
        <v>663</v>
      </c>
      <c r="F2208" s="226">
        <v>5.7395762258653435E-2</v>
      </c>
      <c r="G2208" s="226">
        <v>0</v>
      </c>
    </row>
    <row r="2209" spans="1:7">
      <c r="A2209" s="226" t="s">
        <v>1245</v>
      </c>
      <c r="B2209" s="226" t="s">
        <v>1235</v>
      </c>
      <c r="C2209" s="226" t="s">
        <v>627</v>
      </c>
      <c r="D2209" s="226" t="s">
        <v>14</v>
      </c>
      <c r="E2209" s="226" t="s">
        <v>664</v>
      </c>
      <c r="F2209" s="226">
        <v>5.7395762258653435E-2</v>
      </c>
      <c r="G2209" s="226">
        <v>0</v>
      </c>
    </row>
    <row r="2210" spans="1:7">
      <c r="A2210" s="226" t="s">
        <v>1245</v>
      </c>
      <c r="B2210" s="226" t="s">
        <v>1235</v>
      </c>
      <c r="C2210" s="226" t="s">
        <v>627</v>
      </c>
      <c r="D2210" s="226" t="s">
        <v>14</v>
      </c>
      <c r="E2210" s="226" t="s">
        <v>665</v>
      </c>
      <c r="F2210" s="226">
        <v>5.7395762258653435E-2</v>
      </c>
      <c r="G2210" s="226">
        <v>0</v>
      </c>
    </row>
    <row r="2211" spans="1:7">
      <c r="A2211" s="226" t="s">
        <v>1245</v>
      </c>
      <c r="B2211" s="226" t="s">
        <v>1235</v>
      </c>
      <c r="C2211" s="226" t="s">
        <v>627</v>
      </c>
      <c r="D2211" s="226" t="s">
        <v>14</v>
      </c>
      <c r="E2211" s="226" t="s">
        <v>666</v>
      </c>
      <c r="F2211" s="226">
        <v>5.7395762258653435E-2</v>
      </c>
      <c r="G2211" s="226">
        <v>0</v>
      </c>
    </row>
    <row r="2212" spans="1:7">
      <c r="A2212" s="226" t="s">
        <v>1245</v>
      </c>
      <c r="B2212" s="226" t="s">
        <v>1235</v>
      </c>
      <c r="C2212" s="226" t="s">
        <v>627</v>
      </c>
      <c r="D2212" s="226" t="s">
        <v>14</v>
      </c>
      <c r="E2212" s="226" t="s">
        <v>667</v>
      </c>
      <c r="F2212" s="226">
        <v>5.7395762258653435E-2</v>
      </c>
      <c r="G2212" s="226">
        <v>0</v>
      </c>
    </row>
    <row r="2213" spans="1:7">
      <c r="A2213" s="226" t="s">
        <v>1245</v>
      </c>
      <c r="B2213" s="226" t="s">
        <v>1235</v>
      </c>
      <c r="C2213" s="226" t="s">
        <v>630</v>
      </c>
      <c r="D2213" s="226" t="s">
        <v>29</v>
      </c>
      <c r="E2213" s="226" t="s">
        <v>618</v>
      </c>
      <c r="F2213" s="226">
        <v>2E-3</v>
      </c>
      <c r="G2213" s="226">
        <v>2E-3</v>
      </c>
    </row>
    <row r="2214" spans="1:7">
      <c r="A2214" s="226" t="s">
        <v>1245</v>
      </c>
      <c r="B2214" s="226" t="s">
        <v>1235</v>
      </c>
      <c r="C2214" s="226" t="s">
        <v>630</v>
      </c>
      <c r="D2214" s="226" t="s">
        <v>29</v>
      </c>
      <c r="E2214" s="226" t="s">
        <v>619</v>
      </c>
      <c r="F2214" s="226">
        <v>0</v>
      </c>
      <c r="G2214" s="226">
        <v>0</v>
      </c>
    </row>
    <row r="2215" spans="1:7">
      <c r="A2215" s="226" t="s">
        <v>1245</v>
      </c>
      <c r="B2215" s="226" t="s">
        <v>1235</v>
      </c>
      <c r="C2215" s="226" t="s">
        <v>630</v>
      </c>
      <c r="D2215" s="226" t="s">
        <v>29</v>
      </c>
      <c r="E2215" s="226" t="s">
        <v>620</v>
      </c>
      <c r="F2215" s="226">
        <v>0</v>
      </c>
      <c r="G2215" s="226">
        <v>0</v>
      </c>
    </row>
    <row r="2216" spans="1:7">
      <c r="A2216" s="226" t="s">
        <v>1245</v>
      </c>
      <c r="B2216" s="226" t="s">
        <v>1235</v>
      </c>
      <c r="C2216" s="226" t="s">
        <v>630</v>
      </c>
      <c r="D2216" s="226" t="s">
        <v>29</v>
      </c>
      <c r="E2216" s="226" t="s">
        <v>660</v>
      </c>
      <c r="F2216" s="226">
        <v>0</v>
      </c>
      <c r="G2216" s="226">
        <v>0</v>
      </c>
    </row>
    <row r="2217" spans="1:7">
      <c r="A2217" s="226" t="s">
        <v>1245</v>
      </c>
      <c r="B2217" s="226" t="s">
        <v>1235</v>
      </c>
      <c r="C2217" s="226" t="s">
        <v>630</v>
      </c>
      <c r="D2217" s="226" t="s">
        <v>90</v>
      </c>
      <c r="E2217" s="226" t="s">
        <v>618</v>
      </c>
      <c r="F2217" s="226">
        <v>0</v>
      </c>
      <c r="G2217" s="226">
        <v>0</v>
      </c>
    </row>
    <row r="2218" spans="1:7">
      <c r="A2218" s="226" t="s">
        <v>1245</v>
      </c>
      <c r="B2218" s="226" t="s">
        <v>1235</v>
      </c>
      <c r="C2218" s="226" t="s">
        <v>630</v>
      </c>
      <c r="D2218" s="226" t="s">
        <v>90</v>
      </c>
      <c r="E2218" s="226" t="s">
        <v>619</v>
      </c>
      <c r="F2218" s="226">
        <v>2.5448577277002228E-3</v>
      </c>
      <c r="G2218" s="226">
        <v>0</v>
      </c>
    </row>
    <row r="2219" spans="1:7">
      <c r="A2219" s="226" t="s">
        <v>1245</v>
      </c>
      <c r="B2219" s="226" t="s">
        <v>1235</v>
      </c>
      <c r="C2219" s="226" t="s">
        <v>630</v>
      </c>
      <c r="D2219" s="226" t="s">
        <v>90</v>
      </c>
      <c r="E2219" s="226" t="s">
        <v>620</v>
      </c>
      <c r="F2219" s="226">
        <v>2.5448577277002228E-3</v>
      </c>
      <c r="G2219" s="226">
        <v>0</v>
      </c>
    </row>
    <row r="2220" spans="1:7">
      <c r="A2220" s="226" t="s">
        <v>1245</v>
      </c>
      <c r="B2220" s="226" t="s">
        <v>1235</v>
      </c>
      <c r="C2220" s="226" t="s">
        <v>630</v>
      </c>
      <c r="D2220" s="226" t="s">
        <v>90</v>
      </c>
      <c r="E2220" s="226" t="s">
        <v>660</v>
      </c>
      <c r="F2220" s="226">
        <v>2.5448577277002228E-3</v>
      </c>
      <c r="G2220" s="226">
        <v>0</v>
      </c>
    </row>
    <row r="2221" spans="1:7">
      <c r="A2221" s="226" t="s">
        <v>1245</v>
      </c>
      <c r="B2221" s="226" t="s">
        <v>1235</v>
      </c>
      <c r="C2221" s="226" t="s">
        <v>630</v>
      </c>
      <c r="D2221" s="226" t="s">
        <v>90</v>
      </c>
      <c r="E2221" s="226" t="s">
        <v>661</v>
      </c>
      <c r="F2221" s="226">
        <v>2.5448577277002228E-3</v>
      </c>
      <c r="G2221" s="226">
        <v>0</v>
      </c>
    </row>
    <row r="2222" spans="1:7">
      <c r="A2222" s="226" t="s">
        <v>1245</v>
      </c>
      <c r="B2222" s="226" t="s">
        <v>1235</v>
      </c>
      <c r="C2222" s="226" t="s">
        <v>630</v>
      </c>
      <c r="D2222" s="226" t="s">
        <v>90</v>
      </c>
      <c r="E2222" s="226" t="s">
        <v>662</v>
      </c>
      <c r="F2222" s="226">
        <v>2.5448577277002228E-3</v>
      </c>
      <c r="G2222" s="226">
        <v>0</v>
      </c>
    </row>
    <row r="2223" spans="1:7">
      <c r="A2223" s="226" t="s">
        <v>1245</v>
      </c>
      <c r="B2223" s="226" t="s">
        <v>1235</v>
      </c>
      <c r="C2223" s="226" t="s">
        <v>630</v>
      </c>
      <c r="D2223" s="226" t="s">
        <v>90</v>
      </c>
      <c r="E2223" s="226" t="s">
        <v>663</v>
      </c>
      <c r="F2223" s="226">
        <v>2.5448577277002228E-3</v>
      </c>
      <c r="G2223" s="226">
        <v>0</v>
      </c>
    </row>
    <row r="2224" spans="1:7">
      <c r="A2224" s="226" t="s">
        <v>1245</v>
      </c>
      <c r="B2224" s="226" t="s">
        <v>1235</v>
      </c>
      <c r="C2224" s="226" t="s">
        <v>630</v>
      </c>
      <c r="D2224" s="226" t="s">
        <v>90</v>
      </c>
      <c r="E2224" s="226" t="s">
        <v>664</v>
      </c>
      <c r="F2224" s="226">
        <v>2.5448577277002228E-3</v>
      </c>
      <c r="G2224" s="226">
        <v>0</v>
      </c>
    </row>
    <row r="2225" spans="1:7">
      <c r="A2225" s="226" t="s">
        <v>1245</v>
      </c>
      <c r="B2225" s="226" t="s">
        <v>1235</v>
      </c>
      <c r="C2225" s="226" t="s">
        <v>630</v>
      </c>
      <c r="D2225" s="226" t="s">
        <v>90</v>
      </c>
      <c r="E2225" s="226" t="s">
        <v>665</v>
      </c>
      <c r="F2225" s="226">
        <v>2.5448577277002228E-3</v>
      </c>
      <c r="G2225" s="226">
        <v>0</v>
      </c>
    </row>
    <row r="2226" spans="1:7">
      <c r="A2226" s="226" t="s">
        <v>1245</v>
      </c>
      <c r="B2226" s="226" t="s">
        <v>1235</v>
      </c>
      <c r="C2226" s="226" t="s">
        <v>630</v>
      </c>
      <c r="D2226" s="226" t="s">
        <v>90</v>
      </c>
      <c r="E2226" s="226" t="s">
        <v>666</v>
      </c>
      <c r="F2226" s="226">
        <v>2.5448577277002228E-3</v>
      </c>
      <c r="G2226" s="226">
        <v>0</v>
      </c>
    </row>
    <row r="2227" spans="1:7">
      <c r="A2227" s="226" t="s">
        <v>1245</v>
      </c>
      <c r="B2227" s="226" t="s">
        <v>1235</v>
      </c>
      <c r="C2227" s="226" t="s">
        <v>630</v>
      </c>
      <c r="D2227" s="226" t="s">
        <v>90</v>
      </c>
      <c r="E2227" s="226" t="s">
        <v>667</v>
      </c>
      <c r="F2227" s="226">
        <v>2.5448577277002228E-3</v>
      </c>
      <c r="G2227" s="226">
        <v>0</v>
      </c>
    </row>
    <row r="2228" spans="1:7">
      <c r="A2228" s="226" t="s">
        <v>1245</v>
      </c>
      <c r="B2228" s="226" t="s">
        <v>1235</v>
      </c>
      <c r="C2228" s="226" t="s">
        <v>630</v>
      </c>
      <c r="D2228" s="226" t="s">
        <v>29</v>
      </c>
      <c r="E2228" s="226" t="s">
        <v>661</v>
      </c>
      <c r="F2228" s="226">
        <v>0</v>
      </c>
      <c r="G2228" s="226">
        <v>0</v>
      </c>
    </row>
    <row r="2229" spans="1:7">
      <c r="A2229" s="226" t="s">
        <v>1245</v>
      </c>
      <c r="B2229" s="226" t="s">
        <v>1235</v>
      </c>
      <c r="C2229" s="226" t="s">
        <v>630</v>
      </c>
      <c r="D2229" s="226" t="s">
        <v>29</v>
      </c>
      <c r="E2229" s="226" t="s">
        <v>662</v>
      </c>
      <c r="F2229" s="226">
        <v>0</v>
      </c>
      <c r="G2229" s="226">
        <v>0</v>
      </c>
    </row>
    <row r="2230" spans="1:7">
      <c r="A2230" s="226" t="s">
        <v>1245</v>
      </c>
      <c r="B2230" s="226" t="s">
        <v>1235</v>
      </c>
      <c r="C2230" s="226" t="s">
        <v>630</v>
      </c>
      <c r="D2230" s="226" t="s">
        <v>29</v>
      </c>
      <c r="E2230" s="226" t="s">
        <v>663</v>
      </c>
      <c r="F2230" s="226">
        <v>0</v>
      </c>
      <c r="G2230" s="226">
        <v>0</v>
      </c>
    </row>
    <row r="2231" spans="1:7">
      <c r="A2231" s="226" t="s">
        <v>1245</v>
      </c>
      <c r="B2231" s="226" t="s">
        <v>1235</v>
      </c>
      <c r="C2231" s="226" t="s">
        <v>630</v>
      </c>
      <c r="D2231" s="226" t="s">
        <v>29</v>
      </c>
      <c r="E2231" s="226" t="s">
        <v>664</v>
      </c>
      <c r="F2231" s="226">
        <v>0</v>
      </c>
      <c r="G2231" s="226">
        <v>0</v>
      </c>
    </row>
    <row r="2232" spans="1:7">
      <c r="A2232" s="226" t="s">
        <v>1245</v>
      </c>
      <c r="B2232" s="226" t="s">
        <v>1235</v>
      </c>
      <c r="C2232" s="226" t="s">
        <v>630</v>
      </c>
      <c r="D2232" s="226" t="s">
        <v>29</v>
      </c>
      <c r="E2232" s="226" t="s">
        <v>665</v>
      </c>
      <c r="F2232" s="226">
        <v>0</v>
      </c>
      <c r="G2232" s="226">
        <v>0</v>
      </c>
    </row>
    <row r="2233" spans="1:7">
      <c r="A2233" s="226" t="s">
        <v>1245</v>
      </c>
      <c r="B2233" s="226" t="s">
        <v>1235</v>
      </c>
      <c r="C2233" s="226" t="s">
        <v>630</v>
      </c>
      <c r="D2233" s="226" t="s">
        <v>29</v>
      </c>
      <c r="E2233" s="226" t="s">
        <v>666</v>
      </c>
      <c r="F2233" s="226">
        <v>0</v>
      </c>
      <c r="G2233" s="226">
        <v>0</v>
      </c>
    </row>
    <row r="2234" spans="1:7">
      <c r="A2234" s="226" t="s">
        <v>1245</v>
      </c>
      <c r="B2234" s="226" t="s">
        <v>1235</v>
      </c>
      <c r="C2234" s="226" t="s">
        <v>630</v>
      </c>
      <c r="D2234" s="226" t="s">
        <v>29</v>
      </c>
      <c r="E2234" s="226" t="s">
        <v>667</v>
      </c>
      <c r="F2234" s="226">
        <v>0</v>
      </c>
      <c r="G2234" s="226">
        <v>0</v>
      </c>
    </row>
    <row r="2235" spans="1:7">
      <c r="A2235" s="226" t="s">
        <v>1245</v>
      </c>
      <c r="B2235" s="226" t="s">
        <v>1235</v>
      </c>
      <c r="C2235" s="226" t="s">
        <v>963</v>
      </c>
      <c r="D2235" s="226" t="s">
        <v>19</v>
      </c>
      <c r="E2235" s="226" t="s">
        <v>618</v>
      </c>
      <c r="F2235" s="226">
        <v>3.5000000000000001E-3</v>
      </c>
      <c r="G2235" s="226">
        <v>3.5000000000000001E-3</v>
      </c>
    </row>
    <row r="2236" spans="1:7">
      <c r="A2236" s="226" t="s">
        <v>1245</v>
      </c>
      <c r="B2236" s="226" t="s">
        <v>1235</v>
      </c>
      <c r="C2236" s="226" t="s">
        <v>963</v>
      </c>
      <c r="D2236" s="226" t="s">
        <v>19</v>
      </c>
      <c r="E2236" s="226" t="s">
        <v>619</v>
      </c>
      <c r="F2236" s="226">
        <v>1.1931325723348147E-2</v>
      </c>
      <c r="G2236" s="226">
        <v>0</v>
      </c>
    </row>
    <row r="2237" spans="1:7">
      <c r="A2237" s="226" t="s">
        <v>1245</v>
      </c>
      <c r="B2237" s="226" t="s">
        <v>1235</v>
      </c>
      <c r="C2237" s="226" t="s">
        <v>963</v>
      </c>
      <c r="D2237" s="226" t="s">
        <v>19</v>
      </c>
      <c r="E2237" s="226" t="s">
        <v>620</v>
      </c>
      <c r="F2237" s="226">
        <v>1.1931325723348147E-2</v>
      </c>
      <c r="G2237" s="226">
        <v>0</v>
      </c>
    </row>
    <row r="2238" spans="1:7">
      <c r="A2238" s="226" t="s">
        <v>1245</v>
      </c>
      <c r="B2238" s="226" t="s">
        <v>1235</v>
      </c>
      <c r="C2238" s="226" t="s">
        <v>963</v>
      </c>
      <c r="D2238" s="226" t="s">
        <v>19</v>
      </c>
      <c r="E2238" s="226" t="s">
        <v>660</v>
      </c>
      <c r="F2238" s="226">
        <v>1.1931325723348147E-2</v>
      </c>
      <c r="G2238" s="226">
        <v>0</v>
      </c>
    </row>
    <row r="2239" spans="1:7">
      <c r="A2239" s="226" t="s">
        <v>1245</v>
      </c>
      <c r="B2239" s="226" t="s">
        <v>1235</v>
      </c>
      <c r="C2239" s="226" t="s">
        <v>963</v>
      </c>
      <c r="D2239" s="226" t="s">
        <v>19</v>
      </c>
      <c r="E2239" s="226" t="s">
        <v>661</v>
      </c>
      <c r="F2239" s="226">
        <v>1.1931325723348147E-2</v>
      </c>
      <c r="G2239" s="226">
        <v>0</v>
      </c>
    </row>
    <row r="2240" spans="1:7">
      <c r="A2240" s="226" t="s">
        <v>1245</v>
      </c>
      <c r="B2240" s="226" t="s">
        <v>1235</v>
      </c>
      <c r="C2240" s="226" t="s">
        <v>963</v>
      </c>
      <c r="D2240" s="226" t="s">
        <v>19</v>
      </c>
      <c r="E2240" s="226" t="s">
        <v>662</v>
      </c>
      <c r="F2240" s="226">
        <v>1.1931325723348147E-2</v>
      </c>
      <c r="G2240" s="226">
        <v>0</v>
      </c>
    </row>
    <row r="2241" spans="1:7">
      <c r="A2241" s="226" t="s">
        <v>1245</v>
      </c>
      <c r="B2241" s="226" t="s">
        <v>1235</v>
      </c>
      <c r="C2241" s="226" t="s">
        <v>963</v>
      </c>
      <c r="D2241" s="226" t="s">
        <v>19</v>
      </c>
      <c r="E2241" s="226" t="s">
        <v>663</v>
      </c>
      <c r="F2241" s="226">
        <v>1.1931325723348147E-2</v>
      </c>
      <c r="G2241" s="226">
        <v>0</v>
      </c>
    </row>
    <row r="2242" spans="1:7">
      <c r="A2242" s="226" t="s">
        <v>1245</v>
      </c>
      <c r="B2242" s="226" t="s">
        <v>1235</v>
      </c>
      <c r="C2242" s="226" t="s">
        <v>963</v>
      </c>
      <c r="D2242" s="226" t="s">
        <v>19</v>
      </c>
      <c r="E2242" s="226" t="s">
        <v>664</v>
      </c>
      <c r="F2242" s="226">
        <v>1.1931325723348147E-2</v>
      </c>
      <c r="G2242" s="226">
        <v>0</v>
      </c>
    </row>
    <row r="2243" spans="1:7">
      <c r="A2243" s="226" t="s">
        <v>1245</v>
      </c>
      <c r="B2243" s="226" t="s">
        <v>1235</v>
      </c>
      <c r="C2243" s="226" t="s">
        <v>963</v>
      </c>
      <c r="D2243" s="226" t="s">
        <v>19</v>
      </c>
      <c r="E2243" s="226" t="s">
        <v>665</v>
      </c>
      <c r="F2243" s="226">
        <v>1.1931325723348147E-2</v>
      </c>
      <c r="G2243" s="226">
        <v>0</v>
      </c>
    </row>
    <row r="2244" spans="1:7">
      <c r="A2244" s="226" t="s">
        <v>1245</v>
      </c>
      <c r="B2244" s="226" t="s">
        <v>1235</v>
      </c>
      <c r="C2244" s="226" t="s">
        <v>963</v>
      </c>
      <c r="D2244" s="226" t="s">
        <v>19</v>
      </c>
      <c r="E2244" s="226" t="s">
        <v>666</v>
      </c>
      <c r="F2244" s="226">
        <v>1.1931325723348147E-2</v>
      </c>
      <c r="G2244" s="226">
        <v>0</v>
      </c>
    </row>
    <row r="2245" spans="1:7">
      <c r="A2245" s="226" t="s">
        <v>1245</v>
      </c>
      <c r="B2245" s="226" t="s">
        <v>1235</v>
      </c>
      <c r="C2245" s="226" t="s">
        <v>963</v>
      </c>
      <c r="D2245" s="226" t="s">
        <v>19</v>
      </c>
      <c r="E2245" s="226" t="s">
        <v>667</v>
      </c>
      <c r="F2245" s="226">
        <v>1.1931325723348147E-2</v>
      </c>
      <c r="G2245" s="226">
        <v>0</v>
      </c>
    </row>
    <row r="2246" spans="1:7">
      <c r="A2246" s="226" t="s">
        <v>1245</v>
      </c>
      <c r="B2246" s="226" t="s">
        <v>1235</v>
      </c>
      <c r="C2246" s="226" t="s">
        <v>626</v>
      </c>
      <c r="D2246" s="226" t="s">
        <v>18</v>
      </c>
      <c r="E2246" s="226" t="s">
        <v>618</v>
      </c>
      <c r="F2246" s="226">
        <v>4.0000000000000571E-4</v>
      </c>
      <c r="G2246" s="226">
        <v>4.0000000000000571E-4</v>
      </c>
    </row>
    <row r="2247" spans="1:7">
      <c r="A2247" s="226" t="s">
        <v>1245</v>
      </c>
      <c r="B2247" s="226" t="s">
        <v>1235</v>
      </c>
      <c r="C2247" s="226" t="s">
        <v>626</v>
      </c>
      <c r="D2247" s="226" t="s">
        <v>18</v>
      </c>
      <c r="E2247" s="226" t="s">
        <v>619</v>
      </c>
      <c r="F2247" s="226">
        <v>2.2774632563114312E-2</v>
      </c>
      <c r="G2247" s="226">
        <v>0</v>
      </c>
    </row>
    <row r="2248" spans="1:7">
      <c r="A2248" s="226" t="s">
        <v>1245</v>
      </c>
      <c r="B2248" s="226" t="s">
        <v>1235</v>
      </c>
      <c r="C2248" s="226" t="s">
        <v>626</v>
      </c>
      <c r="D2248" s="226" t="s">
        <v>18</v>
      </c>
      <c r="E2248" s="226" t="s">
        <v>620</v>
      </c>
      <c r="F2248" s="226">
        <v>2.2774632563114312E-2</v>
      </c>
      <c r="G2248" s="226">
        <v>0</v>
      </c>
    </row>
    <row r="2249" spans="1:7">
      <c r="A2249" s="226" t="s">
        <v>1245</v>
      </c>
      <c r="B2249" s="226" t="s">
        <v>1235</v>
      </c>
      <c r="C2249" s="226" t="s">
        <v>626</v>
      </c>
      <c r="D2249" s="226" t="s">
        <v>18</v>
      </c>
      <c r="E2249" s="226" t="s">
        <v>660</v>
      </c>
      <c r="F2249" s="226">
        <v>2.2774632563114312E-2</v>
      </c>
      <c r="G2249" s="226">
        <v>0</v>
      </c>
    </row>
    <row r="2250" spans="1:7">
      <c r="A2250" s="226" t="s">
        <v>1245</v>
      </c>
      <c r="B2250" s="226" t="s">
        <v>1235</v>
      </c>
      <c r="C2250" s="226" t="s">
        <v>626</v>
      </c>
      <c r="D2250" s="226" t="s">
        <v>18</v>
      </c>
      <c r="E2250" s="226" t="s">
        <v>661</v>
      </c>
      <c r="F2250" s="226">
        <v>2.2774632563114312E-2</v>
      </c>
      <c r="G2250" s="226">
        <v>0</v>
      </c>
    </row>
    <row r="2251" spans="1:7">
      <c r="A2251" s="226" t="s">
        <v>1245</v>
      </c>
      <c r="B2251" s="226" t="s">
        <v>1235</v>
      </c>
      <c r="C2251" s="226" t="s">
        <v>626</v>
      </c>
      <c r="D2251" s="226" t="s">
        <v>18</v>
      </c>
      <c r="E2251" s="226" t="s">
        <v>662</v>
      </c>
      <c r="F2251" s="226">
        <v>2.2774632563114312E-2</v>
      </c>
      <c r="G2251" s="226">
        <v>0</v>
      </c>
    </row>
    <row r="2252" spans="1:7">
      <c r="A2252" s="226" t="s">
        <v>1245</v>
      </c>
      <c r="B2252" s="226" t="s">
        <v>1235</v>
      </c>
      <c r="C2252" s="226" t="s">
        <v>626</v>
      </c>
      <c r="D2252" s="226" t="s">
        <v>18</v>
      </c>
      <c r="E2252" s="226" t="s">
        <v>663</v>
      </c>
      <c r="F2252" s="226">
        <v>2.2774632563114312E-2</v>
      </c>
      <c r="G2252" s="226">
        <v>0</v>
      </c>
    </row>
    <row r="2253" spans="1:7">
      <c r="A2253" s="226" t="s">
        <v>1245</v>
      </c>
      <c r="B2253" s="226" t="s">
        <v>1235</v>
      </c>
      <c r="C2253" s="226" t="s">
        <v>626</v>
      </c>
      <c r="D2253" s="226" t="s">
        <v>18</v>
      </c>
      <c r="E2253" s="226" t="s">
        <v>664</v>
      </c>
      <c r="F2253" s="226">
        <v>2.2774632563114312E-2</v>
      </c>
      <c r="G2253" s="226">
        <v>0</v>
      </c>
    </row>
    <row r="2254" spans="1:7">
      <c r="A2254" s="226" t="s">
        <v>1245</v>
      </c>
      <c r="B2254" s="226" t="s">
        <v>1235</v>
      </c>
      <c r="C2254" s="226" t="s">
        <v>626</v>
      </c>
      <c r="D2254" s="226" t="s">
        <v>18</v>
      </c>
      <c r="E2254" s="226" t="s">
        <v>665</v>
      </c>
      <c r="F2254" s="226">
        <v>2.2774632563114312E-2</v>
      </c>
      <c r="G2254" s="226">
        <v>0</v>
      </c>
    </row>
    <row r="2255" spans="1:7">
      <c r="A2255" s="226" t="s">
        <v>1245</v>
      </c>
      <c r="B2255" s="226" t="s">
        <v>1235</v>
      </c>
      <c r="C2255" s="226" t="s">
        <v>626</v>
      </c>
      <c r="D2255" s="226" t="s">
        <v>18</v>
      </c>
      <c r="E2255" s="226" t="s">
        <v>666</v>
      </c>
      <c r="F2255" s="226">
        <v>2.2774632563114312E-2</v>
      </c>
      <c r="G2255" s="226">
        <v>0</v>
      </c>
    </row>
    <row r="2256" spans="1:7">
      <c r="A2256" s="226" t="s">
        <v>1245</v>
      </c>
      <c r="B2256" s="226" t="s">
        <v>1235</v>
      </c>
      <c r="C2256" s="226" t="s">
        <v>626</v>
      </c>
      <c r="D2256" s="226" t="s">
        <v>18</v>
      </c>
      <c r="E2256" s="226" t="s">
        <v>667</v>
      </c>
      <c r="F2256" s="226">
        <v>2.2774632563114312E-2</v>
      </c>
      <c r="G2256" s="226">
        <v>0</v>
      </c>
    </row>
    <row r="2257" spans="1:7">
      <c r="A2257" s="226" t="s">
        <v>1245</v>
      </c>
      <c r="B2257" s="226" t="s">
        <v>1235</v>
      </c>
      <c r="C2257" s="226" t="s">
        <v>626</v>
      </c>
      <c r="D2257" s="226" t="s">
        <v>91</v>
      </c>
      <c r="E2257" s="226" t="s">
        <v>618</v>
      </c>
      <c r="F2257" s="226">
        <v>0</v>
      </c>
      <c r="G2257" s="226">
        <v>0</v>
      </c>
    </row>
    <row r="2258" spans="1:7">
      <c r="A2258" s="226" t="s">
        <v>1245</v>
      </c>
      <c r="B2258" s="226" t="s">
        <v>1235</v>
      </c>
      <c r="C2258" s="226" t="s">
        <v>626</v>
      </c>
      <c r="D2258" s="226" t="s">
        <v>91</v>
      </c>
      <c r="E2258" s="226" t="s">
        <v>619</v>
      </c>
      <c r="F2258" s="226">
        <v>6.2699393291164911E-5</v>
      </c>
      <c r="G2258" s="226">
        <v>0</v>
      </c>
    </row>
    <row r="2259" spans="1:7">
      <c r="A2259" s="226" t="s">
        <v>1245</v>
      </c>
      <c r="B2259" s="226" t="s">
        <v>1235</v>
      </c>
      <c r="C2259" s="226" t="s">
        <v>626</v>
      </c>
      <c r="D2259" s="226" t="s">
        <v>91</v>
      </c>
      <c r="E2259" s="226" t="s">
        <v>620</v>
      </c>
      <c r="F2259" s="226">
        <v>6.2699393291164911E-5</v>
      </c>
      <c r="G2259" s="226">
        <v>0</v>
      </c>
    </row>
    <row r="2260" spans="1:7">
      <c r="A2260" s="226" t="s">
        <v>1245</v>
      </c>
      <c r="B2260" s="226" t="s">
        <v>1235</v>
      </c>
      <c r="C2260" s="226" t="s">
        <v>626</v>
      </c>
      <c r="D2260" s="226" t="s">
        <v>91</v>
      </c>
      <c r="E2260" s="226" t="s">
        <v>660</v>
      </c>
      <c r="F2260" s="226">
        <v>6.2699393291164911E-5</v>
      </c>
      <c r="G2260" s="226">
        <v>0</v>
      </c>
    </row>
    <row r="2261" spans="1:7">
      <c r="A2261" s="226" t="s">
        <v>1245</v>
      </c>
      <c r="B2261" s="226" t="s">
        <v>1235</v>
      </c>
      <c r="C2261" s="226" t="s">
        <v>626</v>
      </c>
      <c r="D2261" s="226" t="s">
        <v>91</v>
      </c>
      <c r="E2261" s="226" t="s">
        <v>661</v>
      </c>
      <c r="F2261" s="226">
        <v>6.2699393291164911E-5</v>
      </c>
      <c r="G2261" s="226">
        <v>0</v>
      </c>
    </row>
    <row r="2262" spans="1:7">
      <c r="A2262" s="226" t="s">
        <v>1245</v>
      </c>
      <c r="B2262" s="226" t="s">
        <v>1235</v>
      </c>
      <c r="C2262" s="226" t="s">
        <v>626</v>
      </c>
      <c r="D2262" s="226" t="s">
        <v>91</v>
      </c>
      <c r="E2262" s="226" t="s">
        <v>662</v>
      </c>
      <c r="F2262" s="226">
        <v>6.2699393291164911E-5</v>
      </c>
      <c r="G2262" s="226">
        <v>0</v>
      </c>
    </row>
    <row r="2263" spans="1:7">
      <c r="A2263" s="226" t="s">
        <v>1245</v>
      </c>
      <c r="B2263" s="226" t="s">
        <v>1235</v>
      </c>
      <c r="C2263" s="226" t="s">
        <v>626</v>
      </c>
      <c r="D2263" s="226" t="s">
        <v>91</v>
      </c>
      <c r="E2263" s="226" t="s">
        <v>663</v>
      </c>
      <c r="F2263" s="226">
        <v>6.2699393291164911E-5</v>
      </c>
      <c r="G2263" s="226">
        <v>0</v>
      </c>
    </row>
    <row r="2264" spans="1:7">
      <c r="A2264" s="226" t="s">
        <v>1245</v>
      </c>
      <c r="B2264" s="226" t="s">
        <v>1235</v>
      </c>
      <c r="C2264" s="226" t="s">
        <v>626</v>
      </c>
      <c r="D2264" s="226" t="s">
        <v>91</v>
      </c>
      <c r="E2264" s="226" t="s">
        <v>664</v>
      </c>
      <c r="F2264" s="226">
        <v>6.2699393291164911E-5</v>
      </c>
      <c r="G2264" s="226">
        <v>0</v>
      </c>
    </row>
    <row r="2265" spans="1:7">
      <c r="A2265" s="226" t="s">
        <v>1245</v>
      </c>
      <c r="B2265" s="226" t="s">
        <v>1235</v>
      </c>
      <c r="C2265" s="226" t="s">
        <v>626</v>
      </c>
      <c r="D2265" s="226" t="s">
        <v>91</v>
      </c>
      <c r="E2265" s="226" t="s">
        <v>665</v>
      </c>
      <c r="F2265" s="226">
        <v>6.2699393291164911E-5</v>
      </c>
      <c r="G2265" s="226">
        <v>0</v>
      </c>
    </row>
    <row r="2266" spans="1:7">
      <c r="A2266" s="226" t="s">
        <v>1245</v>
      </c>
      <c r="B2266" s="226" t="s">
        <v>1235</v>
      </c>
      <c r="C2266" s="226" t="s">
        <v>626</v>
      </c>
      <c r="D2266" s="226" t="s">
        <v>91</v>
      </c>
      <c r="E2266" s="226" t="s">
        <v>666</v>
      </c>
      <c r="F2266" s="226">
        <v>6.2699393291164911E-5</v>
      </c>
      <c r="G2266" s="226">
        <v>0</v>
      </c>
    </row>
    <row r="2267" spans="1:7">
      <c r="A2267" s="226" t="s">
        <v>1245</v>
      </c>
      <c r="B2267" s="226" t="s">
        <v>1235</v>
      </c>
      <c r="C2267" s="226" t="s">
        <v>626</v>
      </c>
      <c r="D2267" s="226" t="s">
        <v>91</v>
      </c>
      <c r="E2267" s="226" t="s">
        <v>667</v>
      </c>
      <c r="F2267" s="226">
        <v>6.2699393291164911E-5</v>
      </c>
      <c r="G2267" s="226">
        <v>0</v>
      </c>
    </row>
    <row r="2268" spans="1:7">
      <c r="A2268" s="226" t="s">
        <v>1245</v>
      </c>
      <c r="B2268" s="226" t="s">
        <v>1235</v>
      </c>
      <c r="C2268" s="226" t="s">
        <v>626</v>
      </c>
      <c r="D2268" s="226" t="s">
        <v>8</v>
      </c>
      <c r="E2268" s="226" t="s">
        <v>618</v>
      </c>
      <c r="F2268" s="226">
        <v>0</v>
      </c>
      <c r="G2268" s="226">
        <v>0</v>
      </c>
    </row>
    <row r="2269" spans="1:7">
      <c r="A2269" s="226" t="s">
        <v>1245</v>
      </c>
      <c r="B2269" s="226" t="s">
        <v>1235</v>
      </c>
      <c r="C2269" s="226" t="s">
        <v>626</v>
      </c>
      <c r="D2269" s="226" t="s">
        <v>8</v>
      </c>
      <c r="E2269" s="226" t="s">
        <v>619</v>
      </c>
      <c r="F2269" s="226">
        <v>8.2339056189720972E-3</v>
      </c>
      <c r="G2269" s="226">
        <v>0</v>
      </c>
    </row>
    <row r="2270" spans="1:7">
      <c r="A2270" s="226" t="s">
        <v>1245</v>
      </c>
      <c r="B2270" s="226" t="s">
        <v>1235</v>
      </c>
      <c r="C2270" s="226" t="s">
        <v>626</v>
      </c>
      <c r="D2270" s="226" t="s">
        <v>8</v>
      </c>
      <c r="E2270" s="226" t="s">
        <v>620</v>
      </c>
      <c r="F2270" s="226">
        <v>8.2339056189720972E-3</v>
      </c>
      <c r="G2270" s="226">
        <v>0</v>
      </c>
    </row>
    <row r="2271" spans="1:7">
      <c r="A2271" s="226" t="s">
        <v>1245</v>
      </c>
      <c r="B2271" s="226" t="s">
        <v>1235</v>
      </c>
      <c r="C2271" s="226" t="s">
        <v>626</v>
      </c>
      <c r="D2271" s="226" t="s">
        <v>8</v>
      </c>
      <c r="E2271" s="226" t="s">
        <v>660</v>
      </c>
      <c r="F2271" s="226">
        <v>8.2339056189720972E-3</v>
      </c>
      <c r="G2271" s="226">
        <v>0</v>
      </c>
    </row>
    <row r="2272" spans="1:7">
      <c r="A2272" s="226" t="s">
        <v>1245</v>
      </c>
      <c r="B2272" s="226" t="s">
        <v>1235</v>
      </c>
      <c r="C2272" s="226" t="s">
        <v>626</v>
      </c>
      <c r="D2272" s="226" t="s">
        <v>8</v>
      </c>
      <c r="E2272" s="226" t="s">
        <v>661</v>
      </c>
      <c r="F2272" s="226">
        <v>8.2339056189720972E-3</v>
      </c>
      <c r="G2272" s="226">
        <v>0</v>
      </c>
    </row>
    <row r="2273" spans="1:7">
      <c r="A2273" s="226" t="s">
        <v>1245</v>
      </c>
      <c r="B2273" s="226" t="s">
        <v>1235</v>
      </c>
      <c r="C2273" s="226" t="s">
        <v>626</v>
      </c>
      <c r="D2273" s="226" t="s">
        <v>8</v>
      </c>
      <c r="E2273" s="226" t="s">
        <v>662</v>
      </c>
      <c r="F2273" s="226">
        <v>8.2339056189720972E-3</v>
      </c>
      <c r="G2273" s="226">
        <v>0</v>
      </c>
    </row>
    <row r="2274" spans="1:7">
      <c r="A2274" s="226" t="s">
        <v>1245</v>
      </c>
      <c r="B2274" s="226" t="s">
        <v>1235</v>
      </c>
      <c r="C2274" s="226" t="s">
        <v>626</v>
      </c>
      <c r="D2274" s="226" t="s">
        <v>8</v>
      </c>
      <c r="E2274" s="226" t="s">
        <v>663</v>
      </c>
      <c r="F2274" s="226">
        <v>8.2339056189720972E-3</v>
      </c>
      <c r="G2274" s="226">
        <v>0</v>
      </c>
    </row>
    <row r="2275" spans="1:7">
      <c r="A2275" s="226" t="s">
        <v>1245</v>
      </c>
      <c r="B2275" s="226" t="s">
        <v>1235</v>
      </c>
      <c r="C2275" s="226" t="s">
        <v>626</v>
      </c>
      <c r="D2275" s="226" t="s">
        <v>8</v>
      </c>
      <c r="E2275" s="226" t="s">
        <v>664</v>
      </c>
      <c r="F2275" s="226">
        <v>8.2339056189720972E-3</v>
      </c>
      <c r="G2275" s="226">
        <v>0</v>
      </c>
    </row>
    <row r="2276" spans="1:7">
      <c r="A2276" s="226" t="s">
        <v>1245</v>
      </c>
      <c r="B2276" s="226" t="s">
        <v>1235</v>
      </c>
      <c r="C2276" s="226" t="s">
        <v>626</v>
      </c>
      <c r="D2276" s="226" t="s">
        <v>8</v>
      </c>
      <c r="E2276" s="226" t="s">
        <v>665</v>
      </c>
      <c r="F2276" s="226">
        <v>8.2339056189720972E-3</v>
      </c>
      <c r="G2276" s="226">
        <v>0</v>
      </c>
    </row>
    <row r="2277" spans="1:7">
      <c r="A2277" s="226" t="s">
        <v>1245</v>
      </c>
      <c r="B2277" s="226" t="s">
        <v>1235</v>
      </c>
      <c r="C2277" s="226" t="s">
        <v>626</v>
      </c>
      <c r="D2277" s="226" t="s">
        <v>8</v>
      </c>
      <c r="E2277" s="226" t="s">
        <v>666</v>
      </c>
      <c r="F2277" s="226">
        <v>8.2339056189720972E-3</v>
      </c>
      <c r="G2277" s="226">
        <v>0</v>
      </c>
    </row>
    <row r="2278" spans="1:7">
      <c r="A2278" s="226" t="s">
        <v>1245</v>
      </c>
      <c r="B2278" s="226" t="s">
        <v>1235</v>
      </c>
      <c r="C2278" s="226" t="s">
        <v>626</v>
      </c>
      <c r="D2278" s="226" t="s">
        <v>8</v>
      </c>
      <c r="E2278" s="226" t="s">
        <v>667</v>
      </c>
      <c r="F2278" s="226">
        <v>8.2339056189720972E-3</v>
      </c>
      <c r="G2278" s="226">
        <v>0</v>
      </c>
    </row>
    <row r="2279" spans="1:7">
      <c r="A2279" s="226" t="s">
        <v>1245</v>
      </c>
      <c r="B2279" s="226" t="s">
        <v>1235</v>
      </c>
      <c r="C2279" s="226" t="s">
        <v>625</v>
      </c>
      <c r="D2279" s="226" t="s">
        <v>5</v>
      </c>
      <c r="E2279" s="226" t="s">
        <v>618</v>
      </c>
      <c r="F2279" s="226">
        <v>6.1999999999999885E-3</v>
      </c>
      <c r="G2279" s="226">
        <v>6.1999999999999885E-3</v>
      </c>
    </row>
    <row r="2280" spans="1:7">
      <c r="A2280" s="226" t="s">
        <v>1245</v>
      </c>
      <c r="B2280" s="226" t="s">
        <v>1235</v>
      </c>
      <c r="C2280" s="226" t="s">
        <v>625</v>
      </c>
      <c r="D2280" s="226" t="s">
        <v>5</v>
      </c>
      <c r="E2280" s="226" t="s">
        <v>619</v>
      </c>
      <c r="F2280" s="226">
        <v>2.6732070739668427E-2</v>
      </c>
      <c r="G2280" s="226">
        <v>0</v>
      </c>
    </row>
    <row r="2281" spans="1:7">
      <c r="A2281" s="226" t="s">
        <v>1245</v>
      </c>
      <c r="B2281" s="226" t="s">
        <v>1235</v>
      </c>
      <c r="C2281" s="226" t="s">
        <v>625</v>
      </c>
      <c r="D2281" s="226" t="s">
        <v>5</v>
      </c>
      <c r="E2281" s="226" t="s">
        <v>620</v>
      </c>
      <c r="F2281" s="226">
        <v>2.6732070739668427E-2</v>
      </c>
      <c r="G2281" s="226">
        <v>0</v>
      </c>
    </row>
    <row r="2282" spans="1:7">
      <c r="A2282" s="226" t="s">
        <v>1245</v>
      </c>
      <c r="B2282" s="226" t="s">
        <v>1235</v>
      </c>
      <c r="C2282" s="226" t="s">
        <v>625</v>
      </c>
      <c r="D2282" s="226" t="s">
        <v>5</v>
      </c>
      <c r="E2282" s="226" t="s">
        <v>660</v>
      </c>
      <c r="F2282" s="226">
        <v>2.6732070739668427E-2</v>
      </c>
      <c r="G2282" s="226">
        <v>0</v>
      </c>
    </row>
    <row r="2283" spans="1:7">
      <c r="A2283" s="226" t="s">
        <v>1245</v>
      </c>
      <c r="B2283" s="226" t="s">
        <v>1235</v>
      </c>
      <c r="C2283" s="226" t="s">
        <v>625</v>
      </c>
      <c r="D2283" s="226" t="s">
        <v>5</v>
      </c>
      <c r="E2283" s="226" t="s">
        <v>661</v>
      </c>
      <c r="F2283" s="226">
        <v>2.6732070739668427E-2</v>
      </c>
      <c r="G2283" s="226">
        <v>0</v>
      </c>
    </row>
    <row r="2284" spans="1:7">
      <c r="A2284" s="226" t="s">
        <v>1245</v>
      </c>
      <c r="B2284" s="226" t="s">
        <v>1235</v>
      </c>
      <c r="C2284" s="226" t="s">
        <v>625</v>
      </c>
      <c r="D2284" s="226" t="s">
        <v>5</v>
      </c>
      <c r="E2284" s="226" t="s">
        <v>662</v>
      </c>
      <c r="F2284" s="226">
        <v>2.6732070739668427E-2</v>
      </c>
      <c r="G2284" s="226">
        <v>0</v>
      </c>
    </row>
    <row r="2285" spans="1:7">
      <c r="A2285" s="226" t="s">
        <v>1245</v>
      </c>
      <c r="B2285" s="226" t="s">
        <v>1235</v>
      </c>
      <c r="C2285" s="226" t="s">
        <v>625</v>
      </c>
      <c r="D2285" s="226" t="s">
        <v>5</v>
      </c>
      <c r="E2285" s="226" t="s">
        <v>663</v>
      </c>
      <c r="F2285" s="226">
        <v>2.6732070739668427E-2</v>
      </c>
      <c r="G2285" s="226">
        <v>0</v>
      </c>
    </row>
    <row r="2286" spans="1:7">
      <c r="A2286" s="226" t="s">
        <v>1245</v>
      </c>
      <c r="B2286" s="226" t="s">
        <v>1235</v>
      </c>
      <c r="C2286" s="226" t="s">
        <v>625</v>
      </c>
      <c r="D2286" s="226" t="s">
        <v>5</v>
      </c>
      <c r="E2286" s="226" t="s">
        <v>664</v>
      </c>
      <c r="F2286" s="226">
        <v>2.6732070739668427E-2</v>
      </c>
      <c r="G2286" s="226">
        <v>0</v>
      </c>
    </row>
    <row r="2287" spans="1:7">
      <c r="A2287" s="226" t="s">
        <v>1245</v>
      </c>
      <c r="B2287" s="226" t="s">
        <v>1235</v>
      </c>
      <c r="C2287" s="226" t="s">
        <v>625</v>
      </c>
      <c r="D2287" s="226" t="s">
        <v>5</v>
      </c>
      <c r="E2287" s="226" t="s">
        <v>665</v>
      </c>
      <c r="F2287" s="226">
        <v>2.6732070739668427E-2</v>
      </c>
      <c r="G2287" s="226">
        <v>0</v>
      </c>
    </row>
    <row r="2288" spans="1:7">
      <c r="A2288" s="226" t="s">
        <v>1245</v>
      </c>
      <c r="B2288" s="226" t="s">
        <v>1235</v>
      </c>
      <c r="C2288" s="226" t="s">
        <v>625</v>
      </c>
      <c r="D2288" s="226" t="s">
        <v>5</v>
      </c>
      <c r="E2288" s="226" t="s">
        <v>666</v>
      </c>
      <c r="F2288" s="226">
        <v>2.6732070739668427E-2</v>
      </c>
      <c r="G2288" s="226">
        <v>0</v>
      </c>
    </row>
    <row r="2289" spans="1:7">
      <c r="A2289" s="226" t="s">
        <v>1245</v>
      </c>
      <c r="B2289" s="226" t="s">
        <v>1235</v>
      </c>
      <c r="C2289" s="226" t="s">
        <v>625</v>
      </c>
      <c r="D2289" s="226" t="s">
        <v>5</v>
      </c>
      <c r="E2289" s="226" t="s">
        <v>667</v>
      </c>
      <c r="F2289" s="226">
        <v>2.6732070739668427E-2</v>
      </c>
      <c r="G2289" s="226">
        <v>0</v>
      </c>
    </row>
    <row r="2290" spans="1:7">
      <c r="A2290" s="226" t="s">
        <v>1245</v>
      </c>
      <c r="B2290" s="226" t="s">
        <v>1235</v>
      </c>
      <c r="C2290" s="226" t="s">
        <v>625</v>
      </c>
      <c r="D2290" s="226" t="s">
        <v>88</v>
      </c>
      <c r="E2290" s="226" t="s">
        <v>618</v>
      </c>
      <c r="F2290" s="226">
        <v>1.9999999999999992E-3</v>
      </c>
      <c r="G2290" s="226">
        <v>1.9999999999999992E-3</v>
      </c>
    </row>
    <row r="2291" spans="1:7">
      <c r="A2291" s="226" t="s">
        <v>1245</v>
      </c>
      <c r="B2291" s="226" t="s">
        <v>1235</v>
      </c>
      <c r="C2291" s="226" t="s">
        <v>625</v>
      </c>
      <c r="D2291" s="226" t="s">
        <v>88</v>
      </c>
      <c r="E2291" s="226" t="s">
        <v>619</v>
      </c>
      <c r="F2291" s="226">
        <v>1.3277518579305511E-3</v>
      </c>
      <c r="G2291" s="226">
        <v>0</v>
      </c>
    </row>
    <row r="2292" spans="1:7">
      <c r="A2292" s="226" t="s">
        <v>1245</v>
      </c>
      <c r="B2292" s="226" t="s">
        <v>1235</v>
      </c>
      <c r="C2292" s="226" t="s">
        <v>625</v>
      </c>
      <c r="D2292" s="226" t="s">
        <v>88</v>
      </c>
      <c r="E2292" s="226" t="s">
        <v>620</v>
      </c>
      <c r="F2292" s="226">
        <v>1.3277518579305511E-3</v>
      </c>
      <c r="G2292" s="226">
        <v>0</v>
      </c>
    </row>
    <row r="2293" spans="1:7">
      <c r="A2293" s="226" t="s">
        <v>1245</v>
      </c>
      <c r="B2293" s="226" t="s">
        <v>1235</v>
      </c>
      <c r="C2293" s="226" t="s">
        <v>625</v>
      </c>
      <c r="D2293" s="226" t="s">
        <v>88</v>
      </c>
      <c r="E2293" s="226" t="s">
        <v>660</v>
      </c>
      <c r="F2293" s="226">
        <v>1.3277518579305511E-3</v>
      </c>
      <c r="G2293" s="226">
        <v>0</v>
      </c>
    </row>
    <row r="2294" spans="1:7">
      <c r="A2294" s="226" t="s">
        <v>1245</v>
      </c>
      <c r="B2294" s="226" t="s">
        <v>1235</v>
      </c>
      <c r="C2294" s="226" t="s">
        <v>625</v>
      </c>
      <c r="D2294" s="226" t="s">
        <v>88</v>
      </c>
      <c r="E2294" s="226" t="s">
        <v>661</v>
      </c>
      <c r="F2294" s="226">
        <v>1.3277518579305511E-3</v>
      </c>
      <c r="G2294" s="226">
        <v>0</v>
      </c>
    </row>
    <row r="2295" spans="1:7">
      <c r="A2295" s="226" t="s">
        <v>1245</v>
      </c>
      <c r="B2295" s="226" t="s">
        <v>1235</v>
      </c>
      <c r="C2295" s="226" t="s">
        <v>625</v>
      </c>
      <c r="D2295" s="226" t="s">
        <v>88</v>
      </c>
      <c r="E2295" s="226" t="s">
        <v>662</v>
      </c>
      <c r="F2295" s="226">
        <v>1.3277518579305511E-3</v>
      </c>
      <c r="G2295" s="226">
        <v>0</v>
      </c>
    </row>
    <row r="2296" spans="1:7">
      <c r="A2296" s="226" t="s">
        <v>1245</v>
      </c>
      <c r="B2296" s="226" t="s">
        <v>1235</v>
      </c>
      <c r="C2296" s="226" t="s">
        <v>625</v>
      </c>
      <c r="D2296" s="226" t="s">
        <v>88</v>
      </c>
      <c r="E2296" s="226" t="s">
        <v>663</v>
      </c>
      <c r="F2296" s="226">
        <v>1.3277518579305511E-3</v>
      </c>
      <c r="G2296" s="226">
        <v>0</v>
      </c>
    </row>
    <row r="2297" spans="1:7">
      <c r="A2297" s="226" t="s">
        <v>1245</v>
      </c>
      <c r="B2297" s="226" t="s">
        <v>1235</v>
      </c>
      <c r="C2297" s="226" t="s">
        <v>625</v>
      </c>
      <c r="D2297" s="226" t="s">
        <v>88</v>
      </c>
      <c r="E2297" s="226" t="s">
        <v>664</v>
      </c>
      <c r="F2297" s="226">
        <v>1.3277518579305511E-3</v>
      </c>
      <c r="G2297" s="226">
        <v>0</v>
      </c>
    </row>
    <row r="2298" spans="1:7">
      <c r="A2298" s="226" t="s">
        <v>1245</v>
      </c>
      <c r="B2298" s="226" t="s">
        <v>1235</v>
      </c>
      <c r="C2298" s="226" t="s">
        <v>625</v>
      </c>
      <c r="D2298" s="226" t="s">
        <v>88</v>
      </c>
      <c r="E2298" s="226" t="s">
        <v>665</v>
      </c>
      <c r="F2298" s="226">
        <v>1.3277518579305511E-3</v>
      </c>
      <c r="G2298" s="226">
        <v>0</v>
      </c>
    </row>
    <row r="2299" spans="1:7">
      <c r="A2299" s="226" t="s">
        <v>1245</v>
      </c>
      <c r="B2299" s="226" t="s">
        <v>1235</v>
      </c>
      <c r="C2299" s="226" t="s">
        <v>625</v>
      </c>
      <c r="D2299" s="226" t="s">
        <v>88</v>
      </c>
      <c r="E2299" s="226" t="s">
        <v>666</v>
      </c>
      <c r="F2299" s="226">
        <v>1.3277518579305511E-3</v>
      </c>
      <c r="G2299" s="226">
        <v>0</v>
      </c>
    </row>
    <row r="2300" spans="1:7">
      <c r="A2300" s="226" t="s">
        <v>1245</v>
      </c>
      <c r="B2300" s="226" t="s">
        <v>1235</v>
      </c>
      <c r="C2300" s="226" t="s">
        <v>625</v>
      </c>
      <c r="D2300" s="226" t="s">
        <v>88</v>
      </c>
      <c r="E2300" s="226" t="s">
        <v>667</v>
      </c>
      <c r="F2300" s="226">
        <v>1.3277518579305511E-3</v>
      </c>
      <c r="G2300" s="226">
        <v>0</v>
      </c>
    </row>
    <row r="2301" spans="1:7">
      <c r="A2301" s="226" t="s">
        <v>1245</v>
      </c>
      <c r="B2301" s="226" t="s">
        <v>1235</v>
      </c>
      <c r="C2301" s="226" t="s">
        <v>625</v>
      </c>
      <c r="D2301" s="226" t="s">
        <v>89</v>
      </c>
      <c r="E2301" s="226" t="s">
        <v>618</v>
      </c>
      <c r="F2301" s="226">
        <v>0</v>
      </c>
      <c r="G2301" s="226">
        <v>0</v>
      </c>
    </row>
    <row r="2302" spans="1:7">
      <c r="A2302" s="226" t="s">
        <v>1245</v>
      </c>
      <c r="B2302" s="226" t="s">
        <v>1235</v>
      </c>
      <c r="C2302" s="226" t="s">
        <v>625</v>
      </c>
      <c r="D2302" s="226" t="s">
        <v>89</v>
      </c>
      <c r="E2302" s="226" t="s">
        <v>619</v>
      </c>
      <c r="F2302" s="226">
        <v>0</v>
      </c>
      <c r="G2302" s="226">
        <v>0</v>
      </c>
    </row>
    <row r="2303" spans="1:7">
      <c r="A2303" s="226" t="s">
        <v>1245</v>
      </c>
      <c r="B2303" s="226" t="s">
        <v>1235</v>
      </c>
      <c r="C2303" s="226" t="s">
        <v>625</v>
      </c>
      <c r="D2303" s="226" t="s">
        <v>89</v>
      </c>
      <c r="E2303" s="226" t="s">
        <v>620</v>
      </c>
      <c r="F2303" s="226">
        <v>0</v>
      </c>
      <c r="G2303" s="226">
        <v>0</v>
      </c>
    </row>
    <row r="2304" spans="1:7">
      <c r="A2304" s="226" t="s">
        <v>1245</v>
      </c>
      <c r="B2304" s="226" t="s">
        <v>1235</v>
      </c>
      <c r="C2304" s="226" t="s">
        <v>625</v>
      </c>
      <c r="D2304" s="226" t="s">
        <v>89</v>
      </c>
      <c r="E2304" s="226" t="s">
        <v>660</v>
      </c>
      <c r="F2304" s="226">
        <v>0</v>
      </c>
      <c r="G2304" s="226">
        <v>0</v>
      </c>
    </row>
    <row r="2305" spans="1:7">
      <c r="A2305" s="226" t="s">
        <v>1245</v>
      </c>
      <c r="B2305" s="226" t="s">
        <v>1235</v>
      </c>
      <c r="C2305" s="226" t="s">
        <v>625</v>
      </c>
      <c r="D2305" s="226" t="s">
        <v>89</v>
      </c>
      <c r="E2305" s="226" t="s">
        <v>661</v>
      </c>
      <c r="F2305" s="226">
        <v>0</v>
      </c>
      <c r="G2305" s="226">
        <v>0</v>
      </c>
    </row>
    <row r="2306" spans="1:7">
      <c r="A2306" s="226" t="s">
        <v>1245</v>
      </c>
      <c r="B2306" s="226" t="s">
        <v>1235</v>
      </c>
      <c r="C2306" s="226" t="s">
        <v>625</v>
      </c>
      <c r="D2306" s="226" t="s">
        <v>89</v>
      </c>
      <c r="E2306" s="226" t="s">
        <v>662</v>
      </c>
      <c r="F2306" s="226">
        <v>0</v>
      </c>
      <c r="G2306" s="226">
        <v>0</v>
      </c>
    </row>
    <row r="2307" spans="1:7">
      <c r="A2307" s="226" t="s">
        <v>1245</v>
      </c>
      <c r="B2307" s="226" t="s">
        <v>1235</v>
      </c>
      <c r="C2307" s="226" t="s">
        <v>625</v>
      </c>
      <c r="D2307" s="226" t="s">
        <v>89</v>
      </c>
      <c r="E2307" s="226" t="s">
        <v>663</v>
      </c>
      <c r="F2307" s="226">
        <v>0</v>
      </c>
      <c r="G2307" s="226">
        <v>0</v>
      </c>
    </row>
    <row r="2308" spans="1:7">
      <c r="A2308" s="226" t="s">
        <v>1245</v>
      </c>
      <c r="B2308" s="226" t="s">
        <v>1235</v>
      </c>
      <c r="C2308" s="226" t="s">
        <v>625</v>
      </c>
      <c r="D2308" s="226" t="s">
        <v>89</v>
      </c>
      <c r="E2308" s="226" t="s">
        <v>664</v>
      </c>
      <c r="F2308" s="226">
        <v>0</v>
      </c>
      <c r="G2308" s="226">
        <v>0</v>
      </c>
    </row>
    <row r="2309" spans="1:7">
      <c r="A2309" s="226" t="s">
        <v>1245</v>
      </c>
      <c r="B2309" s="226" t="s">
        <v>1235</v>
      </c>
      <c r="C2309" s="226" t="s">
        <v>625</v>
      </c>
      <c r="D2309" s="226" t="s">
        <v>89</v>
      </c>
      <c r="E2309" s="226" t="s">
        <v>665</v>
      </c>
      <c r="F2309" s="226">
        <v>0</v>
      </c>
      <c r="G2309" s="226">
        <v>0</v>
      </c>
    </row>
    <row r="2310" spans="1:7">
      <c r="A2310" s="226" t="s">
        <v>1245</v>
      </c>
      <c r="B2310" s="226" t="s">
        <v>1235</v>
      </c>
      <c r="C2310" s="226" t="s">
        <v>625</v>
      </c>
      <c r="D2310" s="226" t="s">
        <v>89</v>
      </c>
      <c r="E2310" s="226" t="s">
        <v>666</v>
      </c>
      <c r="F2310" s="226">
        <v>0</v>
      </c>
      <c r="G2310" s="226">
        <v>0</v>
      </c>
    </row>
    <row r="2311" spans="1:7">
      <c r="A2311" s="226" t="s">
        <v>1245</v>
      </c>
      <c r="B2311" s="226" t="s">
        <v>1235</v>
      </c>
      <c r="C2311" s="226" t="s">
        <v>625</v>
      </c>
      <c r="D2311" s="226" t="s">
        <v>89</v>
      </c>
      <c r="E2311" s="226" t="s">
        <v>667</v>
      </c>
      <c r="F2311" s="226">
        <v>0</v>
      </c>
      <c r="G2311" s="226">
        <v>0</v>
      </c>
    </row>
    <row r="2312" spans="1:7">
      <c r="A2312" s="226" t="s">
        <v>1245</v>
      </c>
      <c r="B2312" s="226" t="s">
        <v>1235</v>
      </c>
      <c r="C2312" s="226" t="s">
        <v>963</v>
      </c>
      <c r="D2312" s="226" t="s">
        <v>20</v>
      </c>
      <c r="E2312" s="226" t="s">
        <v>618</v>
      </c>
      <c r="F2312" s="226">
        <v>0</v>
      </c>
      <c r="G2312" s="226">
        <v>0</v>
      </c>
    </row>
    <row r="2313" spans="1:7">
      <c r="A2313" s="226" t="s">
        <v>1245</v>
      </c>
      <c r="B2313" s="226" t="s">
        <v>1235</v>
      </c>
      <c r="C2313" s="226" t="s">
        <v>963</v>
      </c>
      <c r="D2313" s="226" t="s">
        <v>20</v>
      </c>
      <c r="E2313" s="226" t="s">
        <v>619</v>
      </c>
      <c r="F2313" s="226">
        <v>7.9296291515296798E-4</v>
      </c>
      <c r="G2313" s="226">
        <v>0</v>
      </c>
    </row>
    <row r="2314" spans="1:7">
      <c r="A2314" s="226" t="s">
        <v>1245</v>
      </c>
      <c r="B2314" s="226" t="s">
        <v>1235</v>
      </c>
      <c r="C2314" s="226" t="s">
        <v>963</v>
      </c>
      <c r="D2314" s="226" t="s">
        <v>20</v>
      </c>
      <c r="E2314" s="226" t="s">
        <v>620</v>
      </c>
      <c r="F2314" s="226">
        <v>7.9296291515296798E-4</v>
      </c>
      <c r="G2314" s="226">
        <v>0</v>
      </c>
    </row>
    <row r="2315" spans="1:7">
      <c r="A2315" s="226" t="s">
        <v>1245</v>
      </c>
      <c r="B2315" s="226" t="s">
        <v>1235</v>
      </c>
      <c r="C2315" s="226" t="s">
        <v>963</v>
      </c>
      <c r="D2315" s="226" t="s">
        <v>20</v>
      </c>
      <c r="E2315" s="226" t="s">
        <v>660</v>
      </c>
      <c r="F2315" s="226">
        <v>7.9296291515296798E-4</v>
      </c>
      <c r="G2315" s="226">
        <v>0</v>
      </c>
    </row>
    <row r="2316" spans="1:7">
      <c r="A2316" s="226" t="s">
        <v>1245</v>
      </c>
      <c r="B2316" s="226" t="s">
        <v>1235</v>
      </c>
      <c r="C2316" s="226" t="s">
        <v>963</v>
      </c>
      <c r="D2316" s="226" t="s">
        <v>20</v>
      </c>
      <c r="E2316" s="226" t="s">
        <v>661</v>
      </c>
      <c r="F2316" s="226">
        <v>7.9296291515296798E-4</v>
      </c>
      <c r="G2316" s="226">
        <v>0</v>
      </c>
    </row>
    <row r="2317" spans="1:7">
      <c r="A2317" s="226" t="s">
        <v>1245</v>
      </c>
      <c r="B2317" s="226" t="s">
        <v>1235</v>
      </c>
      <c r="C2317" s="226" t="s">
        <v>963</v>
      </c>
      <c r="D2317" s="226" t="s">
        <v>20</v>
      </c>
      <c r="E2317" s="226" t="s">
        <v>662</v>
      </c>
      <c r="F2317" s="226">
        <v>7.9296291515296798E-4</v>
      </c>
      <c r="G2317" s="226">
        <v>0</v>
      </c>
    </row>
    <row r="2318" spans="1:7">
      <c r="A2318" s="226" t="s">
        <v>1245</v>
      </c>
      <c r="B2318" s="226" t="s">
        <v>1235</v>
      </c>
      <c r="C2318" s="226" t="s">
        <v>963</v>
      </c>
      <c r="D2318" s="226" t="s">
        <v>20</v>
      </c>
      <c r="E2318" s="226" t="s">
        <v>663</v>
      </c>
      <c r="F2318" s="226">
        <v>7.9296291515296798E-4</v>
      </c>
      <c r="G2318" s="226">
        <v>0</v>
      </c>
    </row>
    <row r="2319" spans="1:7">
      <c r="A2319" s="226" t="s">
        <v>1245</v>
      </c>
      <c r="B2319" s="226" t="s">
        <v>1235</v>
      </c>
      <c r="C2319" s="226" t="s">
        <v>963</v>
      </c>
      <c r="D2319" s="226" t="s">
        <v>20</v>
      </c>
      <c r="E2319" s="226" t="s">
        <v>664</v>
      </c>
      <c r="F2319" s="226">
        <v>7.9296291515296798E-4</v>
      </c>
      <c r="G2319" s="226">
        <v>0</v>
      </c>
    </row>
    <row r="2320" spans="1:7">
      <c r="A2320" s="226" t="s">
        <v>1245</v>
      </c>
      <c r="B2320" s="226" t="s">
        <v>1235</v>
      </c>
      <c r="C2320" s="226" t="s">
        <v>963</v>
      </c>
      <c r="D2320" s="226" t="s">
        <v>20</v>
      </c>
      <c r="E2320" s="226" t="s">
        <v>665</v>
      </c>
      <c r="F2320" s="226">
        <v>7.9296291515296798E-4</v>
      </c>
      <c r="G2320" s="226">
        <v>0</v>
      </c>
    </row>
    <row r="2321" spans="1:7">
      <c r="A2321" s="226" t="s">
        <v>1245</v>
      </c>
      <c r="B2321" s="226" t="s">
        <v>1235</v>
      </c>
      <c r="C2321" s="226" t="s">
        <v>963</v>
      </c>
      <c r="D2321" s="226" t="s">
        <v>20</v>
      </c>
      <c r="E2321" s="226" t="s">
        <v>666</v>
      </c>
      <c r="F2321" s="226">
        <v>7.9296291515296798E-4</v>
      </c>
      <c r="G2321" s="226">
        <v>0</v>
      </c>
    </row>
    <row r="2322" spans="1:7">
      <c r="A2322" s="226" t="s">
        <v>1245</v>
      </c>
      <c r="B2322" s="226" t="s">
        <v>1235</v>
      </c>
      <c r="C2322" s="226" t="s">
        <v>963</v>
      </c>
      <c r="D2322" s="226" t="s">
        <v>20</v>
      </c>
      <c r="E2322" s="226" t="s">
        <v>667</v>
      </c>
      <c r="F2322" s="226">
        <v>7.9296291515296798E-4</v>
      </c>
      <c r="G2322" s="226">
        <v>0</v>
      </c>
    </row>
    <row r="2323" spans="1:7">
      <c r="A2323" s="226" t="s">
        <v>1245</v>
      </c>
      <c r="B2323" s="226" t="s">
        <v>1235</v>
      </c>
      <c r="C2323" s="226" t="s">
        <v>627</v>
      </c>
      <c r="D2323" s="226" t="s">
        <v>11</v>
      </c>
      <c r="E2323" s="226" t="s">
        <v>618</v>
      </c>
      <c r="F2323" s="226">
        <v>5.4999999999999997E-3</v>
      </c>
      <c r="G2323" s="226">
        <v>5.4999999999999997E-3</v>
      </c>
    </row>
    <row r="2324" spans="1:7">
      <c r="A2324" s="226" t="s">
        <v>1245</v>
      </c>
      <c r="B2324" s="226" t="s">
        <v>1235</v>
      </c>
      <c r="C2324" s="226" t="s">
        <v>627</v>
      </c>
      <c r="D2324" s="226" t="s">
        <v>11</v>
      </c>
      <c r="E2324" s="226" t="s">
        <v>619</v>
      </c>
      <c r="F2324" s="226">
        <v>0.17509727626459143</v>
      </c>
      <c r="G2324" s="226">
        <v>0</v>
      </c>
    </row>
    <row r="2325" spans="1:7">
      <c r="A2325" s="226" t="s">
        <v>1245</v>
      </c>
      <c r="B2325" s="226" t="s">
        <v>1235</v>
      </c>
      <c r="C2325" s="226" t="s">
        <v>627</v>
      </c>
      <c r="D2325" s="226" t="s">
        <v>11</v>
      </c>
      <c r="E2325" s="226" t="s">
        <v>620</v>
      </c>
      <c r="F2325" s="226">
        <v>0.17509727626459143</v>
      </c>
      <c r="G2325" s="226">
        <v>0</v>
      </c>
    </row>
    <row r="2326" spans="1:7">
      <c r="A2326" s="226" t="s">
        <v>1245</v>
      </c>
      <c r="B2326" s="226" t="s">
        <v>1235</v>
      </c>
      <c r="C2326" s="226" t="s">
        <v>627</v>
      </c>
      <c r="D2326" s="226" t="s">
        <v>11</v>
      </c>
      <c r="E2326" s="226" t="s">
        <v>660</v>
      </c>
      <c r="F2326" s="226">
        <v>0.17509727626459143</v>
      </c>
      <c r="G2326" s="226">
        <v>0</v>
      </c>
    </row>
    <row r="2327" spans="1:7">
      <c r="A2327" s="226" t="s">
        <v>1245</v>
      </c>
      <c r="B2327" s="226" t="s">
        <v>1235</v>
      </c>
      <c r="C2327" s="226" t="s">
        <v>627</v>
      </c>
      <c r="D2327" s="226" t="s">
        <v>11</v>
      </c>
      <c r="E2327" s="226" t="s">
        <v>661</v>
      </c>
      <c r="F2327" s="226">
        <v>0.17509727626459143</v>
      </c>
      <c r="G2327" s="226">
        <v>0</v>
      </c>
    </row>
    <row r="2328" spans="1:7">
      <c r="A2328" s="226" t="s">
        <v>1245</v>
      </c>
      <c r="B2328" s="226" t="s">
        <v>1235</v>
      </c>
      <c r="C2328" s="226" t="s">
        <v>627</v>
      </c>
      <c r="D2328" s="226" t="s">
        <v>11</v>
      </c>
      <c r="E2328" s="226" t="s">
        <v>662</v>
      </c>
      <c r="F2328" s="226">
        <v>0.17509727626459143</v>
      </c>
      <c r="G2328" s="226">
        <v>0</v>
      </c>
    </row>
    <row r="2329" spans="1:7">
      <c r="A2329" s="226" t="s">
        <v>1245</v>
      </c>
      <c r="B2329" s="226" t="s">
        <v>1235</v>
      </c>
      <c r="C2329" s="226" t="s">
        <v>627</v>
      </c>
      <c r="D2329" s="226" t="s">
        <v>11</v>
      </c>
      <c r="E2329" s="226" t="s">
        <v>663</v>
      </c>
      <c r="F2329" s="226">
        <v>0.17509727626459143</v>
      </c>
      <c r="G2329" s="226">
        <v>0</v>
      </c>
    </row>
    <row r="2330" spans="1:7">
      <c r="A2330" s="226" t="s">
        <v>1245</v>
      </c>
      <c r="B2330" s="226" t="s">
        <v>1235</v>
      </c>
      <c r="C2330" s="226" t="s">
        <v>627</v>
      </c>
      <c r="D2330" s="226" t="s">
        <v>11</v>
      </c>
      <c r="E2330" s="226" t="s">
        <v>664</v>
      </c>
      <c r="F2330" s="226">
        <v>0.17509727626459143</v>
      </c>
      <c r="G2330" s="226">
        <v>0</v>
      </c>
    </row>
    <row r="2331" spans="1:7">
      <c r="A2331" s="226" t="s">
        <v>1245</v>
      </c>
      <c r="B2331" s="226" t="s">
        <v>1235</v>
      </c>
      <c r="C2331" s="226" t="s">
        <v>627</v>
      </c>
      <c r="D2331" s="226" t="s">
        <v>11</v>
      </c>
      <c r="E2331" s="226" t="s">
        <v>665</v>
      </c>
      <c r="F2331" s="226">
        <v>0.17509727626459143</v>
      </c>
      <c r="G2331" s="226">
        <v>0</v>
      </c>
    </row>
    <row r="2332" spans="1:7">
      <c r="A2332" s="226" t="s">
        <v>1245</v>
      </c>
      <c r="B2332" s="226" t="s">
        <v>1235</v>
      </c>
      <c r="C2332" s="226" t="s">
        <v>627</v>
      </c>
      <c r="D2332" s="226" t="s">
        <v>11</v>
      </c>
      <c r="E2332" s="226" t="s">
        <v>666</v>
      </c>
      <c r="F2332" s="226">
        <v>0.17509727626459143</v>
      </c>
      <c r="G2332" s="226">
        <v>0</v>
      </c>
    </row>
    <row r="2333" spans="1:7">
      <c r="A2333" s="226" t="s">
        <v>1245</v>
      </c>
      <c r="B2333" s="226" t="s">
        <v>1235</v>
      </c>
      <c r="C2333" s="226" t="s">
        <v>627</v>
      </c>
      <c r="D2333" s="226" t="s">
        <v>11</v>
      </c>
      <c r="E2333" s="226" t="s">
        <v>667</v>
      </c>
      <c r="F2333" s="226">
        <v>0.17509727626459143</v>
      </c>
      <c r="G2333" s="226">
        <v>0</v>
      </c>
    </row>
    <row r="2334" spans="1:7">
      <c r="A2334" s="226" t="s">
        <v>1245</v>
      </c>
      <c r="B2334" s="226" t="s">
        <v>1235</v>
      </c>
      <c r="C2334" s="226" t="s">
        <v>627</v>
      </c>
      <c r="D2334" s="226" t="s">
        <v>12</v>
      </c>
      <c r="E2334" s="226" t="s">
        <v>618</v>
      </c>
      <c r="F2334" s="226">
        <v>1.5499999999999999E-3</v>
      </c>
      <c r="G2334" s="226">
        <v>1.5499999999999999E-3</v>
      </c>
    </row>
    <row r="2335" spans="1:7">
      <c r="A2335" s="226" t="s">
        <v>1245</v>
      </c>
      <c r="B2335" s="226" t="s">
        <v>1235</v>
      </c>
      <c r="C2335" s="226" t="s">
        <v>627</v>
      </c>
      <c r="D2335" s="226" t="s">
        <v>12</v>
      </c>
      <c r="E2335" s="226" t="s">
        <v>619</v>
      </c>
      <c r="F2335" s="226">
        <v>1.3277518579305511E-4</v>
      </c>
      <c r="G2335" s="226">
        <v>0</v>
      </c>
    </row>
    <row r="2336" spans="1:7">
      <c r="A2336" s="226" t="s">
        <v>1245</v>
      </c>
      <c r="B2336" s="226" t="s">
        <v>1235</v>
      </c>
      <c r="C2336" s="226" t="s">
        <v>627</v>
      </c>
      <c r="D2336" s="226" t="s">
        <v>12</v>
      </c>
      <c r="E2336" s="226" t="s">
        <v>620</v>
      </c>
      <c r="F2336" s="226">
        <v>1.3277518579305511E-4</v>
      </c>
      <c r="G2336" s="226">
        <v>0</v>
      </c>
    </row>
    <row r="2337" spans="1:7">
      <c r="A2337" s="226" t="s">
        <v>1245</v>
      </c>
      <c r="B2337" s="226" t="s">
        <v>1235</v>
      </c>
      <c r="C2337" s="226" t="s">
        <v>627</v>
      </c>
      <c r="D2337" s="226" t="s">
        <v>12</v>
      </c>
      <c r="E2337" s="226" t="s">
        <v>660</v>
      </c>
      <c r="F2337" s="226">
        <v>1.3277518579305511E-4</v>
      </c>
      <c r="G2337" s="226">
        <v>0</v>
      </c>
    </row>
    <row r="2338" spans="1:7">
      <c r="A2338" s="226" t="s">
        <v>1245</v>
      </c>
      <c r="B2338" s="226" t="s">
        <v>1235</v>
      </c>
      <c r="C2338" s="226" t="s">
        <v>627</v>
      </c>
      <c r="D2338" s="226" t="s">
        <v>12</v>
      </c>
      <c r="E2338" s="226" t="s">
        <v>661</v>
      </c>
      <c r="F2338" s="226">
        <v>1.3277518579305511E-4</v>
      </c>
      <c r="G2338" s="226">
        <v>0</v>
      </c>
    </row>
    <row r="2339" spans="1:7">
      <c r="A2339" s="226" t="s">
        <v>1245</v>
      </c>
      <c r="B2339" s="226" t="s">
        <v>1235</v>
      </c>
      <c r="C2339" s="226" t="s">
        <v>627</v>
      </c>
      <c r="D2339" s="226" t="s">
        <v>12</v>
      </c>
      <c r="E2339" s="226" t="s">
        <v>662</v>
      </c>
      <c r="F2339" s="226">
        <v>1.3277518579305511E-4</v>
      </c>
      <c r="G2339" s="226">
        <v>0</v>
      </c>
    </row>
    <row r="2340" spans="1:7">
      <c r="A2340" s="226" t="s">
        <v>1245</v>
      </c>
      <c r="B2340" s="226" t="s">
        <v>1235</v>
      </c>
      <c r="C2340" s="226" t="s">
        <v>627</v>
      </c>
      <c r="D2340" s="226" t="s">
        <v>12</v>
      </c>
      <c r="E2340" s="226" t="s">
        <v>663</v>
      </c>
      <c r="F2340" s="226">
        <v>1.3277518579305511E-4</v>
      </c>
      <c r="G2340" s="226">
        <v>0</v>
      </c>
    </row>
    <row r="2341" spans="1:7">
      <c r="A2341" s="226" t="s">
        <v>1245</v>
      </c>
      <c r="B2341" s="226" t="s">
        <v>1235</v>
      </c>
      <c r="C2341" s="226" t="s">
        <v>627</v>
      </c>
      <c r="D2341" s="226" t="s">
        <v>12</v>
      </c>
      <c r="E2341" s="226" t="s">
        <v>664</v>
      </c>
      <c r="F2341" s="226">
        <v>1.3277518579305511E-4</v>
      </c>
      <c r="G2341" s="226">
        <v>0</v>
      </c>
    </row>
    <row r="2342" spans="1:7">
      <c r="A2342" s="226" t="s">
        <v>1245</v>
      </c>
      <c r="B2342" s="226" t="s">
        <v>1235</v>
      </c>
      <c r="C2342" s="226" t="s">
        <v>627</v>
      </c>
      <c r="D2342" s="226" t="s">
        <v>12</v>
      </c>
      <c r="E2342" s="226" t="s">
        <v>665</v>
      </c>
      <c r="F2342" s="226">
        <v>1.3277518579305511E-4</v>
      </c>
      <c r="G2342" s="226">
        <v>0</v>
      </c>
    </row>
    <row r="2343" spans="1:7">
      <c r="A2343" s="226" t="s">
        <v>1245</v>
      </c>
      <c r="B2343" s="226" t="s">
        <v>1235</v>
      </c>
      <c r="C2343" s="226" t="s">
        <v>627</v>
      </c>
      <c r="D2343" s="226" t="s">
        <v>12</v>
      </c>
      <c r="E2343" s="226" t="s">
        <v>666</v>
      </c>
      <c r="F2343" s="226">
        <v>1.3277518579305511E-4</v>
      </c>
      <c r="G2343" s="226">
        <v>0</v>
      </c>
    </row>
    <row r="2344" spans="1:7">
      <c r="A2344" s="226" t="s">
        <v>1245</v>
      </c>
      <c r="B2344" s="226" t="s">
        <v>1235</v>
      </c>
      <c r="C2344" s="226" t="s">
        <v>627</v>
      </c>
      <c r="D2344" s="226" t="s">
        <v>12</v>
      </c>
      <c r="E2344" s="226" t="s">
        <v>667</v>
      </c>
      <c r="F2344" s="226">
        <v>1.3277518579305511E-4</v>
      </c>
      <c r="G2344" s="226">
        <v>0</v>
      </c>
    </row>
    <row r="2345" spans="1:7">
      <c r="A2345" s="226" t="s">
        <v>1245</v>
      </c>
      <c r="B2345" s="226" t="s">
        <v>1235</v>
      </c>
      <c r="C2345" s="226" t="s">
        <v>626</v>
      </c>
      <c r="D2345" s="226" t="s">
        <v>9</v>
      </c>
      <c r="E2345" s="226" t="s">
        <v>618</v>
      </c>
      <c r="F2345" s="226">
        <v>2E-3</v>
      </c>
      <c r="G2345" s="226">
        <v>2E-3</v>
      </c>
    </row>
    <row r="2346" spans="1:7">
      <c r="A2346" s="226" t="s">
        <v>1245</v>
      </c>
      <c r="B2346" s="226" t="s">
        <v>1235</v>
      </c>
      <c r="C2346" s="226" t="s">
        <v>626</v>
      </c>
      <c r="D2346" s="226" t="s">
        <v>9</v>
      </c>
      <c r="E2346" s="226" t="s">
        <v>619</v>
      </c>
      <c r="F2346" s="226">
        <v>1.3692441034908808E-2</v>
      </c>
      <c r="G2346" s="226">
        <v>0</v>
      </c>
    </row>
    <row r="2347" spans="1:7">
      <c r="A2347" s="226" t="s">
        <v>1245</v>
      </c>
      <c r="B2347" s="226" t="s">
        <v>1235</v>
      </c>
      <c r="C2347" s="226" t="s">
        <v>626</v>
      </c>
      <c r="D2347" s="226" t="s">
        <v>9</v>
      </c>
      <c r="E2347" s="226" t="s">
        <v>620</v>
      </c>
      <c r="F2347" s="226">
        <v>1.3692441034908808E-2</v>
      </c>
      <c r="G2347" s="226">
        <v>0</v>
      </c>
    </row>
    <row r="2348" spans="1:7">
      <c r="A2348" s="226" t="s">
        <v>1245</v>
      </c>
      <c r="B2348" s="226" t="s">
        <v>1235</v>
      </c>
      <c r="C2348" s="226" t="s">
        <v>626</v>
      </c>
      <c r="D2348" s="226" t="s">
        <v>9</v>
      </c>
      <c r="E2348" s="226" t="s">
        <v>660</v>
      </c>
      <c r="F2348" s="226">
        <v>1.3692441034908808E-2</v>
      </c>
      <c r="G2348" s="226">
        <v>0</v>
      </c>
    </row>
    <row r="2349" spans="1:7">
      <c r="A2349" s="226" t="s">
        <v>1245</v>
      </c>
      <c r="B2349" s="226" t="s">
        <v>1235</v>
      </c>
      <c r="C2349" s="226" t="s">
        <v>626</v>
      </c>
      <c r="D2349" s="226" t="s">
        <v>9</v>
      </c>
      <c r="E2349" s="226" t="s">
        <v>661</v>
      </c>
      <c r="F2349" s="226">
        <v>1.3692441034908808E-2</v>
      </c>
      <c r="G2349" s="226">
        <v>0</v>
      </c>
    </row>
    <row r="2350" spans="1:7">
      <c r="A2350" s="226" t="s">
        <v>1245</v>
      </c>
      <c r="B2350" s="226" t="s">
        <v>1235</v>
      </c>
      <c r="C2350" s="226" t="s">
        <v>626</v>
      </c>
      <c r="D2350" s="226" t="s">
        <v>9</v>
      </c>
      <c r="E2350" s="226" t="s">
        <v>662</v>
      </c>
      <c r="F2350" s="226">
        <v>1.3692441034908808E-2</v>
      </c>
      <c r="G2350" s="226">
        <v>0</v>
      </c>
    </row>
    <row r="2351" spans="1:7">
      <c r="A2351" s="226" t="s">
        <v>1245</v>
      </c>
      <c r="B2351" s="226" t="s">
        <v>1235</v>
      </c>
      <c r="C2351" s="226" t="s">
        <v>626</v>
      </c>
      <c r="D2351" s="226" t="s">
        <v>9</v>
      </c>
      <c r="E2351" s="226" t="s">
        <v>663</v>
      </c>
      <c r="F2351" s="226">
        <v>1.3692441034908808E-2</v>
      </c>
      <c r="G2351" s="226">
        <v>0</v>
      </c>
    </row>
    <row r="2352" spans="1:7">
      <c r="A2352" s="226" t="s">
        <v>1245</v>
      </c>
      <c r="B2352" s="226" t="s">
        <v>1235</v>
      </c>
      <c r="C2352" s="226" t="s">
        <v>626</v>
      </c>
      <c r="D2352" s="226" t="s">
        <v>9</v>
      </c>
      <c r="E2352" s="226" t="s">
        <v>664</v>
      </c>
      <c r="F2352" s="226">
        <v>1.3692441034908808E-2</v>
      </c>
      <c r="G2352" s="226">
        <v>0</v>
      </c>
    </row>
    <row r="2353" spans="1:7">
      <c r="A2353" s="226" t="s">
        <v>1245</v>
      </c>
      <c r="B2353" s="226" t="s">
        <v>1235</v>
      </c>
      <c r="C2353" s="226" t="s">
        <v>626</v>
      </c>
      <c r="D2353" s="226" t="s">
        <v>9</v>
      </c>
      <c r="E2353" s="226" t="s">
        <v>665</v>
      </c>
      <c r="F2353" s="226">
        <v>1.3692441034908808E-2</v>
      </c>
      <c r="G2353" s="226">
        <v>0</v>
      </c>
    </row>
    <row r="2354" spans="1:7">
      <c r="A2354" s="226" t="s">
        <v>1245</v>
      </c>
      <c r="B2354" s="226" t="s">
        <v>1235</v>
      </c>
      <c r="C2354" s="226" t="s">
        <v>626</v>
      </c>
      <c r="D2354" s="226" t="s">
        <v>9</v>
      </c>
      <c r="E2354" s="226" t="s">
        <v>666</v>
      </c>
      <c r="F2354" s="226">
        <v>1.3692441034908808E-2</v>
      </c>
      <c r="G2354" s="226">
        <v>0</v>
      </c>
    </row>
    <row r="2355" spans="1:7">
      <c r="A2355" s="226" t="s">
        <v>1245</v>
      </c>
      <c r="B2355" s="226" t="s">
        <v>1235</v>
      </c>
      <c r="C2355" s="226" t="s">
        <v>626</v>
      </c>
      <c r="D2355" s="226" t="s">
        <v>9</v>
      </c>
      <c r="E2355" s="226" t="s">
        <v>667</v>
      </c>
      <c r="F2355" s="226">
        <v>1.3692441034908808E-2</v>
      </c>
      <c r="G2355" s="226">
        <v>0</v>
      </c>
    </row>
    <row r="2356" spans="1:7">
      <c r="A2356" s="226" t="s">
        <v>1245</v>
      </c>
      <c r="B2356" s="226" t="s">
        <v>1235</v>
      </c>
      <c r="C2356" s="226" t="s">
        <v>626</v>
      </c>
      <c r="D2356" s="226" t="s">
        <v>10</v>
      </c>
      <c r="E2356" s="226" t="s">
        <v>618</v>
      </c>
      <c r="F2356" s="226">
        <v>6.830000000000018E-2</v>
      </c>
      <c r="G2356" s="226">
        <v>6.830000000000018E-2</v>
      </c>
    </row>
    <row r="2357" spans="1:7">
      <c r="A2357" s="226" t="s">
        <v>1245</v>
      </c>
      <c r="B2357" s="226" t="s">
        <v>1235</v>
      </c>
      <c r="C2357" s="226" t="s">
        <v>626</v>
      </c>
      <c r="D2357" s="226" t="s">
        <v>10</v>
      </c>
      <c r="E2357" s="226" t="s">
        <v>619</v>
      </c>
      <c r="F2357" s="226">
        <v>0.23583085916609803</v>
      </c>
      <c r="G2357" s="226">
        <v>0</v>
      </c>
    </row>
    <row r="2358" spans="1:7">
      <c r="A2358" s="226" t="s">
        <v>1245</v>
      </c>
      <c r="B2358" s="226" t="s">
        <v>1235</v>
      </c>
      <c r="C2358" s="226" t="s">
        <v>626</v>
      </c>
      <c r="D2358" s="226" t="s">
        <v>10</v>
      </c>
      <c r="E2358" s="226" t="s">
        <v>620</v>
      </c>
      <c r="F2358" s="226">
        <v>0.23583085916609803</v>
      </c>
      <c r="G2358" s="226">
        <v>0</v>
      </c>
    </row>
    <row r="2359" spans="1:7">
      <c r="A2359" s="226" t="s">
        <v>1245</v>
      </c>
      <c r="B2359" s="226" t="s">
        <v>1235</v>
      </c>
      <c r="C2359" s="226" t="s">
        <v>626</v>
      </c>
      <c r="D2359" s="226" t="s">
        <v>10</v>
      </c>
      <c r="E2359" s="226" t="s">
        <v>660</v>
      </c>
      <c r="F2359" s="226">
        <v>0.23583085916609803</v>
      </c>
      <c r="G2359" s="226">
        <v>0</v>
      </c>
    </row>
    <row r="2360" spans="1:7">
      <c r="A2360" s="226" t="s">
        <v>1245</v>
      </c>
      <c r="B2360" s="226" t="s">
        <v>1235</v>
      </c>
      <c r="C2360" s="226" t="s">
        <v>626</v>
      </c>
      <c r="D2360" s="226" t="s">
        <v>10</v>
      </c>
      <c r="E2360" s="226" t="s">
        <v>661</v>
      </c>
      <c r="F2360" s="226">
        <v>0.23583085916609803</v>
      </c>
      <c r="G2360" s="226">
        <v>0</v>
      </c>
    </row>
    <row r="2361" spans="1:7">
      <c r="A2361" s="226" t="s">
        <v>1245</v>
      </c>
      <c r="B2361" s="226" t="s">
        <v>1235</v>
      </c>
      <c r="C2361" s="226" t="s">
        <v>626</v>
      </c>
      <c r="D2361" s="226" t="s">
        <v>10</v>
      </c>
      <c r="E2361" s="226" t="s">
        <v>662</v>
      </c>
      <c r="F2361" s="226">
        <v>0.23583085916609803</v>
      </c>
      <c r="G2361" s="226">
        <v>0</v>
      </c>
    </row>
    <row r="2362" spans="1:7">
      <c r="A2362" s="226" t="s">
        <v>1245</v>
      </c>
      <c r="B2362" s="226" t="s">
        <v>1235</v>
      </c>
      <c r="C2362" s="226" t="s">
        <v>626</v>
      </c>
      <c r="D2362" s="226" t="s">
        <v>10</v>
      </c>
      <c r="E2362" s="226" t="s">
        <v>663</v>
      </c>
      <c r="F2362" s="226">
        <v>0.23583085916609803</v>
      </c>
      <c r="G2362" s="226">
        <v>0</v>
      </c>
    </row>
    <row r="2363" spans="1:7">
      <c r="A2363" s="226" t="s">
        <v>1245</v>
      </c>
      <c r="B2363" s="226" t="s">
        <v>1235</v>
      </c>
      <c r="C2363" s="226" t="s">
        <v>626</v>
      </c>
      <c r="D2363" s="226" t="s">
        <v>10</v>
      </c>
      <c r="E2363" s="226" t="s">
        <v>664</v>
      </c>
      <c r="F2363" s="226">
        <v>0.23583085916609803</v>
      </c>
      <c r="G2363" s="226">
        <v>0</v>
      </c>
    </row>
    <row r="2364" spans="1:7">
      <c r="A2364" s="226" t="s">
        <v>1245</v>
      </c>
      <c r="B2364" s="226" t="s">
        <v>1235</v>
      </c>
      <c r="C2364" s="226" t="s">
        <v>626</v>
      </c>
      <c r="D2364" s="226" t="s">
        <v>10</v>
      </c>
      <c r="E2364" s="226" t="s">
        <v>665</v>
      </c>
      <c r="F2364" s="226">
        <v>0.23583085916609803</v>
      </c>
      <c r="G2364" s="226">
        <v>0</v>
      </c>
    </row>
    <row r="2365" spans="1:7">
      <c r="A2365" s="226" t="s">
        <v>1245</v>
      </c>
      <c r="B2365" s="226" t="s">
        <v>1235</v>
      </c>
      <c r="C2365" s="226" t="s">
        <v>626</v>
      </c>
      <c r="D2365" s="226" t="s">
        <v>10</v>
      </c>
      <c r="E2365" s="226" t="s">
        <v>666</v>
      </c>
      <c r="F2365" s="226">
        <v>0.23583085916609803</v>
      </c>
      <c r="G2365" s="226">
        <v>0</v>
      </c>
    </row>
    <row r="2366" spans="1:7">
      <c r="A2366" s="226" t="s">
        <v>1245</v>
      </c>
      <c r="B2366" s="226" t="s">
        <v>1235</v>
      </c>
      <c r="C2366" s="226" t="s">
        <v>626</v>
      </c>
      <c r="D2366" s="226" t="s">
        <v>10</v>
      </c>
      <c r="E2366" s="226" t="s">
        <v>667</v>
      </c>
      <c r="F2366" s="226">
        <v>0.23583085916609803</v>
      </c>
      <c r="G2366" s="226">
        <v>0</v>
      </c>
    </row>
    <row r="2367" spans="1:7">
      <c r="A2367" s="226" t="s">
        <v>1245</v>
      </c>
      <c r="B2367" s="226" t="s">
        <v>1235</v>
      </c>
      <c r="C2367" s="226" t="s">
        <v>963</v>
      </c>
      <c r="D2367" s="226" t="s">
        <v>16</v>
      </c>
      <c r="E2367" s="226" t="s">
        <v>618</v>
      </c>
      <c r="F2367" s="226">
        <v>0</v>
      </c>
      <c r="G2367" s="226">
        <v>0</v>
      </c>
    </row>
    <row r="2368" spans="1:7">
      <c r="A2368" s="226" t="s">
        <v>1245</v>
      </c>
      <c r="B2368" s="226" t="s">
        <v>1235</v>
      </c>
      <c r="C2368" s="226" t="s">
        <v>963</v>
      </c>
      <c r="D2368" s="226" t="s">
        <v>16</v>
      </c>
      <c r="E2368" s="226" t="s">
        <v>619</v>
      </c>
      <c r="F2368" s="226">
        <v>6.2736275287218531E-3</v>
      </c>
      <c r="G2368" s="226">
        <v>0</v>
      </c>
    </row>
    <row r="2369" spans="1:7">
      <c r="A2369" s="226" t="s">
        <v>1245</v>
      </c>
      <c r="B2369" s="226" t="s">
        <v>1235</v>
      </c>
      <c r="C2369" s="226" t="s">
        <v>963</v>
      </c>
      <c r="D2369" s="226" t="s">
        <v>16</v>
      </c>
      <c r="E2369" s="226" t="s">
        <v>620</v>
      </c>
      <c r="F2369" s="226">
        <v>6.2736275287218531E-3</v>
      </c>
      <c r="G2369" s="226">
        <v>0</v>
      </c>
    </row>
    <row r="2370" spans="1:7">
      <c r="A2370" s="226" t="s">
        <v>1245</v>
      </c>
      <c r="B2370" s="226" t="s">
        <v>1235</v>
      </c>
      <c r="C2370" s="226" t="s">
        <v>963</v>
      </c>
      <c r="D2370" s="226" t="s">
        <v>16</v>
      </c>
      <c r="E2370" s="226" t="s">
        <v>660</v>
      </c>
      <c r="F2370" s="226">
        <v>6.2736275287218531E-3</v>
      </c>
      <c r="G2370" s="226">
        <v>0</v>
      </c>
    </row>
    <row r="2371" spans="1:7">
      <c r="A2371" s="226" t="s">
        <v>1245</v>
      </c>
      <c r="B2371" s="226" t="s">
        <v>1235</v>
      </c>
      <c r="C2371" s="226" t="s">
        <v>963</v>
      </c>
      <c r="D2371" s="226" t="s">
        <v>16</v>
      </c>
      <c r="E2371" s="226" t="s">
        <v>661</v>
      </c>
      <c r="F2371" s="226">
        <v>6.2736275287218531E-3</v>
      </c>
      <c r="G2371" s="226">
        <v>0</v>
      </c>
    </row>
    <row r="2372" spans="1:7">
      <c r="A2372" s="226" t="s">
        <v>1245</v>
      </c>
      <c r="B2372" s="226" t="s">
        <v>1235</v>
      </c>
      <c r="C2372" s="226" t="s">
        <v>963</v>
      </c>
      <c r="D2372" s="226" t="s">
        <v>16</v>
      </c>
      <c r="E2372" s="226" t="s">
        <v>662</v>
      </c>
      <c r="F2372" s="226">
        <v>6.2736275287218531E-3</v>
      </c>
      <c r="G2372" s="226">
        <v>0</v>
      </c>
    </row>
    <row r="2373" spans="1:7">
      <c r="A2373" s="226" t="s">
        <v>1245</v>
      </c>
      <c r="B2373" s="226" t="s">
        <v>1235</v>
      </c>
      <c r="C2373" s="226" t="s">
        <v>963</v>
      </c>
      <c r="D2373" s="226" t="s">
        <v>16</v>
      </c>
      <c r="E2373" s="226" t="s">
        <v>663</v>
      </c>
      <c r="F2373" s="226">
        <v>6.2736275287218531E-3</v>
      </c>
      <c r="G2373" s="226">
        <v>0</v>
      </c>
    </row>
    <row r="2374" spans="1:7">
      <c r="A2374" s="226" t="s">
        <v>1245</v>
      </c>
      <c r="B2374" s="226" t="s">
        <v>1235</v>
      </c>
      <c r="C2374" s="226" t="s">
        <v>963</v>
      </c>
      <c r="D2374" s="226" t="s">
        <v>16</v>
      </c>
      <c r="E2374" s="226" t="s">
        <v>664</v>
      </c>
      <c r="F2374" s="226">
        <v>6.2736275287218531E-3</v>
      </c>
      <c r="G2374" s="226">
        <v>0</v>
      </c>
    </row>
    <row r="2375" spans="1:7">
      <c r="A2375" s="226" t="s">
        <v>1245</v>
      </c>
      <c r="B2375" s="226" t="s">
        <v>1235</v>
      </c>
      <c r="C2375" s="226" t="s">
        <v>963</v>
      </c>
      <c r="D2375" s="226" t="s">
        <v>16</v>
      </c>
      <c r="E2375" s="226" t="s">
        <v>665</v>
      </c>
      <c r="F2375" s="226">
        <v>6.2736275287218531E-3</v>
      </c>
      <c r="G2375" s="226">
        <v>0</v>
      </c>
    </row>
    <row r="2376" spans="1:7">
      <c r="A2376" s="226" t="s">
        <v>1245</v>
      </c>
      <c r="B2376" s="226" t="s">
        <v>1235</v>
      </c>
      <c r="C2376" s="226" t="s">
        <v>963</v>
      </c>
      <c r="D2376" s="226" t="s">
        <v>16</v>
      </c>
      <c r="E2376" s="226" t="s">
        <v>666</v>
      </c>
      <c r="F2376" s="226">
        <v>6.2736275287218531E-3</v>
      </c>
      <c r="G2376" s="226">
        <v>0</v>
      </c>
    </row>
    <row r="2377" spans="1:7">
      <c r="A2377" s="226" t="s">
        <v>1245</v>
      </c>
      <c r="B2377" s="226" t="s">
        <v>1235</v>
      </c>
      <c r="C2377" s="226" t="s">
        <v>963</v>
      </c>
      <c r="D2377" s="226" t="s">
        <v>16</v>
      </c>
      <c r="E2377" s="226" t="s">
        <v>667</v>
      </c>
      <c r="F2377" s="226">
        <v>6.2736275287218531E-3</v>
      </c>
      <c r="G2377" s="226">
        <v>0</v>
      </c>
    </row>
    <row r="2378" spans="1:7">
      <c r="A2378" s="226" t="s">
        <v>1245</v>
      </c>
      <c r="B2378" s="226" t="s">
        <v>1235</v>
      </c>
      <c r="C2378" s="226" t="s">
        <v>625</v>
      </c>
      <c r="D2378" s="226" t="s">
        <v>1</v>
      </c>
      <c r="E2378" s="226" t="s">
        <v>618</v>
      </c>
      <c r="F2378" s="226">
        <v>0.15634999999999996</v>
      </c>
      <c r="G2378" s="226">
        <v>0.15634999999999996</v>
      </c>
    </row>
    <row r="2379" spans="1:7">
      <c r="A2379" s="226" t="s">
        <v>1245</v>
      </c>
      <c r="B2379" s="226" t="s">
        <v>1235</v>
      </c>
      <c r="C2379" s="226" t="s">
        <v>625</v>
      </c>
      <c r="D2379" s="226" t="s">
        <v>1</v>
      </c>
      <c r="E2379" s="226" t="s">
        <v>619</v>
      </c>
      <c r="F2379" s="226">
        <v>4.2571043944898294E-2</v>
      </c>
      <c r="G2379" s="226">
        <v>0</v>
      </c>
    </row>
    <row r="2380" spans="1:7">
      <c r="A2380" s="226" t="s">
        <v>1245</v>
      </c>
      <c r="B2380" s="226" t="s">
        <v>1235</v>
      </c>
      <c r="C2380" s="226" t="s">
        <v>625</v>
      </c>
      <c r="D2380" s="226" t="s">
        <v>1</v>
      </c>
      <c r="E2380" s="226" t="s">
        <v>620</v>
      </c>
      <c r="F2380" s="226">
        <v>4.2571043944898294E-2</v>
      </c>
      <c r="G2380" s="226">
        <v>0</v>
      </c>
    </row>
    <row r="2381" spans="1:7">
      <c r="A2381" s="226" t="s">
        <v>1245</v>
      </c>
      <c r="B2381" s="226" t="s">
        <v>1235</v>
      </c>
      <c r="C2381" s="226" t="s">
        <v>625</v>
      </c>
      <c r="D2381" s="226" t="s">
        <v>1</v>
      </c>
      <c r="E2381" s="226" t="s">
        <v>660</v>
      </c>
      <c r="F2381" s="226">
        <v>4.2571043944898294E-2</v>
      </c>
      <c r="G2381" s="226">
        <v>0</v>
      </c>
    </row>
    <row r="2382" spans="1:7">
      <c r="A2382" s="226" t="s">
        <v>1245</v>
      </c>
      <c r="B2382" s="226" t="s">
        <v>1235</v>
      </c>
      <c r="C2382" s="226" t="s">
        <v>625</v>
      </c>
      <c r="D2382" s="226" t="s">
        <v>1</v>
      </c>
      <c r="E2382" s="226" t="s">
        <v>661</v>
      </c>
      <c r="F2382" s="226">
        <v>4.2571043944898294E-2</v>
      </c>
      <c r="G2382" s="226">
        <v>0</v>
      </c>
    </row>
    <row r="2383" spans="1:7">
      <c r="A2383" s="226" t="s">
        <v>1245</v>
      </c>
      <c r="B2383" s="226" t="s">
        <v>1235</v>
      </c>
      <c r="C2383" s="226" t="s">
        <v>625</v>
      </c>
      <c r="D2383" s="226" t="s">
        <v>1</v>
      </c>
      <c r="E2383" s="226" t="s">
        <v>662</v>
      </c>
      <c r="F2383" s="226">
        <v>4.2571043944898294E-2</v>
      </c>
      <c r="G2383" s="226">
        <v>0</v>
      </c>
    </row>
    <row r="2384" spans="1:7">
      <c r="A2384" s="226" t="s">
        <v>1245</v>
      </c>
      <c r="B2384" s="226" t="s">
        <v>1235</v>
      </c>
      <c r="C2384" s="226" t="s">
        <v>625</v>
      </c>
      <c r="D2384" s="226" t="s">
        <v>1</v>
      </c>
      <c r="E2384" s="226" t="s">
        <v>663</v>
      </c>
      <c r="F2384" s="226">
        <v>4.2571043944898294E-2</v>
      </c>
      <c r="G2384" s="226">
        <v>0</v>
      </c>
    </row>
    <row r="2385" spans="1:7">
      <c r="A2385" s="226" t="s">
        <v>1245</v>
      </c>
      <c r="B2385" s="226" t="s">
        <v>1235</v>
      </c>
      <c r="C2385" s="226" t="s">
        <v>625</v>
      </c>
      <c r="D2385" s="226" t="s">
        <v>1</v>
      </c>
      <c r="E2385" s="226" t="s">
        <v>664</v>
      </c>
      <c r="F2385" s="226">
        <v>4.2571043944898294E-2</v>
      </c>
      <c r="G2385" s="226">
        <v>0</v>
      </c>
    </row>
    <row r="2386" spans="1:7">
      <c r="A2386" s="226" t="s">
        <v>1245</v>
      </c>
      <c r="B2386" s="226" t="s">
        <v>1235</v>
      </c>
      <c r="C2386" s="226" t="s">
        <v>625</v>
      </c>
      <c r="D2386" s="226" t="s">
        <v>1</v>
      </c>
      <c r="E2386" s="226" t="s">
        <v>665</v>
      </c>
      <c r="F2386" s="226">
        <v>4.2571043944898294E-2</v>
      </c>
      <c r="G2386" s="226">
        <v>0</v>
      </c>
    </row>
    <row r="2387" spans="1:7">
      <c r="A2387" s="226" t="s">
        <v>1245</v>
      </c>
      <c r="B2387" s="226" t="s">
        <v>1235</v>
      </c>
      <c r="C2387" s="226" t="s">
        <v>625</v>
      </c>
      <c r="D2387" s="226" t="s">
        <v>1</v>
      </c>
      <c r="E2387" s="226" t="s">
        <v>666</v>
      </c>
      <c r="F2387" s="226">
        <v>4.2571043944898294E-2</v>
      </c>
      <c r="G2387" s="226">
        <v>0</v>
      </c>
    </row>
    <row r="2388" spans="1:7">
      <c r="A2388" s="226" t="s">
        <v>1245</v>
      </c>
      <c r="B2388" s="226" t="s">
        <v>1235</v>
      </c>
      <c r="C2388" s="226" t="s">
        <v>625</v>
      </c>
      <c r="D2388" s="226" t="s">
        <v>1</v>
      </c>
      <c r="E2388" s="226" t="s">
        <v>667</v>
      </c>
      <c r="F2388" s="226">
        <v>4.2571043944898294E-2</v>
      </c>
      <c r="G2388" s="226">
        <v>0</v>
      </c>
    </row>
    <row r="2389" spans="1:7">
      <c r="A2389" s="226" t="s">
        <v>1245</v>
      </c>
      <c r="B2389" s="226" t="s">
        <v>1235</v>
      </c>
      <c r="C2389" s="226" t="s">
        <v>625</v>
      </c>
      <c r="D2389" s="226" t="s">
        <v>6</v>
      </c>
      <c r="E2389" s="226" t="s">
        <v>618</v>
      </c>
      <c r="F2389" s="226">
        <v>0</v>
      </c>
      <c r="G2389" s="226">
        <v>0</v>
      </c>
    </row>
    <row r="2390" spans="1:7">
      <c r="A2390" s="226" t="s">
        <v>1245</v>
      </c>
      <c r="B2390" s="226" t="s">
        <v>1235</v>
      </c>
      <c r="C2390" s="226" t="s">
        <v>625</v>
      </c>
      <c r="D2390" s="226" t="s">
        <v>6</v>
      </c>
      <c r="E2390" s="226" t="s">
        <v>619</v>
      </c>
      <c r="F2390" s="226">
        <v>1.1368875283530342E-2</v>
      </c>
      <c r="G2390" s="226">
        <v>0</v>
      </c>
    </row>
    <row r="2391" spans="1:7">
      <c r="A2391" s="226" t="s">
        <v>1245</v>
      </c>
      <c r="B2391" s="226" t="s">
        <v>1235</v>
      </c>
      <c r="C2391" s="226" t="s">
        <v>625</v>
      </c>
      <c r="D2391" s="226" t="s">
        <v>6</v>
      </c>
      <c r="E2391" s="226" t="s">
        <v>620</v>
      </c>
      <c r="F2391" s="226">
        <v>1.1368875283530342E-2</v>
      </c>
      <c r="G2391" s="226">
        <v>0</v>
      </c>
    </row>
    <row r="2392" spans="1:7">
      <c r="A2392" s="226" t="s">
        <v>1245</v>
      </c>
      <c r="B2392" s="226" t="s">
        <v>1235</v>
      </c>
      <c r="C2392" s="226" t="s">
        <v>625</v>
      </c>
      <c r="D2392" s="226" t="s">
        <v>6</v>
      </c>
      <c r="E2392" s="226" t="s">
        <v>660</v>
      </c>
      <c r="F2392" s="226">
        <v>1.1368875283530342E-2</v>
      </c>
      <c r="G2392" s="226">
        <v>0</v>
      </c>
    </row>
    <row r="2393" spans="1:7">
      <c r="A2393" s="226" t="s">
        <v>1245</v>
      </c>
      <c r="B2393" s="226" t="s">
        <v>1235</v>
      </c>
      <c r="C2393" s="226" t="s">
        <v>625</v>
      </c>
      <c r="D2393" s="226" t="s">
        <v>6</v>
      </c>
      <c r="E2393" s="226" t="s">
        <v>661</v>
      </c>
      <c r="F2393" s="226">
        <v>1.1368875283530342E-2</v>
      </c>
      <c r="G2393" s="226">
        <v>0</v>
      </c>
    </row>
    <row r="2394" spans="1:7">
      <c r="A2394" s="226" t="s">
        <v>1245</v>
      </c>
      <c r="B2394" s="226" t="s">
        <v>1235</v>
      </c>
      <c r="C2394" s="226" t="s">
        <v>625</v>
      </c>
      <c r="D2394" s="226" t="s">
        <v>6</v>
      </c>
      <c r="E2394" s="226" t="s">
        <v>662</v>
      </c>
      <c r="F2394" s="226">
        <v>1.1368875283530342E-2</v>
      </c>
      <c r="G2394" s="226">
        <v>0</v>
      </c>
    </row>
    <row r="2395" spans="1:7">
      <c r="A2395" s="226" t="s">
        <v>1245</v>
      </c>
      <c r="B2395" s="226" t="s">
        <v>1235</v>
      </c>
      <c r="C2395" s="226" t="s">
        <v>625</v>
      </c>
      <c r="D2395" s="226" t="s">
        <v>6</v>
      </c>
      <c r="E2395" s="226" t="s">
        <v>663</v>
      </c>
      <c r="F2395" s="226">
        <v>1.1368875283530342E-2</v>
      </c>
      <c r="G2395" s="226">
        <v>0</v>
      </c>
    </row>
    <row r="2396" spans="1:7">
      <c r="A2396" s="226" t="s">
        <v>1245</v>
      </c>
      <c r="B2396" s="226" t="s">
        <v>1235</v>
      </c>
      <c r="C2396" s="226" t="s">
        <v>625</v>
      </c>
      <c r="D2396" s="226" t="s">
        <v>6</v>
      </c>
      <c r="E2396" s="226" t="s">
        <v>664</v>
      </c>
      <c r="F2396" s="226">
        <v>1.1368875283530342E-2</v>
      </c>
      <c r="G2396" s="226">
        <v>0</v>
      </c>
    </row>
    <row r="2397" spans="1:7">
      <c r="A2397" s="226" t="s">
        <v>1245</v>
      </c>
      <c r="B2397" s="226" t="s">
        <v>1235</v>
      </c>
      <c r="C2397" s="226" t="s">
        <v>625</v>
      </c>
      <c r="D2397" s="226" t="s">
        <v>6</v>
      </c>
      <c r="E2397" s="226" t="s">
        <v>665</v>
      </c>
      <c r="F2397" s="226">
        <v>1.1368875283530342E-2</v>
      </c>
      <c r="G2397" s="226">
        <v>0</v>
      </c>
    </row>
    <row r="2398" spans="1:7">
      <c r="A2398" s="226" t="s">
        <v>1245</v>
      </c>
      <c r="B2398" s="226" t="s">
        <v>1235</v>
      </c>
      <c r="C2398" s="226" t="s">
        <v>625</v>
      </c>
      <c r="D2398" s="226" t="s">
        <v>6</v>
      </c>
      <c r="E2398" s="226" t="s">
        <v>666</v>
      </c>
      <c r="F2398" s="226">
        <v>1.1368875283530342E-2</v>
      </c>
      <c r="G2398" s="226">
        <v>0</v>
      </c>
    </row>
    <row r="2399" spans="1:7">
      <c r="A2399" s="226" t="s">
        <v>1245</v>
      </c>
      <c r="B2399" s="226" t="s">
        <v>1235</v>
      </c>
      <c r="C2399" s="226" t="s">
        <v>625</v>
      </c>
      <c r="D2399" s="226" t="s">
        <v>6</v>
      </c>
      <c r="E2399" s="226" t="s">
        <v>667</v>
      </c>
      <c r="F2399" s="226">
        <v>1.1368875283530342E-2</v>
      </c>
      <c r="G2399" s="226">
        <v>0</v>
      </c>
    </row>
    <row r="2400" spans="1:7">
      <c r="A2400" s="226" t="s">
        <v>1245</v>
      </c>
      <c r="B2400" s="226" t="s">
        <v>1235</v>
      </c>
      <c r="C2400" s="226" t="s">
        <v>627</v>
      </c>
      <c r="D2400" s="226" t="s">
        <v>13</v>
      </c>
      <c r="E2400" s="226" t="s">
        <v>618</v>
      </c>
      <c r="F2400" s="226">
        <v>1.5100000000000023E-2</v>
      </c>
      <c r="G2400" s="226">
        <v>1.5100000000000023E-2</v>
      </c>
    </row>
    <row r="2401" spans="1:7">
      <c r="A2401" s="226" t="s">
        <v>1245</v>
      </c>
      <c r="B2401" s="226" t="s">
        <v>1235</v>
      </c>
      <c r="C2401" s="226" t="s">
        <v>627</v>
      </c>
      <c r="D2401" s="226" t="s">
        <v>13</v>
      </c>
      <c r="E2401" s="226" t="s">
        <v>619</v>
      </c>
      <c r="F2401" s="226">
        <v>9.57917642502812E-2</v>
      </c>
      <c r="G2401" s="226">
        <v>0</v>
      </c>
    </row>
    <row r="2402" spans="1:7">
      <c r="A2402" s="226" t="s">
        <v>1245</v>
      </c>
      <c r="B2402" s="226" t="s">
        <v>1235</v>
      </c>
      <c r="C2402" s="226" t="s">
        <v>627</v>
      </c>
      <c r="D2402" s="226" t="s">
        <v>13</v>
      </c>
      <c r="E2402" s="226" t="s">
        <v>620</v>
      </c>
      <c r="F2402" s="226">
        <v>9.57917642502812E-2</v>
      </c>
      <c r="G2402" s="226">
        <v>0</v>
      </c>
    </row>
    <row r="2403" spans="1:7">
      <c r="A2403" s="226" t="s">
        <v>1245</v>
      </c>
      <c r="B2403" s="226" t="s">
        <v>1235</v>
      </c>
      <c r="C2403" s="226" t="s">
        <v>627</v>
      </c>
      <c r="D2403" s="226" t="s">
        <v>13</v>
      </c>
      <c r="E2403" s="226" t="s">
        <v>660</v>
      </c>
      <c r="F2403" s="226">
        <v>9.57917642502812E-2</v>
      </c>
      <c r="G2403" s="226">
        <v>0</v>
      </c>
    </row>
    <row r="2404" spans="1:7">
      <c r="A2404" s="226" t="s">
        <v>1245</v>
      </c>
      <c r="B2404" s="226" t="s">
        <v>1235</v>
      </c>
      <c r="C2404" s="226" t="s">
        <v>627</v>
      </c>
      <c r="D2404" s="226" t="s">
        <v>13</v>
      </c>
      <c r="E2404" s="226" t="s">
        <v>661</v>
      </c>
      <c r="F2404" s="226">
        <v>9.57917642502812E-2</v>
      </c>
      <c r="G2404" s="226">
        <v>0</v>
      </c>
    </row>
    <row r="2405" spans="1:7">
      <c r="A2405" s="226" t="s">
        <v>1245</v>
      </c>
      <c r="B2405" s="226" t="s">
        <v>1235</v>
      </c>
      <c r="C2405" s="226" t="s">
        <v>627</v>
      </c>
      <c r="D2405" s="226" t="s">
        <v>13</v>
      </c>
      <c r="E2405" s="226" t="s">
        <v>662</v>
      </c>
      <c r="F2405" s="226">
        <v>9.57917642502812E-2</v>
      </c>
      <c r="G2405" s="226">
        <v>0</v>
      </c>
    </row>
    <row r="2406" spans="1:7">
      <c r="A2406" s="226" t="s">
        <v>1245</v>
      </c>
      <c r="B2406" s="226" t="s">
        <v>1235</v>
      </c>
      <c r="C2406" s="226" t="s">
        <v>627</v>
      </c>
      <c r="D2406" s="226" t="s">
        <v>13</v>
      </c>
      <c r="E2406" s="226" t="s">
        <v>663</v>
      </c>
      <c r="F2406" s="226">
        <v>9.57917642502812E-2</v>
      </c>
      <c r="G2406" s="226">
        <v>0</v>
      </c>
    </row>
    <row r="2407" spans="1:7">
      <c r="A2407" s="226" t="s">
        <v>1245</v>
      </c>
      <c r="B2407" s="226" t="s">
        <v>1235</v>
      </c>
      <c r="C2407" s="226" t="s">
        <v>627</v>
      </c>
      <c r="D2407" s="226" t="s">
        <v>13</v>
      </c>
      <c r="E2407" s="226" t="s">
        <v>664</v>
      </c>
      <c r="F2407" s="226">
        <v>9.57917642502812E-2</v>
      </c>
      <c r="G2407" s="226">
        <v>0</v>
      </c>
    </row>
    <row r="2408" spans="1:7">
      <c r="A2408" s="226" t="s">
        <v>1245</v>
      </c>
      <c r="B2408" s="226" t="s">
        <v>1235</v>
      </c>
      <c r="C2408" s="226" t="s">
        <v>627</v>
      </c>
      <c r="D2408" s="226" t="s">
        <v>13</v>
      </c>
      <c r="E2408" s="226" t="s">
        <v>665</v>
      </c>
      <c r="F2408" s="226">
        <v>9.57917642502812E-2</v>
      </c>
      <c r="G2408" s="226">
        <v>0</v>
      </c>
    </row>
    <row r="2409" spans="1:7">
      <c r="A2409" s="226" t="s">
        <v>1245</v>
      </c>
      <c r="B2409" s="226" t="s">
        <v>1235</v>
      </c>
      <c r="C2409" s="226" t="s">
        <v>627</v>
      </c>
      <c r="D2409" s="226" t="s">
        <v>13</v>
      </c>
      <c r="E2409" s="226" t="s">
        <v>666</v>
      </c>
      <c r="F2409" s="226">
        <v>9.57917642502812E-2</v>
      </c>
      <c r="G2409" s="226">
        <v>0</v>
      </c>
    </row>
    <row r="2410" spans="1:7">
      <c r="A2410" s="226" t="s">
        <v>1245</v>
      </c>
      <c r="B2410" s="226" t="s">
        <v>1235</v>
      </c>
      <c r="C2410" s="226" t="s">
        <v>627</v>
      </c>
      <c r="D2410" s="226" t="s">
        <v>13</v>
      </c>
      <c r="E2410" s="226" t="s">
        <v>667</v>
      </c>
      <c r="F2410" s="226">
        <v>9.57917642502812E-2</v>
      </c>
      <c r="G2410" s="226">
        <v>0</v>
      </c>
    </row>
    <row r="2411" spans="1:7">
      <c r="A2411" s="226" t="s">
        <v>1245</v>
      </c>
      <c r="B2411" s="226" t="s">
        <v>1235</v>
      </c>
      <c r="C2411" s="226" t="s">
        <v>627</v>
      </c>
      <c r="D2411" s="226" t="s">
        <v>15</v>
      </c>
      <c r="E2411" s="226" t="s">
        <v>618</v>
      </c>
      <c r="F2411" s="226">
        <v>2.0799999999999982E-2</v>
      </c>
      <c r="G2411" s="226">
        <v>2.0799999999999982E-2</v>
      </c>
    </row>
    <row r="2412" spans="1:7">
      <c r="A2412" s="226" t="s">
        <v>1245</v>
      </c>
      <c r="B2412" s="226" t="s">
        <v>1235</v>
      </c>
      <c r="C2412" s="226" t="s">
        <v>627</v>
      </c>
      <c r="D2412" s="226" t="s">
        <v>15</v>
      </c>
      <c r="E2412" s="226" t="s">
        <v>619</v>
      </c>
      <c r="F2412" s="226">
        <v>1.9556678407435406E-2</v>
      </c>
      <c r="G2412" s="226">
        <v>0</v>
      </c>
    </row>
    <row r="2413" spans="1:7">
      <c r="A2413" s="226" t="s">
        <v>1245</v>
      </c>
      <c r="B2413" s="226" t="s">
        <v>1235</v>
      </c>
      <c r="C2413" s="226" t="s">
        <v>627</v>
      </c>
      <c r="D2413" s="226" t="s">
        <v>15</v>
      </c>
      <c r="E2413" s="226" t="s">
        <v>620</v>
      </c>
      <c r="F2413" s="226">
        <v>1.9556678407435406E-2</v>
      </c>
      <c r="G2413" s="226">
        <v>0</v>
      </c>
    </row>
    <row r="2414" spans="1:7">
      <c r="A2414" s="226" t="s">
        <v>1245</v>
      </c>
      <c r="B2414" s="226" t="s">
        <v>1235</v>
      </c>
      <c r="C2414" s="226" t="s">
        <v>627</v>
      </c>
      <c r="D2414" s="226" t="s">
        <v>15</v>
      </c>
      <c r="E2414" s="226" t="s">
        <v>660</v>
      </c>
      <c r="F2414" s="226">
        <v>1.9556678407435406E-2</v>
      </c>
      <c r="G2414" s="226">
        <v>0</v>
      </c>
    </row>
    <row r="2415" spans="1:7">
      <c r="A2415" s="226" t="s">
        <v>1245</v>
      </c>
      <c r="B2415" s="226" t="s">
        <v>1235</v>
      </c>
      <c r="C2415" s="226" t="s">
        <v>627</v>
      </c>
      <c r="D2415" s="226" t="s">
        <v>15</v>
      </c>
      <c r="E2415" s="226" t="s">
        <v>661</v>
      </c>
      <c r="F2415" s="226">
        <v>1.9556678407435406E-2</v>
      </c>
      <c r="G2415" s="226">
        <v>0</v>
      </c>
    </row>
    <row r="2416" spans="1:7">
      <c r="A2416" s="226" t="s">
        <v>1245</v>
      </c>
      <c r="B2416" s="226" t="s">
        <v>1235</v>
      </c>
      <c r="C2416" s="226" t="s">
        <v>627</v>
      </c>
      <c r="D2416" s="226" t="s">
        <v>15</v>
      </c>
      <c r="E2416" s="226" t="s">
        <v>662</v>
      </c>
      <c r="F2416" s="226">
        <v>1.9556678407435406E-2</v>
      </c>
      <c r="G2416" s="226">
        <v>0</v>
      </c>
    </row>
    <row r="2417" spans="1:7">
      <c r="A2417" s="226" t="s">
        <v>1245</v>
      </c>
      <c r="B2417" s="226" t="s">
        <v>1235</v>
      </c>
      <c r="C2417" s="226" t="s">
        <v>627</v>
      </c>
      <c r="D2417" s="226" t="s">
        <v>15</v>
      </c>
      <c r="E2417" s="226" t="s">
        <v>663</v>
      </c>
      <c r="F2417" s="226">
        <v>1.9556678407435406E-2</v>
      </c>
      <c r="G2417" s="226">
        <v>0</v>
      </c>
    </row>
    <row r="2418" spans="1:7">
      <c r="A2418" s="226" t="s">
        <v>1245</v>
      </c>
      <c r="B2418" s="226" t="s">
        <v>1235</v>
      </c>
      <c r="C2418" s="226" t="s">
        <v>627</v>
      </c>
      <c r="D2418" s="226" t="s">
        <v>15</v>
      </c>
      <c r="E2418" s="226" t="s">
        <v>664</v>
      </c>
      <c r="F2418" s="226">
        <v>1.9556678407435406E-2</v>
      </c>
      <c r="G2418" s="226">
        <v>0</v>
      </c>
    </row>
    <row r="2419" spans="1:7">
      <c r="A2419" s="226" t="s">
        <v>1245</v>
      </c>
      <c r="B2419" s="226" t="s">
        <v>1235</v>
      </c>
      <c r="C2419" s="226" t="s">
        <v>627</v>
      </c>
      <c r="D2419" s="226" t="s">
        <v>15</v>
      </c>
      <c r="E2419" s="226" t="s">
        <v>665</v>
      </c>
      <c r="F2419" s="226">
        <v>1.9556678407435406E-2</v>
      </c>
      <c r="G2419" s="226">
        <v>0</v>
      </c>
    </row>
    <row r="2420" spans="1:7">
      <c r="A2420" s="226" t="s">
        <v>1245</v>
      </c>
      <c r="B2420" s="226" t="s">
        <v>1235</v>
      </c>
      <c r="C2420" s="226" t="s">
        <v>627</v>
      </c>
      <c r="D2420" s="226" t="s">
        <v>15</v>
      </c>
      <c r="E2420" s="226" t="s">
        <v>666</v>
      </c>
      <c r="F2420" s="226">
        <v>1.9556678407435406E-2</v>
      </c>
      <c r="G2420" s="226">
        <v>0</v>
      </c>
    </row>
    <row r="2421" spans="1:7">
      <c r="A2421" s="226" t="s">
        <v>1245</v>
      </c>
      <c r="B2421" s="226" t="s">
        <v>1235</v>
      </c>
      <c r="C2421" s="226" t="s">
        <v>627</v>
      </c>
      <c r="D2421" s="226" t="s">
        <v>15</v>
      </c>
      <c r="E2421" s="226" t="s">
        <v>667</v>
      </c>
      <c r="F2421" s="226">
        <v>1.9556678407435406E-2</v>
      </c>
      <c r="G2421" s="226">
        <v>0</v>
      </c>
    </row>
    <row r="2422" spans="1:7">
      <c r="A2422" s="226" t="s">
        <v>1245</v>
      </c>
      <c r="B2422" s="226" t="s">
        <v>1235</v>
      </c>
      <c r="C2422" s="226" t="s">
        <v>625</v>
      </c>
      <c r="D2422" s="226" t="s">
        <v>0</v>
      </c>
      <c r="E2422" s="226" t="s">
        <v>618</v>
      </c>
      <c r="F2422" s="226">
        <v>1.75E-3</v>
      </c>
      <c r="G2422" s="226">
        <v>1.75E-3</v>
      </c>
    </row>
    <row r="2423" spans="1:7">
      <c r="A2423" s="226" t="s">
        <v>1245</v>
      </c>
      <c r="B2423" s="226" t="s">
        <v>1235</v>
      </c>
      <c r="C2423" s="226" t="s">
        <v>625</v>
      </c>
      <c r="D2423" s="226" t="s">
        <v>0</v>
      </c>
      <c r="E2423" s="226" t="s">
        <v>619</v>
      </c>
      <c r="F2423" s="226">
        <v>0.20962988916960187</v>
      </c>
      <c r="G2423" s="226">
        <v>0</v>
      </c>
    </row>
    <row r="2424" spans="1:7">
      <c r="A2424" s="226" t="s">
        <v>1245</v>
      </c>
      <c r="B2424" s="226" t="s">
        <v>1235</v>
      </c>
      <c r="C2424" s="226" t="s">
        <v>625</v>
      </c>
      <c r="D2424" s="226" t="s">
        <v>0</v>
      </c>
      <c r="E2424" s="226" t="s">
        <v>620</v>
      </c>
      <c r="F2424" s="226">
        <v>0.20962988916960187</v>
      </c>
      <c r="G2424" s="226">
        <v>0</v>
      </c>
    </row>
    <row r="2425" spans="1:7">
      <c r="A2425" s="226" t="s">
        <v>1245</v>
      </c>
      <c r="B2425" s="226" t="s">
        <v>1235</v>
      </c>
      <c r="C2425" s="226" t="s">
        <v>625</v>
      </c>
      <c r="D2425" s="226" t="s">
        <v>0</v>
      </c>
      <c r="E2425" s="226" t="s">
        <v>660</v>
      </c>
      <c r="F2425" s="226">
        <v>0.20962988916960187</v>
      </c>
      <c r="G2425" s="226">
        <v>0</v>
      </c>
    </row>
    <row r="2426" spans="1:7">
      <c r="A2426" s="226" t="s">
        <v>1245</v>
      </c>
      <c r="B2426" s="226" t="s">
        <v>1235</v>
      </c>
      <c r="C2426" s="226" t="s">
        <v>625</v>
      </c>
      <c r="D2426" s="226" t="s">
        <v>0</v>
      </c>
      <c r="E2426" s="226" t="s">
        <v>661</v>
      </c>
      <c r="F2426" s="226">
        <v>0.20962988916960187</v>
      </c>
      <c r="G2426" s="226">
        <v>0</v>
      </c>
    </row>
    <row r="2427" spans="1:7">
      <c r="A2427" s="226" t="s">
        <v>1245</v>
      </c>
      <c r="B2427" s="226" t="s">
        <v>1235</v>
      </c>
      <c r="C2427" s="226" t="s">
        <v>625</v>
      </c>
      <c r="D2427" s="226" t="s">
        <v>0</v>
      </c>
      <c r="E2427" s="226" t="s">
        <v>662</v>
      </c>
      <c r="F2427" s="226">
        <v>0.20962988916960187</v>
      </c>
      <c r="G2427" s="226">
        <v>0</v>
      </c>
    </row>
    <row r="2428" spans="1:7">
      <c r="A2428" s="226" t="s">
        <v>1245</v>
      </c>
      <c r="B2428" s="226" t="s">
        <v>1235</v>
      </c>
      <c r="C2428" s="226" t="s">
        <v>625</v>
      </c>
      <c r="D2428" s="226" t="s">
        <v>0</v>
      </c>
      <c r="E2428" s="226" t="s">
        <v>663</v>
      </c>
      <c r="F2428" s="226">
        <v>0.20962988916960187</v>
      </c>
      <c r="G2428" s="226">
        <v>0</v>
      </c>
    </row>
    <row r="2429" spans="1:7">
      <c r="A2429" s="226" t="s">
        <v>1245</v>
      </c>
      <c r="B2429" s="226" t="s">
        <v>1235</v>
      </c>
      <c r="C2429" s="226" t="s">
        <v>625</v>
      </c>
      <c r="D2429" s="226" t="s">
        <v>0</v>
      </c>
      <c r="E2429" s="226" t="s">
        <v>664</v>
      </c>
      <c r="F2429" s="226">
        <v>0.20962988916960187</v>
      </c>
      <c r="G2429" s="226">
        <v>0</v>
      </c>
    </row>
    <row r="2430" spans="1:7">
      <c r="A2430" s="226" t="s">
        <v>1245</v>
      </c>
      <c r="B2430" s="226" t="s">
        <v>1235</v>
      </c>
      <c r="C2430" s="226" t="s">
        <v>625</v>
      </c>
      <c r="D2430" s="226" t="s">
        <v>0</v>
      </c>
      <c r="E2430" s="226" t="s">
        <v>665</v>
      </c>
      <c r="F2430" s="226">
        <v>0.20962988916960187</v>
      </c>
      <c r="G2430" s="226">
        <v>0</v>
      </c>
    </row>
    <row r="2431" spans="1:7">
      <c r="A2431" s="226" t="s">
        <v>1245</v>
      </c>
      <c r="B2431" s="226" t="s">
        <v>1235</v>
      </c>
      <c r="C2431" s="226" t="s">
        <v>625</v>
      </c>
      <c r="D2431" s="226" t="s">
        <v>0</v>
      </c>
      <c r="E2431" s="226" t="s">
        <v>666</v>
      </c>
      <c r="F2431" s="226">
        <v>0.20962988916960187</v>
      </c>
      <c r="G2431" s="226">
        <v>0</v>
      </c>
    </row>
    <row r="2432" spans="1:7">
      <c r="A2432" s="226" t="s">
        <v>1245</v>
      </c>
      <c r="B2432" s="226" t="s">
        <v>1235</v>
      </c>
      <c r="C2432" s="226" t="s">
        <v>625</v>
      </c>
      <c r="D2432" s="226" t="s">
        <v>0</v>
      </c>
      <c r="E2432" s="226" t="s">
        <v>667</v>
      </c>
      <c r="F2432" s="226">
        <v>0.20962988916960187</v>
      </c>
      <c r="G2432" s="226">
        <v>0</v>
      </c>
    </row>
    <row r="2433" spans="1:7">
      <c r="A2433" s="226" t="s">
        <v>1245</v>
      </c>
      <c r="B2433" s="226" t="s">
        <v>1235</v>
      </c>
      <c r="C2433" s="226" t="s">
        <v>625</v>
      </c>
      <c r="D2433" s="226" t="s">
        <v>4</v>
      </c>
      <c r="E2433" s="226" t="s">
        <v>618</v>
      </c>
      <c r="F2433" s="226">
        <v>0</v>
      </c>
      <c r="G2433" s="226">
        <v>0</v>
      </c>
    </row>
    <row r="2434" spans="1:7">
      <c r="A2434" s="226" t="s">
        <v>1245</v>
      </c>
      <c r="B2434" s="226" t="s">
        <v>1235</v>
      </c>
      <c r="C2434" s="226" t="s">
        <v>625</v>
      </c>
      <c r="D2434" s="226" t="s">
        <v>4</v>
      </c>
      <c r="E2434" s="226" t="s">
        <v>619</v>
      </c>
      <c r="F2434" s="226">
        <v>1.7334538145204414E-2</v>
      </c>
      <c r="G2434" s="226">
        <v>0</v>
      </c>
    </row>
    <row r="2435" spans="1:7">
      <c r="A2435" s="226" t="s">
        <v>1245</v>
      </c>
      <c r="B2435" s="226" t="s">
        <v>1235</v>
      </c>
      <c r="C2435" s="226" t="s">
        <v>625</v>
      </c>
      <c r="D2435" s="226" t="s">
        <v>4</v>
      </c>
      <c r="E2435" s="226" t="s">
        <v>620</v>
      </c>
      <c r="F2435" s="226">
        <v>1.7334538145204414E-2</v>
      </c>
      <c r="G2435" s="226">
        <v>0</v>
      </c>
    </row>
    <row r="2436" spans="1:7">
      <c r="A2436" s="226" t="s">
        <v>1245</v>
      </c>
      <c r="B2436" s="226" t="s">
        <v>1235</v>
      </c>
      <c r="C2436" s="226" t="s">
        <v>625</v>
      </c>
      <c r="D2436" s="226" t="s">
        <v>4</v>
      </c>
      <c r="E2436" s="226" t="s">
        <v>660</v>
      </c>
      <c r="F2436" s="226">
        <v>1.7334538145204414E-2</v>
      </c>
      <c r="G2436" s="226">
        <v>0</v>
      </c>
    </row>
    <row r="2437" spans="1:7">
      <c r="A2437" s="226" t="s">
        <v>1245</v>
      </c>
      <c r="B2437" s="226" t="s">
        <v>1235</v>
      </c>
      <c r="C2437" s="226" t="s">
        <v>625</v>
      </c>
      <c r="D2437" s="226" t="s">
        <v>4</v>
      </c>
      <c r="E2437" s="226" t="s">
        <v>661</v>
      </c>
      <c r="F2437" s="226">
        <v>1.7334538145204414E-2</v>
      </c>
      <c r="G2437" s="226">
        <v>0</v>
      </c>
    </row>
    <row r="2438" spans="1:7">
      <c r="A2438" s="226" t="s">
        <v>1245</v>
      </c>
      <c r="B2438" s="226" t="s">
        <v>1235</v>
      </c>
      <c r="C2438" s="226" t="s">
        <v>625</v>
      </c>
      <c r="D2438" s="226" t="s">
        <v>4</v>
      </c>
      <c r="E2438" s="226" t="s">
        <v>662</v>
      </c>
      <c r="F2438" s="226">
        <v>1.7334538145204414E-2</v>
      </c>
      <c r="G2438" s="226">
        <v>0</v>
      </c>
    </row>
    <row r="2439" spans="1:7">
      <c r="A2439" s="226" t="s">
        <v>1245</v>
      </c>
      <c r="B2439" s="226" t="s">
        <v>1235</v>
      </c>
      <c r="C2439" s="226" t="s">
        <v>625</v>
      </c>
      <c r="D2439" s="226" t="s">
        <v>4</v>
      </c>
      <c r="E2439" s="226" t="s">
        <v>663</v>
      </c>
      <c r="F2439" s="226">
        <v>1.7334538145204414E-2</v>
      </c>
      <c r="G2439" s="226">
        <v>0</v>
      </c>
    </row>
    <row r="2440" spans="1:7">
      <c r="A2440" s="226" t="s">
        <v>1245</v>
      </c>
      <c r="B2440" s="226" t="s">
        <v>1235</v>
      </c>
      <c r="C2440" s="226" t="s">
        <v>625</v>
      </c>
      <c r="D2440" s="226" t="s">
        <v>4</v>
      </c>
      <c r="E2440" s="226" t="s">
        <v>664</v>
      </c>
      <c r="F2440" s="226">
        <v>1.7334538145204414E-2</v>
      </c>
      <c r="G2440" s="226">
        <v>0</v>
      </c>
    </row>
    <row r="2441" spans="1:7">
      <c r="A2441" s="226" t="s">
        <v>1245</v>
      </c>
      <c r="B2441" s="226" t="s">
        <v>1235</v>
      </c>
      <c r="C2441" s="226" t="s">
        <v>625</v>
      </c>
      <c r="D2441" s="226" t="s">
        <v>4</v>
      </c>
      <c r="E2441" s="226" t="s">
        <v>665</v>
      </c>
      <c r="F2441" s="226">
        <v>1.7334538145204414E-2</v>
      </c>
      <c r="G2441" s="226">
        <v>0</v>
      </c>
    </row>
    <row r="2442" spans="1:7">
      <c r="A2442" s="226" t="s">
        <v>1245</v>
      </c>
      <c r="B2442" s="226" t="s">
        <v>1235</v>
      </c>
      <c r="C2442" s="226" t="s">
        <v>625</v>
      </c>
      <c r="D2442" s="226" t="s">
        <v>4</v>
      </c>
      <c r="E2442" s="226" t="s">
        <v>666</v>
      </c>
      <c r="F2442" s="226">
        <v>1.7334538145204414E-2</v>
      </c>
      <c r="G2442" s="226">
        <v>0</v>
      </c>
    </row>
    <row r="2443" spans="1:7">
      <c r="A2443" s="226" t="s">
        <v>1245</v>
      </c>
      <c r="B2443" s="226" t="s">
        <v>1235</v>
      </c>
      <c r="C2443" s="226" t="s">
        <v>625</v>
      </c>
      <c r="D2443" s="226" t="s">
        <v>4</v>
      </c>
      <c r="E2443" s="226" t="s">
        <v>667</v>
      </c>
      <c r="F2443" s="226">
        <v>1.7334538145204414E-2</v>
      </c>
      <c r="G2443" s="226">
        <v>0</v>
      </c>
    </row>
    <row r="2444" spans="1:7">
      <c r="A2444" s="226" t="s">
        <v>1245</v>
      </c>
      <c r="B2444" s="226" t="s">
        <v>1235</v>
      </c>
      <c r="C2444" s="226" t="s">
        <v>963</v>
      </c>
      <c r="D2444" s="226" t="s">
        <v>17</v>
      </c>
      <c r="E2444" s="226" t="s">
        <v>618</v>
      </c>
      <c r="F2444" s="226">
        <v>0</v>
      </c>
      <c r="G2444" s="226">
        <v>0</v>
      </c>
    </row>
    <row r="2445" spans="1:7">
      <c r="A2445" s="226" t="s">
        <v>1245</v>
      </c>
      <c r="B2445" s="226" t="s">
        <v>1235</v>
      </c>
      <c r="C2445" s="226" t="s">
        <v>963</v>
      </c>
      <c r="D2445" s="226" t="s">
        <v>17</v>
      </c>
      <c r="E2445" s="226" t="s">
        <v>619</v>
      </c>
      <c r="F2445" s="226">
        <v>3.1334943847161005E-2</v>
      </c>
      <c r="G2445" s="226">
        <v>0</v>
      </c>
    </row>
    <row r="2446" spans="1:7">
      <c r="A2446" s="226" t="s">
        <v>1245</v>
      </c>
      <c r="B2446" s="226" t="s">
        <v>1235</v>
      </c>
      <c r="C2446" s="226" t="s">
        <v>963</v>
      </c>
      <c r="D2446" s="226" t="s">
        <v>17</v>
      </c>
      <c r="E2446" s="226" t="s">
        <v>620</v>
      </c>
      <c r="F2446" s="226">
        <v>3.1334943847161005E-2</v>
      </c>
      <c r="G2446" s="226">
        <v>0</v>
      </c>
    </row>
    <row r="2447" spans="1:7">
      <c r="A2447" s="226" t="s">
        <v>1245</v>
      </c>
      <c r="B2447" s="226" t="s">
        <v>1235</v>
      </c>
      <c r="C2447" s="226" t="s">
        <v>963</v>
      </c>
      <c r="D2447" s="226" t="s">
        <v>17</v>
      </c>
      <c r="E2447" s="226" t="s">
        <v>660</v>
      </c>
      <c r="F2447" s="226">
        <v>3.1334943847161005E-2</v>
      </c>
      <c r="G2447" s="226">
        <v>0</v>
      </c>
    </row>
    <row r="2448" spans="1:7">
      <c r="A2448" s="226" t="s">
        <v>1245</v>
      </c>
      <c r="B2448" s="226" t="s">
        <v>1235</v>
      </c>
      <c r="C2448" s="226" t="s">
        <v>963</v>
      </c>
      <c r="D2448" s="226" t="s">
        <v>17</v>
      </c>
      <c r="E2448" s="226" t="s">
        <v>661</v>
      </c>
      <c r="F2448" s="226">
        <v>3.1334943847161005E-2</v>
      </c>
      <c r="G2448" s="226">
        <v>0</v>
      </c>
    </row>
    <row r="2449" spans="1:7">
      <c r="A2449" s="226" t="s">
        <v>1245</v>
      </c>
      <c r="B2449" s="226" t="s">
        <v>1235</v>
      </c>
      <c r="C2449" s="226" t="s">
        <v>963</v>
      </c>
      <c r="D2449" s="226" t="s">
        <v>17</v>
      </c>
      <c r="E2449" s="226" t="s">
        <v>662</v>
      </c>
      <c r="F2449" s="226">
        <v>3.1334943847161005E-2</v>
      </c>
      <c r="G2449" s="226">
        <v>0</v>
      </c>
    </row>
    <row r="2450" spans="1:7">
      <c r="A2450" s="226" t="s">
        <v>1245</v>
      </c>
      <c r="B2450" s="226" t="s">
        <v>1235</v>
      </c>
      <c r="C2450" s="226" t="s">
        <v>963</v>
      </c>
      <c r="D2450" s="226" t="s">
        <v>17</v>
      </c>
      <c r="E2450" s="226" t="s">
        <v>663</v>
      </c>
      <c r="F2450" s="226">
        <v>3.1334943847161005E-2</v>
      </c>
      <c r="G2450" s="226">
        <v>0</v>
      </c>
    </row>
    <row r="2451" spans="1:7">
      <c r="A2451" s="226" t="s">
        <v>1245</v>
      </c>
      <c r="B2451" s="226" t="s">
        <v>1235</v>
      </c>
      <c r="C2451" s="226" t="s">
        <v>963</v>
      </c>
      <c r="D2451" s="226" t="s">
        <v>17</v>
      </c>
      <c r="E2451" s="226" t="s">
        <v>664</v>
      </c>
      <c r="F2451" s="226">
        <v>3.1334943847161005E-2</v>
      </c>
      <c r="G2451" s="226">
        <v>0</v>
      </c>
    </row>
    <row r="2452" spans="1:7">
      <c r="A2452" s="226" t="s">
        <v>1245</v>
      </c>
      <c r="B2452" s="226" t="s">
        <v>1235</v>
      </c>
      <c r="C2452" s="226" t="s">
        <v>963</v>
      </c>
      <c r="D2452" s="226" t="s">
        <v>17</v>
      </c>
      <c r="E2452" s="226" t="s">
        <v>665</v>
      </c>
      <c r="F2452" s="226">
        <v>3.1334943847161005E-2</v>
      </c>
      <c r="G2452" s="226">
        <v>0</v>
      </c>
    </row>
    <row r="2453" spans="1:7">
      <c r="A2453" s="226" t="s">
        <v>1245</v>
      </c>
      <c r="B2453" s="226" t="s">
        <v>1235</v>
      </c>
      <c r="C2453" s="226" t="s">
        <v>963</v>
      </c>
      <c r="D2453" s="226" t="s">
        <v>17</v>
      </c>
      <c r="E2453" s="226" t="s">
        <v>666</v>
      </c>
      <c r="F2453" s="226">
        <v>3.1334943847161005E-2</v>
      </c>
      <c r="G2453" s="226">
        <v>0</v>
      </c>
    </row>
    <row r="2454" spans="1:7">
      <c r="A2454" s="226" t="s">
        <v>1245</v>
      </c>
      <c r="B2454" s="226" t="s">
        <v>1235</v>
      </c>
      <c r="C2454" s="226" t="s">
        <v>963</v>
      </c>
      <c r="D2454" s="226" t="s">
        <v>17</v>
      </c>
      <c r="E2454" s="226" t="s">
        <v>667</v>
      </c>
      <c r="F2454" s="226">
        <v>3.1334943847161005E-2</v>
      </c>
      <c r="G2454" s="226">
        <v>0</v>
      </c>
    </row>
    <row r="2455" spans="1:7">
      <c r="A2455" s="226" t="s">
        <v>1245</v>
      </c>
      <c r="B2455" s="226" t="s">
        <v>1235</v>
      </c>
      <c r="C2455" s="226" t="s">
        <v>626</v>
      </c>
      <c r="D2455" s="226" t="s">
        <v>92</v>
      </c>
      <c r="E2455" s="226" t="s">
        <v>618</v>
      </c>
      <c r="F2455" s="226">
        <v>0</v>
      </c>
      <c r="G2455" s="226">
        <v>0</v>
      </c>
    </row>
    <row r="2456" spans="1:7">
      <c r="A2456" s="226" t="s">
        <v>1245</v>
      </c>
      <c r="B2456" s="226" t="s">
        <v>1235</v>
      </c>
      <c r="C2456" s="226" t="s">
        <v>626</v>
      </c>
      <c r="D2456" s="226" t="s">
        <v>92</v>
      </c>
      <c r="E2456" s="226" t="s">
        <v>619</v>
      </c>
      <c r="F2456" s="226">
        <v>0</v>
      </c>
      <c r="G2456" s="226">
        <v>0</v>
      </c>
    </row>
    <row r="2457" spans="1:7">
      <c r="A2457" s="226" t="s">
        <v>1245</v>
      </c>
      <c r="B2457" s="226" t="s">
        <v>1235</v>
      </c>
      <c r="C2457" s="226" t="s">
        <v>626</v>
      </c>
      <c r="D2457" s="226" t="s">
        <v>92</v>
      </c>
      <c r="E2457" s="226" t="s">
        <v>620</v>
      </c>
      <c r="F2457" s="226">
        <v>0</v>
      </c>
      <c r="G2457" s="226">
        <v>0</v>
      </c>
    </row>
    <row r="2458" spans="1:7">
      <c r="A2458" s="226" t="s">
        <v>1245</v>
      </c>
      <c r="B2458" s="226" t="s">
        <v>1235</v>
      </c>
      <c r="C2458" s="226" t="s">
        <v>626</v>
      </c>
      <c r="D2458" s="226" t="s">
        <v>92</v>
      </c>
      <c r="E2458" s="226" t="s">
        <v>660</v>
      </c>
      <c r="F2458" s="226">
        <v>0</v>
      </c>
      <c r="G2458" s="226">
        <v>0</v>
      </c>
    </row>
    <row r="2459" spans="1:7">
      <c r="A2459" s="226" t="s">
        <v>1245</v>
      </c>
      <c r="B2459" s="226" t="s">
        <v>1235</v>
      </c>
      <c r="C2459" s="226" t="s">
        <v>626</v>
      </c>
      <c r="D2459" s="226" t="s">
        <v>92</v>
      </c>
      <c r="E2459" s="226" t="s">
        <v>661</v>
      </c>
      <c r="F2459" s="226">
        <v>0</v>
      </c>
      <c r="G2459" s="226">
        <v>0</v>
      </c>
    </row>
    <row r="2460" spans="1:7">
      <c r="A2460" s="226" t="s">
        <v>1245</v>
      </c>
      <c r="B2460" s="226" t="s">
        <v>1235</v>
      </c>
      <c r="C2460" s="226" t="s">
        <v>626</v>
      </c>
      <c r="D2460" s="226" t="s">
        <v>92</v>
      </c>
      <c r="E2460" s="226" t="s">
        <v>662</v>
      </c>
      <c r="F2460" s="226">
        <v>0</v>
      </c>
      <c r="G2460" s="226">
        <v>0</v>
      </c>
    </row>
    <row r="2461" spans="1:7">
      <c r="A2461" s="226" t="s">
        <v>1245</v>
      </c>
      <c r="B2461" s="226" t="s">
        <v>1235</v>
      </c>
      <c r="C2461" s="226" t="s">
        <v>626</v>
      </c>
      <c r="D2461" s="226" t="s">
        <v>92</v>
      </c>
      <c r="E2461" s="226" t="s">
        <v>663</v>
      </c>
      <c r="F2461" s="226">
        <v>0</v>
      </c>
      <c r="G2461" s="226">
        <v>0</v>
      </c>
    </row>
    <row r="2462" spans="1:7">
      <c r="A2462" s="226" t="s">
        <v>1245</v>
      </c>
      <c r="B2462" s="226" t="s">
        <v>1235</v>
      </c>
      <c r="C2462" s="226" t="s">
        <v>626</v>
      </c>
      <c r="D2462" s="226" t="s">
        <v>92</v>
      </c>
      <c r="E2462" s="226" t="s">
        <v>664</v>
      </c>
      <c r="F2462" s="226">
        <v>0</v>
      </c>
      <c r="G2462" s="226">
        <v>0</v>
      </c>
    </row>
    <row r="2463" spans="1:7">
      <c r="A2463" s="226" t="s">
        <v>1245</v>
      </c>
      <c r="B2463" s="226" t="s">
        <v>1235</v>
      </c>
      <c r="C2463" s="226" t="s">
        <v>626</v>
      </c>
      <c r="D2463" s="226" t="s">
        <v>92</v>
      </c>
      <c r="E2463" s="226" t="s">
        <v>665</v>
      </c>
      <c r="F2463" s="226">
        <v>0</v>
      </c>
      <c r="G2463" s="226">
        <v>0</v>
      </c>
    </row>
    <row r="2464" spans="1:7">
      <c r="A2464" s="226" t="s">
        <v>1245</v>
      </c>
      <c r="B2464" s="226" t="s">
        <v>1235</v>
      </c>
      <c r="C2464" s="226" t="s">
        <v>626</v>
      </c>
      <c r="D2464" s="226" t="s">
        <v>92</v>
      </c>
      <c r="E2464" s="226" t="s">
        <v>666</v>
      </c>
      <c r="F2464" s="226">
        <v>0</v>
      </c>
      <c r="G2464" s="226">
        <v>0</v>
      </c>
    </row>
    <row r="2465" spans="1:7">
      <c r="A2465" s="226" t="s">
        <v>1245</v>
      </c>
      <c r="B2465" s="226" t="s">
        <v>1235</v>
      </c>
      <c r="C2465" s="226" t="s">
        <v>626</v>
      </c>
      <c r="D2465" s="226" t="s">
        <v>92</v>
      </c>
      <c r="E2465" s="226" t="s">
        <v>667</v>
      </c>
      <c r="F2465" s="226">
        <v>0</v>
      </c>
      <c r="G2465" s="226">
        <v>0</v>
      </c>
    </row>
    <row r="2466" spans="1:7">
      <c r="A2466" s="226" t="s">
        <v>1245</v>
      </c>
      <c r="B2466" s="226" t="s">
        <v>1235</v>
      </c>
      <c r="C2466" s="226" t="s">
        <v>625</v>
      </c>
      <c r="D2466" s="226" t="s">
        <v>93</v>
      </c>
      <c r="E2466" s="226" t="s">
        <v>618</v>
      </c>
      <c r="F2466" s="226">
        <v>0</v>
      </c>
      <c r="G2466" s="226">
        <v>0</v>
      </c>
    </row>
    <row r="2467" spans="1:7">
      <c r="A2467" s="226" t="s">
        <v>1245</v>
      </c>
      <c r="B2467" s="226" t="s">
        <v>1235</v>
      </c>
      <c r="C2467" s="226" t="s">
        <v>625</v>
      </c>
      <c r="D2467" s="226" t="s">
        <v>93</v>
      </c>
      <c r="E2467" s="226" t="s">
        <v>619</v>
      </c>
      <c r="F2467" s="226">
        <v>9.5893189739428685E-3</v>
      </c>
      <c r="G2467" s="226">
        <v>0</v>
      </c>
    </row>
    <row r="2468" spans="1:7">
      <c r="A2468" s="226" t="s">
        <v>1245</v>
      </c>
      <c r="B2468" s="226" t="s">
        <v>1235</v>
      </c>
      <c r="C2468" s="226" t="s">
        <v>625</v>
      </c>
      <c r="D2468" s="226" t="s">
        <v>93</v>
      </c>
      <c r="E2468" s="226" t="s">
        <v>620</v>
      </c>
      <c r="F2468" s="226">
        <v>9.5893189739428685E-3</v>
      </c>
      <c r="G2468" s="226">
        <v>0</v>
      </c>
    </row>
    <row r="2469" spans="1:7">
      <c r="A2469" s="226" t="s">
        <v>1245</v>
      </c>
      <c r="B2469" s="226" t="s">
        <v>1235</v>
      </c>
      <c r="C2469" s="226" t="s">
        <v>625</v>
      </c>
      <c r="D2469" s="226" t="s">
        <v>93</v>
      </c>
      <c r="E2469" s="226" t="s">
        <v>660</v>
      </c>
      <c r="F2469" s="226">
        <v>9.5893189739428685E-3</v>
      </c>
      <c r="G2469" s="226">
        <v>0</v>
      </c>
    </row>
    <row r="2470" spans="1:7">
      <c r="A2470" s="226" t="s">
        <v>1245</v>
      </c>
      <c r="B2470" s="226" t="s">
        <v>1235</v>
      </c>
      <c r="C2470" s="226" t="s">
        <v>625</v>
      </c>
      <c r="D2470" s="226" t="s">
        <v>93</v>
      </c>
      <c r="E2470" s="226" t="s">
        <v>661</v>
      </c>
      <c r="F2470" s="226">
        <v>9.5893189739428685E-3</v>
      </c>
      <c r="G2470" s="226">
        <v>0</v>
      </c>
    </row>
    <row r="2471" spans="1:7">
      <c r="A2471" s="226" t="s">
        <v>1245</v>
      </c>
      <c r="B2471" s="226" t="s">
        <v>1235</v>
      </c>
      <c r="C2471" s="226" t="s">
        <v>625</v>
      </c>
      <c r="D2471" s="226" t="s">
        <v>93</v>
      </c>
      <c r="E2471" s="226" t="s">
        <v>662</v>
      </c>
      <c r="F2471" s="226">
        <v>9.5893189739428685E-3</v>
      </c>
      <c r="G2471" s="226">
        <v>0</v>
      </c>
    </row>
    <row r="2472" spans="1:7">
      <c r="A2472" s="226" t="s">
        <v>1245</v>
      </c>
      <c r="B2472" s="226" t="s">
        <v>1235</v>
      </c>
      <c r="C2472" s="226" t="s">
        <v>625</v>
      </c>
      <c r="D2472" s="226" t="s">
        <v>93</v>
      </c>
      <c r="E2472" s="226" t="s">
        <v>663</v>
      </c>
      <c r="F2472" s="226">
        <v>9.5893189739428685E-3</v>
      </c>
      <c r="G2472" s="226">
        <v>0</v>
      </c>
    </row>
    <row r="2473" spans="1:7">
      <c r="A2473" s="226" t="s">
        <v>1245</v>
      </c>
      <c r="B2473" s="226" t="s">
        <v>1235</v>
      </c>
      <c r="C2473" s="226" t="s">
        <v>625</v>
      </c>
      <c r="D2473" s="226" t="s">
        <v>93</v>
      </c>
      <c r="E2473" s="226" t="s">
        <v>664</v>
      </c>
      <c r="F2473" s="226">
        <v>9.5893189739428685E-3</v>
      </c>
      <c r="G2473" s="226">
        <v>0</v>
      </c>
    </row>
    <row r="2474" spans="1:7">
      <c r="A2474" s="226" t="s">
        <v>1245</v>
      </c>
      <c r="B2474" s="226" t="s">
        <v>1235</v>
      </c>
      <c r="C2474" s="226" t="s">
        <v>625</v>
      </c>
      <c r="D2474" s="226" t="s">
        <v>93</v>
      </c>
      <c r="E2474" s="226" t="s">
        <v>665</v>
      </c>
      <c r="F2474" s="226">
        <v>9.5893189739428685E-3</v>
      </c>
      <c r="G2474" s="226">
        <v>0</v>
      </c>
    </row>
    <row r="2475" spans="1:7">
      <c r="A2475" s="226" t="s">
        <v>1245</v>
      </c>
      <c r="B2475" s="226" t="s">
        <v>1235</v>
      </c>
      <c r="C2475" s="226" t="s">
        <v>625</v>
      </c>
      <c r="D2475" s="226" t="s">
        <v>93</v>
      </c>
      <c r="E2475" s="226" t="s">
        <v>666</v>
      </c>
      <c r="F2475" s="226">
        <v>9.5893189739428685E-3</v>
      </c>
      <c r="G2475" s="226">
        <v>0</v>
      </c>
    </row>
    <row r="2476" spans="1:7">
      <c r="A2476" s="226" t="s">
        <v>1245</v>
      </c>
      <c r="B2476" s="226" t="s">
        <v>1235</v>
      </c>
      <c r="C2476" s="226" t="s">
        <v>625</v>
      </c>
      <c r="D2476" s="226" t="s">
        <v>93</v>
      </c>
      <c r="E2476" s="226" t="s">
        <v>667</v>
      </c>
      <c r="F2476" s="226">
        <v>9.5893189739428685E-3</v>
      </c>
      <c r="G2476" s="226">
        <v>0</v>
      </c>
    </row>
    <row r="2477" spans="1:7">
      <c r="A2477" s="226" t="s">
        <v>1264</v>
      </c>
      <c r="B2477" s="226" t="s">
        <v>1235</v>
      </c>
      <c r="C2477" s="226"/>
      <c r="D2477" s="226"/>
      <c r="E2477" s="226">
        <v>2021</v>
      </c>
      <c r="F2477" s="226">
        <v>2.8963000000000001</v>
      </c>
      <c r="G2477" s="226">
        <v>0</v>
      </c>
    </row>
    <row r="2478" spans="1:7">
      <c r="A2478" s="226" t="s">
        <v>1264</v>
      </c>
      <c r="B2478" s="226" t="s">
        <v>1235</v>
      </c>
      <c r="C2478" s="226"/>
      <c r="D2478" s="226"/>
      <c r="E2478" s="226">
        <v>2022</v>
      </c>
      <c r="F2478" s="226">
        <v>3.1859300000000004</v>
      </c>
      <c r="G2478" s="226">
        <v>0.11017025533445135</v>
      </c>
    </row>
    <row r="2479" spans="1:7">
      <c r="A2479" s="226" t="s">
        <v>1264</v>
      </c>
      <c r="B2479" s="226" t="s">
        <v>1235</v>
      </c>
      <c r="C2479" s="226"/>
      <c r="D2479" s="226"/>
      <c r="E2479" s="226">
        <v>2023</v>
      </c>
      <c r="F2479" s="226">
        <v>3.5045230000000007</v>
      </c>
      <c r="G2479" s="226">
        <v>0.87667394670393195</v>
      </c>
    </row>
    <row r="2480" spans="1:7">
      <c r="A2480" s="226" t="s">
        <v>1264</v>
      </c>
      <c r="B2480" s="226" t="s">
        <v>1235</v>
      </c>
      <c r="C2480" s="226"/>
      <c r="D2480" s="226"/>
      <c r="E2480" s="226">
        <v>2024</v>
      </c>
      <c r="F2480" s="226">
        <v>3.8549753000000013</v>
      </c>
      <c r="G2480" s="226">
        <v>0.25784527844233296</v>
      </c>
    </row>
    <row r="2481" spans="1:7">
      <c r="A2481" s="226" t="s">
        <v>1264</v>
      </c>
      <c r="B2481" s="226" t="s">
        <v>1235</v>
      </c>
      <c r="C2481" s="226"/>
      <c r="D2481" s="226"/>
      <c r="E2481" s="226">
        <v>2025</v>
      </c>
      <c r="F2481" s="226">
        <v>4.2404728300000016</v>
      </c>
      <c r="G2481" s="226">
        <v>1.1251430332029075</v>
      </c>
    </row>
    <row r="2482" spans="1:7">
      <c r="A2482" s="226" t="s">
        <v>1264</v>
      </c>
      <c r="B2482" s="226" t="s">
        <v>1235</v>
      </c>
      <c r="C2482" s="226"/>
      <c r="D2482" s="226"/>
      <c r="E2482" s="226">
        <v>2026</v>
      </c>
      <c r="F2482" s="226">
        <v>4.6645201130000018</v>
      </c>
      <c r="G2482" s="226">
        <v>0.23440479858393903</v>
      </c>
    </row>
    <row r="2483" spans="1:7">
      <c r="A2483" s="226" t="s">
        <v>1264</v>
      </c>
      <c r="B2483" s="226" t="s">
        <v>1235</v>
      </c>
      <c r="C2483" s="226"/>
      <c r="D2483" s="226"/>
      <c r="E2483" s="226">
        <v>2027</v>
      </c>
      <c r="F2483" s="226">
        <v>5.1309721243000022</v>
      </c>
      <c r="G2483" s="226">
        <v>0</v>
      </c>
    </row>
    <row r="2484" spans="1:7">
      <c r="A2484" s="226" t="s">
        <v>1264</v>
      </c>
      <c r="B2484" s="226" t="s">
        <v>1235</v>
      </c>
      <c r="C2484" s="226"/>
      <c r="D2484" s="226"/>
      <c r="E2484" s="226">
        <v>2028</v>
      </c>
      <c r="F2484" s="226">
        <v>5.644069336730003</v>
      </c>
      <c r="G2484" s="226">
        <v>0.46880959716787807</v>
      </c>
    </row>
    <row r="2485" spans="1:7">
      <c r="A2485" s="226" t="s">
        <v>1264</v>
      </c>
      <c r="B2485" s="226" t="s">
        <v>1235</v>
      </c>
      <c r="C2485" s="226"/>
      <c r="D2485" s="226"/>
      <c r="E2485" s="226">
        <v>2029</v>
      </c>
      <c r="F2485" s="226">
        <v>6.2084762704030041</v>
      </c>
      <c r="G2485" s="226">
        <v>0</v>
      </c>
    </row>
    <row r="2486" spans="1:7">
      <c r="A2486" s="226" t="s">
        <v>1264</v>
      </c>
      <c r="B2486" s="226" t="s">
        <v>1235</v>
      </c>
      <c r="C2486" s="226"/>
      <c r="D2486" s="226"/>
      <c r="E2486" s="226">
        <v>2030</v>
      </c>
      <c r="F2486" s="226">
        <v>6.829323897443305</v>
      </c>
      <c r="G2486" s="226">
        <v>0</v>
      </c>
    </row>
    <row r="2487" spans="1:7">
      <c r="A2487" s="226" t="s">
        <v>1264</v>
      </c>
      <c r="B2487" s="226" t="s">
        <v>1235</v>
      </c>
      <c r="C2487" s="226"/>
      <c r="D2487" s="226"/>
      <c r="E2487" s="226">
        <v>2031</v>
      </c>
      <c r="F2487" s="226">
        <v>7.5122562871876362</v>
      </c>
      <c r="G2487" s="226">
        <v>0.33754290996087222</v>
      </c>
    </row>
    <row r="2488" spans="1:7">
      <c r="A2488" s="226" t="s">
        <v>1268</v>
      </c>
      <c r="B2488" s="226" t="s">
        <v>1235</v>
      </c>
      <c r="C2488" s="226"/>
      <c r="D2488" s="226"/>
      <c r="E2488" s="226">
        <v>2021</v>
      </c>
      <c r="F2488" s="226">
        <v>3.2972500000000005</v>
      </c>
      <c r="G2488" s="226">
        <v>0</v>
      </c>
    </row>
    <row r="2489" spans="1:7">
      <c r="A2489" s="226" t="s">
        <v>1268</v>
      </c>
      <c r="B2489" s="226" t="s">
        <v>1235</v>
      </c>
      <c r="C2489" s="226"/>
      <c r="D2489" s="226"/>
      <c r="E2489" s="226">
        <v>2022</v>
      </c>
      <c r="F2489" s="226">
        <v>3.6269750000000007</v>
      </c>
      <c r="G2489" s="226">
        <v>0.34452004415814413</v>
      </c>
    </row>
    <row r="2490" spans="1:7">
      <c r="A2490" s="226" t="s">
        <v>1268</v>
      </c>
      <c r="B2490" s="226" t="s">
        <v>1235</v>
      </c>
      <c r="C2490" s="226"/>
      <c r="D2490" s="226"/>
      <c r="E2490" s="226">
        <v>2023</v>
      </c>
      <c r="F2490" s="226">
        <v>3.9896725000000011</v>
      </c>
      <c r="G2490" s="226">
        <v>2.7414999258541677</v>
      </c>
    </row>
    <row r="2491" spans="1:7">
      <c r="A2491" s="226" t="s">
        <v>1268</v>
      </c>
      <c r="B2491" s="226" t="s">
        <v>1235</v>
      </c>
      <c r="C2491" s="226"/>
      <c r="D2491" s="226"/>
      <c r="E2491" s="226">
        <v>2024</v>
      </c>
      <c r="F2491" s="226">
        <v>4.3886397500000012</v>
      </c>
      <c r="G2491" s="226">
        <v>0.80632350760416704</v>
      </c>
    </row>
    <row r="2492" spans="1:7">
      <c r="A2492" s="226" t="s">
        <v>1268</v>
      </c>
      <c r="B2492" s="226" t="s">
        <v>1235</v>
      </c>
      <c r="C2492" s="226"/>
      <c r="D2492" s="226"/>
      <c r="E2492" s="226">
        <v>2025</v>
      </c>
      <c r="F2492" s="226">
        <v>4.8275037250000015</v>
      </c>
      <c r="G2492" s="226">
        <v>3.5185025786363653</v>
      </c>
    </row>
    <row r="2493" spans="1:7">
      <c r="A2493" s="226" t="s">
        <v>1268</v>
      </c>
      <c r="B2493" s="226" t="s">
        <v>1235</v>
      </c>
      <c r="C2493" s="226"/>
      <c r="D2493" s="226"/>
      <c r="E2493" s="226">
        <v>2026</v>
      </c>
      <c r="F2493" s="226">
        <v>5.3102540975000023</v>
      </c>
      <c r="G2493" s="226">
        <v>0.73302137054924277</v>
      </c>
    </row>
    <row r="2494" spans="1:7">
      <c r="A2494" s="226" t="s">
        <v>1268</v>
      </c>
      <c r="B2494" s="226" t="s">
        <v>1235</v>
      </c>
      <c r="C2494" s="226"/>
      <c r="D2494" s="226"/>
      <c r="E2494" s="226">
        <v>2027</v>
      </c>
      <c r="F2494" s="226">
        <v>5.841279507250003</v>
      </c>
      <c r="G2494" s="226">
        <v>0</v>
      </c>
    </row>
    <row r="2495" spans="1:7">
      <c r="A2495" s="226" t="s">
        <v>1268</v>
      </c>
      <c r="B2495" s="226" t="s">
        <v>1235</v>
      </c>
      <c r="C2495" s="226"/>
      <c r="D2495" s="226"/>
      <c r="E2495" s="226">
        <v>2028</v>
      </c>
      <c r="F2495" s="226">
        <v>6.4254074579750036</v>
      </c>
      <c r="G2495" s="226">
        <v>1.4660427410984855</v>
      </c>
    </row>
    <row r="2496" spans="1:7">
      <c r="A2496" s="226" t="s">
        <v>1268</v>
      </c>
      <c r="B2496" s="226" t="s">
        <v>1235</v>
      </c>
      <c r="C2496" s="226"/>
      <c r="D2496" s="226"/>
      <c r="E2496" s="226">
        <v>2029</v>
      </c>
      <c r="F2496" s="226">
        <v>7.0679482037725041</v>
      </c>
      <c r="G2496" s="226">
        <v>0</v>
      </c>
    </row>
    <row r="2497" spans="1:7">
      <c r="A2497" s="226" t="s">
        <v>1268</v>
      </c>
      <c r="B2497" s="226" t="s">
        <v>1235</v>
      </c>
      <c r="C2497" s="226"/>
      <c r="D2497" s="226"/>
      <c r="E2497" s="226">
        <v>2030</v>
      </c>
      <c r="F2497" s="226">
        <v>7.774743024149755</v>
      </c>
      <c r="G2497" s="226">
        <v>0</v>
      </c>
    </row>
    <row r="2498" spans="1:7">
      <c r="A2498" s="226" t="s">
        <v>1268</v>
      </c>
      <c r="B2498" s="226" t="s">
        <v>1235</v>
      </c>
      <c r="C2498" s="226"/>
      <c r="D2498" s="226"/>
      <c r="E2498" s="226">
        <v>2031</v>
      </c>
      <c r="F2498" s="226">
        <v>8.5522173265647314</v>
      </c>
      <c r="G2498" s="226">
        <v>1.0555507735909095</v>
      </c>
    </row>
    <row r="2499" spans="1:7">
      <c r="A2499" s="226" t="s">
        <v>1288</v>
      </c>
      <c r="B2499" s="226" t="s">
        <v>1235</v>
      </c>
      <c r="C2499" s="226"/>
      <c r="D2499" s="226"/>
      <c r="E2499" s="226">
        <v>2021</v>
      </c>
      <c r="F2499" s="226">
        <v>0.87989000000000006</v>
      </c>
      <c r="G2499" s="226">
        <v>0</v>
      </c>
    </row>
    <row r="2500" spans="1:7">
      <c r="A2500" s="226" t="s">
        <v>1288</v>
      </c>
      <c r="B2500" s="226" t="s">
        <v>1235</v>
      </c>
      <c r="C2500" s="226"/>
      <c r="D2500" s="226"/>
      <c r="E2500" s="226">
        <v>2022</v>
      </c>
      <c r="F2500" s="226">
        <v>0.96787900000000016</v>
      </c>
      <c r="G2500" s="226">
        <v>0.12856860341802742</v>
      </c>
    </row>
    <row r="2501" spans="1:7">
      <c r="A2501" s="226" t="s">
        <v>1288</v>
      </c>
      <c r="B2501" s="226" t="s">
        <v>1235</v>
      </c>
      <c r="C2501" s="226"/>
      <c r="D2501" s="226"/>
      <c r="E2501" s="226">
        <v>2023</v>
      </c>
      <c r="F2501" s="226">
        <v>1.0646669000000002</v>
      </c>
      <c r="G2501" s="226">
        <v>1.0230778229434523</v>
      </c>
    </row>
    <row r="2502" spans="1:7">
      <c r="A2502" s="226" t="s">
        <v>1288</v>
      </c>
      <c r="B2502" s="226" t="s">
        <v>1235</v>
      </c>
      <c r="C2502" s="226"/>
      <c r="D2502" s="226"/>
      <c r="E2502" s="226">
        <v>2024</v>
      </c>
      <c r="F2502" s="226">
        <v>1.1711335900000004</v>
      </c>
      <c r="G2502" s="226">
        <v>0.30090524204219182</v>
      </c>
    </row>
    <row r="2503" spans="1:7">
      <c r="A2503" s="226" t="s">
        <v>1288</v>
      </c>
      <c r="B2503" s="226" t="s">
        <v>1235</v>
      </c>
      <c r="C2503" s="226"/>
      <c r="D2503" s="226"/>
      <c r="E2503" s="226">
        <v>2025</v>
      </c>
      <c r="F2503" s="226">
        <v>1.3130410561841099</v>
      </c>
      <c r="G2503" s="226">
        <v>1.3130410561841099</v>
      </c>
    </row>
    <row r="2504" spans="1:7">
      <c r="A2504" s="226" t="s">
        <v>1288</v>
      </c>
      <c r="B2504" s="226" t="s">
        <v>1235</v>
      </c>
      <c r="C2504" s="226"/>
      <c r="D2504" s="226"/>
      <c r="E2504" s="226">
        <v>2026</v>
      </c>
      <c r="F2504" s="226">
        <v>1.4443451618025211</v>
      </c>
      <c r="G2504" s="226">
        <v>0.27355022003835622</v>
      </c>
    </row>
    <row r="2505" spans="1:7">
      <c r="A2505" s="226" t="s">
        <v>1288</v>
      </c>
      <c r="B2505" s="226" t="s">
        <v>1235</v>
      </c>
      <c r="C2505" s="226"/>
      <c r="D2505" s="226"/>
      <c r="E2505" s="226">
        <v>2027</v>
      </c>
      <c r="F2505" s="226">
        <v>1.5887796779827734</v>
      </c>
      <c r="G2505" s="226">
        <v>0</v>
      </c>
    </row>
    <row r="2506" spans="1:7">
      <c r="A2506" s="226" t="s">
        <v>1288</v>
      </c>
      <c r="B2506" s="226" t="s">
        <v>1235</v>
      </c>
      <c r="C2506" s="226"/>
      <c r="D2506" s="226"/>
      <c r="E2506" s="226">
        <v>2028</v>
      </c>
      <c r="F2506" s="226">
        <v>1.7476576457810509</v>
      </c>
      <c r="G2506" s="226">
        <v>0.54710044007671244</v>
      </c>
    </row>
    <row r="2507" spans="1:7">
      <c r="A2507" s="226" t="s">
        <v>1288</v>
      </c>
      <c r="B2507" s="226" t="s">
        <v>1235</v>
      </c>
      <c r="C2507" s="226"/>
      <c r="D2507" s="226"/>
      <c r="E2507" s="226">
        <v>2029</v>
      </c>
      <c r="F2507" s="226">
        <v>1.9224234103591562</v>
      </c>
      <c r="G2507" s="226">
        <v>0</v>
      </c>
    </row>
    <row r="2508" spans="1:7">
      <c r="A2508" s="226" t="s">
        <v>1288</v>
      </c>
      <c r="B2508" s="226" t="s">
        <v>1235</v>
      </c>
      <c r="C2508" s="226"/>
      <c r="D2508" s="226"/>
      <c r="E2508" s="226">
        <v>2030</v>
      </c>
      <c r="F2508" s="226">
        <v>2.114665751395072</v>
      </c>
      <c r="G2508" s="226">
        <v>0</v>
      </c>
    </row>
    <row r="2509" spans="1:7">
      <c r="A2509" s="226" t="s">
        <v>1288</v>
      </c>
      <c r="B2509" s="226" t="s">
        <v>1235</v>
      </c>
      <c r="C2509" s="226"/>
      <c r="D2509" s="226"/>
      <c r="E2509" s="226">
        <v>2031</v>
      </c>
      <c r="F2509" s="226">
        <v>2.3261323265345792</v>
      </c>
      <c r="G2509" s="226">
        <v>0.39391231685523298</v>
      </c>
    </row>
    <row r="2510" spans="1:7">
      <c r="A2510" s="226" t="s">
        <v>1307</v>
      </c>
      <c r="B2510" s="226" t="s">
        <v>1235</v>
      </c>
      <c r="C2510" s="226"/>
      <c r="D2510" s="226"/>
      <c r="E2510" s="226">
        <v>2021</v>
      </c>
      <c r="F2510" s="226">
        <v>9.0862200000000026</v>
      </c>
      <c r="G2510" s="226">
        <v>0</v>
      </c>
    </row>
    <row r="2511" spans="1:7">
      <c r="A2511" s="226" t="s">
        <v>1307</v>
      </c>
      <c r="B2511" s="226" t="s">
        <v>1235</v>
      </c>
      <c r="C2511" s="226"/>
      <c r="D2511" s="226"/>
      <c r="E2511" s="226">
        <v>2022</v>
      </c>
      <c r="F2511" s="226">
        <v>9.9948420000000038</v>
      </c>
      <c r="G2511" s="226">
        <v>0.99571469036480398</v>
      </c>
    </row>
    <row r="2512" spans="1:7">
      <c r="A2512" s="226" t="s">
        <v>1307</v>
      </c>
      <c r="B2512" s="226" t="s">
        <v>1235</v>
      </c>
      <c r="C2512" s="226"/>
      <c r="D2512" s="226"/>
      <c r="E2512" s="226">
        <v>2023</v>
      </c>
      <c r="F2512" s="226">
        <v>10.994326200000005</v>
      </c>
      <c r="G2512" s="226">
        <v>7.9233466850305678</v>
      </c>
    </row>
    <row r="2513" spans="1:7">
      <c r="A2513" s="226" t="s">
        <v>1307</v>
      </c>
      <c r="B2513" s="226" t="s">
        <v>1235</v>
      </c>
      <c r="C2513" s="226"/>
      <c r="D2513" s="226"/>
      <c r="E2513" s="226">
        <v>2024</v>
      </c>
      <c r="F2513" s="226">
        <v>12.093758820000007</v>
      </c>
      <c r="G2513" s="226">
        <v>2.3303960838325199</v>
      </c>
    </row>
    <row r="2514" spans="1:7">
      <c r="A2514" s="226" t="s">
        <v>1307</v>
      </c>
      <c r="B2514" s="226" t="s">
        <v>1235</v>
      </c>
      <c r="C2514" s="226"/>
      <c r="D2514" s="226"/>
      <c r="E2514" s="226">
        <v>2025</v>
      </c>
      <c r="F2514" s="226">
        <v>13.303134702000008</v>
      </c>
      <c r="G2514" s="226">
        <v>10.16900109308736</v>
      </c>
    </row>
    <row r="2515" spans="1:7">
      <c r="A2515" s="226" t="s">
        <v>1307</v>
      </c>
      <c r="B2515" s="226" t="s">
        <v>1235</v>
      </c>
      <c r="C2515" s="226"/>
      <c r="D2515" s="226"/>
      <c r="E2515" s="226">
        <v>2026</v>
      </c>
      <c r="F2515" s="226">
        <v>14.63344817220001</v>
      </c>
      <c r="G2515" s="226">
        <v>2.1185418943932</v>
      </c>
    </row>
    <row r="2516" spans="1:7">
      <c r="A2516" s="226" t="s">
        <v>1307</v>
      </c>
      <c r="B2516" s="226" t="s">
        <v>1235</v>
      </c>
      <c r="C2516" s="226"/>
      <c r="D2516" s="226"/>
      <c r="E2516" s="226">
        <v>2027</v>
      </c>
      <c r="F2516" s="226">
        <v>16.096792989420013</v>
      </c>
      <c r="G2516" s="226">
        <v>0</v>
      </c>
    </row>
    <row r="2517" spans="1:7">
      <c r="A2517" s="226" t="s">
        <v>1307</v>
      </c>
      <c r="B2517" s="226" t="s">
        <v>1235</v>
      </c>
      <c r="C2517" s="226"/>
      <c r="D2517" s="226"/>
      <c r="E2517" s="226">
        <v>2028</v>
      </c>
      <c r="F2517" s="226">
        <v>17.706472288362015</v>
      </c>
      <c r="G2517" s="226">
        <v>4.2370837887863999</v>
      </c>
    </row>
    <row r="2518" spans="1:7">
      <c r="A2518" s="226" t="s">
        <v>1307</v>
      </c>
      <c r="B2518" s="226" t="s">
        <v>1235</v>
      </c>
      <c r="C2518" s="226"/>
      <c r="D2518" s="226"/>
      <c r="E2518" s="226">
        <v>2029</v>
      </c>
      <c r="F2518" s="226">
        <v>19.477119517198219</v>
      </c>
      <c r="G2518" s="226">
        <v>0</v>
      </c>
    </row>
    <row r="2519" spans="1:7">
      <c r="A2519" s="226" t="s">
        <v>1307</v>
      </c>
      <c r="B2519" s="226" t="s">
        <v>1235</v>
      </c>
      <c r="C2519" s="226"/>
      <c r="D2519" s="226"/>
      <c r="E2519" s="226">
        <v>2030</v>
      </c>
      <c r="F2519" s="226">
        <v>21.424831468918043</v>
      </c>
      <c r="G2519" s="226">
        <v>0</v>
      </c>
    </row>
    <row r="2520" spans="1:7">
      <c r="A2520" s="226" t="s">
        <v>1307</v>
      </c>
      <c r="B2520" s="226" t="s">
        <v>1235</v>
      </c>
      <c r="C2520" s="226"/>
      <c r="D2520" s="226"/>
      <c r="E2520" s="226">
        <v>2031</v>
      </c>
      <c r="F2520" s="226">
        <v>23.567314615809849</v>
      </c>
      <c r="G2520" s="226">
        <v>3.0507003279262079</v>
      </c>
    </row>
    <row r="2521" spans="1:7">
      <c r="A2521" s="226" t="s">
        <v>1322</v>
      </c>
      <c r="B2521" s="226" t="s">
        <v>1235</v>
      </c>
      <c r="C2521" s="226"/>
      <c r="D2521" s="226"/>
      <c r="E2521" s="226">
        <v>2021</v>
      </c>
      <c r="F2521" s="226">
        <v>3.4138500000000001</v>
      </c>
      <c r="G2521" s="226">
        <v>0</v>
      </c>
    </row>
    <row r="2522" spans="1:7">
      <c r="A2522" s="226" t="s">
        <v>1322</v>
      </c>
      <c r="B2522" s="226" t="s">
        <v>1235</v>
      </c>
      <c r="C2522" s="226"/>
      <c r="D2522" s="226"/>
      <c r="E2522" s="226">
        <v>2022</v>
      </c>
      <c r="F2522" s="226">
        <v>3.7552350000000003</v>
      </c>
      <c r="G2522" s="226">
        <v>0.29857481848758444</v>
      </c>
    </row>
    <row r="2523" spans="1:7">
      <c r="A2523" s="226" t="s">
        <v>1322</v>
      </c>
      <c r="B2523" s="226" t="s">
        <v>1235</v>
      </c>
      <c r="C2523" s="226"/>
      <c r="D2523" s="226"/>
      <c r="E2523" s="226">
        <v>2023</v>
      </c>
      <c r="F2523" s="226">
        <v>4.1307585000000007</v>
      </c>
      <c r="G2523" s="226">
        <v>2.375893236475672</v>
      </c>
    </row>
    <row r="2524" spans="1:7">
      <c r="A2524" s="226" t="s">
        <v>1322</v>
      </c>
      <c r="B2524" s="226" t="s">
        <v>1235</v>
      </c>
      <c r="C2524" s="226"/>
      <c r="D2524" s="226"/>
      <c r="E2524" s="226">
        <v>2024</v>
      </c>
      <c r="F2524" s="226">
        <v>4.5438343500000009</v>
      </c>
      <c r="G2524" s="226">
        <v>0.69879212837519766</v>
      </c>
    </row>
    <row r="2525" spans="1:7">
      <c r="A2525" s="226" t="s">
        <v>1322</v>
      </c>
      <c r="B2525" s="226" t="s">
        <v>1235</v>
      </c>
      <c r="C2525" s="226"/>
      <c r="D2525" s="226"/>
      <c r="E2525" s="226">
        <v>2025</v>
      </c>
      <c r="F2525" s="226">
        <v>4.9982177850000014</v>
      </c>
      <c r="G2525" s="226">
        <v>3.0492747420008621</v>
      </c>
    </row>
    <row r="2526" spans="1:7">
      <c r="A2526" s="226" t="s">
        <v>1322</v>
      </c>
      <c r="B2526" s="226" t="s">
        <v>1235</v>
      </c>
      <c r="C2526" s="226"/>
      <c r="D2526" s="226"/>
      <c r="E2526" s="226">
        <v>2026</v>
      </c>
      <c r="F2526" s="226">
        <v>5.4980395635000017</v>
      </c>
      <c r="G2526" s="226">
        <v>0.63526557125017968</v>
      </c>
    </row>
    <row r="2527" spans="1:7">
      <c r="A2527" s="226" t="s">
        <v>1322</v>
      </c>
      <c r="B2527" s="226" t="s">
        <v>1235</v>
      </c>
      <c r="C2527" s="226"/>
      <c r="D2527" s="226"/>
      <c r="E2527" s="226">
        <v>2027</v>
      </c>
      <c r="F2527" s="226">
        <v>6.0478435198500025</v>
      </c>
      <c r="G2527" s="226">
        <v>0</v>
      </c>
    </row>
    <row r="2528" spans="1:7">
      <c r="A2528" s="226" t="s">
        <v>1322</v>
      </c>
      <c r="B2528" s="226" t="s">
        <v>1235</v>
      </c>
      <c r="C2528" s="226"/>
      <c r="D2528" s="226"/>
      <c r="E2528" s="226">
        <v>2028</v>
      </c>
      <c r="F2528" s="226">
        <v>6.6526278718350031</v>
      </c>
      <c r="G2528" s="226">
        <v>1.2705311425003594</v>
      </c>
    </row>
    <row r="2529" spans="1:7">
      <c r="A2529" s="226" t="s">
        <v>1322</v>
      </c>
      <c r="B2529" s="226" t="s">
        <v>1235</v>
      </c>
      <c r="C2529" s="226"/>
      <c r="D2529" s="226"/>
      <c r="E2529" s="226">
        <v>2029</v>
      </c>
      <c r="F2529" s="226">
        <v>7.317890659018504</v>
      </c>
      <c r="G2529" s="226">
        <v>0</v>
      </c>
    </row>
    <row r="2530" spans="1:7">
      <c r="A2530" s="226" t="s">
        <v>1322</v>
      </c>
      <c r="B2530" s="226" t="s">
        <v>1235</v>
      </c>
      <c r="C2530" s="226"/>
      <c r="D2530" s="226"/>
      <c r="E2530" s="226">
        <v>2030</v>
      </c>
      <c r="F2530" s="226">
        <v>8.0496797249203542</v>
      </c>
      <c r="G2530" s="226">
        <v>0</v>
      </c>
    </row>
    <row r="2531" spans="1:7">
      <c r="A2531" s="226" t="s">
        <v>1322</v>
      </c>
      <c r="B2531" s="226" t="s">
        <v>1235</v>
      </c>
      <c r="C2531" s="226"/>
      <c r="D2531" s="226"/>
      <c r="E2531" s="226">
        <v>2031</v>
      </c>
      <c r="F2531" s="226">
        <v>8.8546476974123909</v>
      </c>
      <c r="G2531" s="226">
        <v>0.91478242260025877</v>
      </c>
    </row>
  </sheetData>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90"/>
  <sheetViews>
    <sheetView zoomScaleNormal="100" workbookViewId="0"/>
  </sheetViews>
  <sheetFormatPr defaultRowHeight="15"/>
  <cols>
    <col min="1" max="1" width="12.5703125" style="416" bestFit="1" customWidth="1"/>
    <col min="2" max="2" width="10.5703125" style="416" bestFit="1" customWidth="1"/>
    <col min="3" max="3" width="9.140625" style="416" bestFit="1" customWidth="1"/>
    <col min="4" max="4" width="11.85546875" style="416" customWidth="1"/>
    <col min="5" max="5" width="9.140625" style="416" bestFit="1" customWidth="1"/>
    <col min="6" max="6" width="11.85546875" style="416" customWidth="1"/>
    <col min="7" max="7" width="14.42578125" style="416" customWidth="1"/>
    <col min="8" max="8" width="9.140625" style="416"/>
    <col min="9" max="9" width="11.85546875" style="416" customWidth="1"/>
    <col min="10" max="10" width="9.140625" style="416"/>
    <col min="11" max="11" width="14.28515625" style="416" bestFit="1" customWidth="1"/>
    <col min="12" max="13" width="9.140625" style="416"/>
    <col min="14" max="14" width="6.85546875" style="416" customWidth="1"/>
    <col min="15" max="15" width="90.140625" style="639" customWidth="1"/>
    <col min="16" max="16384" width="9.140625" style="416"/>
  </cols>
  <sheetData>
    <row r="4" spans="1:16">
      <c r="A4" s="416" t="s">
        <v>1238</v>
      </c>
      <c r="B4" s="416" t="s">
        <v>1239</v>
      </c>
      <c r="C4" s="416" t="s">
        <v>618</v>
      </c>
      <c r="D4" s="416" t="s">
        <v>619</v>
      </c>
      <c r="E4" s="416" t="s">
        <v>620</v>
      </c>
      <c r="F4" s="416" t="s">
        <v>660</v>
      </c>
      <c r="G4" s="416" t="s">
        <v>661</v>
      </c>
      <c r="H4" s="416" t="s">
        <v>662</v>
      </c>
      <c r="I4" s="416" t="s">
        <v>663</v>
      </c>
      <c r="J4" s="416" t="s">
        <v>664</v>
      </c>
      <c r="K4" s="416" t="s">
        <v>665</v>
      </c>
      <c r="L4" s="416" t="s">
        <v>666</v>
      </c>
      <c r="M4" s="416" t="s">
        <v>667</v>
      </c>
      <c r="N4" s="416" t="s">
        <v>1240</v>
      </c>
      <c r="O4" s="336" t="s">
        <v>1241</v>
      </c>
    </row>
    <row r="5" spans="1:16">
      <c r="A5" s="416" t="s">
        <v>659</v>
      </c>
      <c r="B5" s="416">
        <v>0</v>
      </c>
      <c r="C5" s="416">
        <v>0</v>
      </c>
      <c r="D5" s="416">
        <v>0</v>
      </c>
      <c r="E5" s="416">
        <v>1000</v>
      </c>
      <c r="F5" s="416">
        <v>1000</v>
      </c>
      <c r="G5" s="416">
        <v>1000</v>
      </c>
      <c r="H5" s="416">
        <v>1000</v>
      </c>
      <c r="I5" s="416">
        <v>1000</v>
      </c>
      <c r="J5" s="416">
        <v>1000</v>
      </c>
      <c r="K5" s="416">
        <v>1000</v>
      </c>
      <c r="L5" s="416">
        <v>1000</v>
      </c>
      <c r="M5" s="416">
        <v>1000</v>
      </c>
      <c r="N5" s="416" t="s">
        <v>1238</v>
      </c>
      <c r="O5" s="779" t="s">
        <v>1945</v>
      </c>
      <c r="P5" s="416" t="str">
        <f>Table3[[#This Row],[MW]]</f>
        <v>EG_CCGT</v>
      </c>
    </row>
    <row r="6" spans="1:16">
      <c r="A6" s="416" t="s">
        <v>1243</v>
      </c>
      <c r="B6" s="416">
        <v>0</v>
      </c>
      <c r="C6" s="416">
        <v>0</v>
      </c>
      <c r="D6" s="416">
        <v>0</v>
      </c>
      <c r="E6" s="416">
        <v>3000</v>
      </c>
      <c r="F6" s="416">
        <v>3000</v>
      </c>
      <c r="G6" s="416">
        <v>3000</v>
      </c>
      <c r="H6" s="416">
        <v>3000</v>
      </c>
      <c r="I6" s="416">
        <v>3000</v>
      </c>
      <c r="J6" s="416">
        <v>3000</v>
      </c>
      <c r="K6" s="416">
        <v>3000</v>
      </c>
      <c r="L6" s="416">
        <v>3000</v>
      </c>
      <c r="M6" s="416">
        <v>3000</v>
      </c>
      <c r="N6" s="416" t="s">
        <v>1238</v>
      </c>
      <c r="O6" s="779"/>
      <c r="P6" s="416" t="str">
        <f>Table3[[#This Row],[MW]]</f>
        <v>EG_OCGT</v>
      </c>
    </row>
    <row r="7" spans="1:16" ht="30">
      <c r="A7" s="416" t="s">
        <v>657</v>
      </c>
      <c r="B7" s="416">
        <v>0</v>
      </c>
      <c r="C7" s="416">
        <v>0</v>
      </c>
      <c r="D7" s="416">
        <v>0</v>
      </c>
      <c r="E7" s="416">
        <v>0</v>
      </c>
      <c r="F7" s="416">
        <v>0</v>
      </c>
      <c r="G7" s="416">
        <v>0</v>
      </c>
      <c r="H7" s="416">
        <v>0</v>
      </c>
      <c r="I7" s="416">
        <v>0</v>
      </c>
      <c r="J7" s="416">
        <v>0</v>
      </c>
      <c r="K7" s="416">
        <v>0</v>
      </c>
      <c r="L7" s="416">
        <v>0</v>
      </c>
      <c r="M7" s="416">
        <v>0</v>
      </c>
      <c r="N7" s="416" t="s">
        <v>1238</v>
      </c>
      <c r="O7" s="639" t="s">
        <v>1940</v>
      </c>
      <c r="P7" s="416" t="str">
        <f>Table3[[#This Row],[MW]]</f>
        <v>EG_PHWR</v>
      </c>
    </row>
    <row r="8" spans="1:16" ht="30">
      <c r="A8" s="416" t="s">
        <v>639</v>
      </c>
      <c r="B8" s="416">
        <v>0</v>
      </c>
      <c r="C8" s="416">
        <v>0</v>
      </c>
      <c r="D8" s="416">
        <v>0</v>
      </c>
      <c r="E8" s="416">
        <v>0</v>
      </c>
      <c r="F8" s="416">
        <v>0</v>
      </c>
      <c r="G8" s="416">
        <v>0</v>
      </c>
      <c r="H8" s="416">
        <v>0</v>
      </c>
      <c r="I8" s="416">
        <v>1500</v>
      </c>
      <c r="J8" s="416">
        <v>1500</v>
      </c>
      <c r="K8" s="416">
        <v>1500</v>
      </c>
      <c r="L8" s="416">
        <v>1500</v>
      </c>
      <c r="M8" s="416">
        <v>1500</v>
      </c>
      <c r="N8" s="416" t="s">
        <v>1238</v>
      </c>
      <c r="O8" s="640" t="s">
        <v>1941</v>
      </c>
      <c r="P8" s="416" t="str">
        <f>Table3[[#This Row],[MW]]</f>
        <v>EG_LH</v>
      </c>
    </row>
    <row r="9" spans="1:16" ht="45">
      <c r="A9" s="416" t="s">
        <v>1244</v>
      </c>
      <c r="B9" s="416">
        <v>0</v>
      </c>
      <c r="C9" s="416">
        <v>0</v>
      </c>
      <c r="D9" s="416">
        <v>1000</v>
      </c>
      <c r="E9" s="416">
        <v>1000</v>
      </c>
      <c r="F9" s="416">
        <v>1000</v>
      </c>
      <c r="G9" s="416">
        <v>1000</v>
      </c>
      <c r="H9" s="416">
        <v>1000</v>
      </c>
      <c r="I9" s="416">
        <v>1000</v>
      </c>
      <c r="J9" s="416">
        <v>1000</v>
      </c>
      <c r="K9" s="416">
        <v>1000</v>
      </c>
      <c r="L9" s="416">
        <v>1000</v>
      </c>
      <c r="M9" s="416">
        <v>1000</v>
      </c>
      <c r="N9" s="416" t="s">
        <v>1238</v>
      </c>
      <c r="O9" s="640" t="s">
        <v>1942</v>
      </c>
      <c r="P9" s="416" t="str">
        <f>Table3[[#This Row],[MW]]</f>
        <v>EG_SH</v>
      </c>
    </row>
    <row r="10" spans="1:16" ht="45">
      <c r="A10" s="416" t="s">
        <v>1245</v>
      </c>
      <c r="B10" s="416">
        <v>0</v>
      </c>
      <c r="C10" s="416">
        <v>0</v>
      </c>
      <c r="D10" s="416">
        <v>1000</v>
      </c>
      <c r="E10" s="416">
        <v>1000</v>
      </c>
      <c r="F10" s="416">
        <v>1000</v>
      </c>
      <c r="G10" s="416">
        <v>1000</v>
      </c>
      <c r="H10" s="416">
        <v>1000</v>
      </c>
      <c r="I10" s="416">
        <v>1000</v>
      </c>
      <c r="J10" s="416">
        <v>1000</v>
      </c>
      <c r="K10" s="416">
        <v>1000</v>
      </c>
      <c r="L10" s="416">
        <v>1000</v>
      </c>
      <c r="M10" s="416">
        <v>1000</v>
      </c>
      <c r="N10" s="416" t="s">
        <v>1238</v>
      </c>
      <c r="O10" s="640" t="s">
        <v>1948</v>
      </c>
      <c r="P10" s="416" t="str">
        <f>Table3[[#This Row],[MW]]</f>
        <v>EG_BIOMASS</v>
      </c>
    </row>
    <row r="11" spans="1:16" ht="51.75" customHeight="1">
      <c r="A11" s="416" t="s">
        <v>1246</v>
      </c>
      <c r="B11" s="325"/>
      <c r="C11" s="325"/>
      <c r="D11" s="325"/>
      <c r="E11" s="631">
        <f>$O28 * B28*1000</f>
        <v>7500</v>
      </c>
      <c r="F11" s="631">
        <f t="shared" ref="F11:M11" si="0">$O28 * C28*1000</f>
        <v>10000</v>
      </c>
      <c r="G11" s="631">
        <f t="shared" si="0"/>
        <v>12500</v>
      </c>
      <c r="H11" s="631">
        <f t="shared" si="0"/>
        <v>15000</v>
      </c>
      <c r="I11" s="631">
        <f t="shared" si="0"/>
        <v>15000</v>
      </c>
      <c r="J11" s="631">
        <f t="shared" si="0"/>
        <v>15000</v>
      </c>
      <c r="K11" s="631">
        <f t="shared" si="0"/>
        <v>15000</v>
      </c>
      <c r="L11" s="631">
        <f t="shared" si="0"/>
        <v>15000</v>
      </c>
      <c r="M11" s="631">
        <f t="shared" si="0"/>
        <v>15000</v>
      </c>
      <c r="N11" s="416" t="s">
        <v>1238</v>
      </c>
      <c r="O11" s="780" t="s">
        <v>1949</v>
      </c>
      <c r="P11" s="416" t="str">
        <f>Table3[[#This Row],[MW]]</f>
        <v>EG_SPV</v>
      </c>
    </row>
    <row r="12" spans="1:16" ht="53.25" customHeight="1">
      <c r="A12" s="416" t="s">
        <v>96</v>
      </c>
      <c r="B12" s="325"/>
      <c r="C12" s="325"/>
      <c r="D12" s="325"/>
      <c r="E12" s="631"/>
      <c r="F12" s="631">
        <f xml:space="preserve"> $O29 * C29*1000</f>
        <v>3000</v>
      </c>
      <c r="G12" s="631">
        <f t="shared" ref="G12:M12" si="1" xml:space="preserve"> $O29 * D29*1000</f>
        <v>5000</v>
      </c>
      <c r="H12" s="631">
        <f t="shared" si="1"/>
        <v>7000</v>
      </c>
      <c r="I12" s="631">
        <f t="shared" si="1"/>
        <v>7000</v>
      </c>
      <c r="J12" s="631">
        <f t="shared" si="1"/>
        <v>7000</v>
      </c>
      <c r="K12" s="631">
        <f t="shared" si="1"/>
        <v>7000</v>
      </c>
      <c r="L12" s="631">
        <f t="shared" si="1"/>
        <v>7000</v>
      </c>
      <c r="M12" s="631">
        <f t="shared" si="1"/>
        <v>7000</v>
      </c>
      <c r="N12" s="416" t="s">
        <v>1238</v>
      </c>
      <c r="O12" s="780"/>
      <c r="P12" s="416" t="str">
        <f>Table3[[#This Row],[MW]]</f>
        <v>EG_WIND</v>
      </c>
    </row>
    <row r="13" spans="1:16" ht="45">
      <c r="A13" s="416" t="s">
        <v>1232</v>
      </c>
      <c r="B13" s="416">
        <v>0</v>
      </c>
      <c r="C13" s="416">
        <v>0</v>
      </c>
      <c r="D13" s="416">
        <v>0</v>
      </c>
      <c r="E13" s="416">
        <v>0</v>
      </c>
      <c r="F13" s="416">
        <v>0</v>
      </c>
      <c r="G13" s="416">
        <v>20000</v>
      </c>
      <c r="H13" s="416">
        <v>20000</v>
      </c>
      <c r="I13" s="416">
        <v>20000</v>
      </c>
      <c r="J13" s="416">
        <v>20000</v>
      </c>
      <c r="K13" s="416">
        <v>20000</v>
      </c>
      <c r="L13" s="416">
        <v>20000</v>
      </c>
      <c r="M13" s="416">
        <v>20000</v>
      </c>
      <c r="N13" s="416" t="s">
        <v>1238</v>
      </c>
      <c r="O13" s="639" t="s">
        <v>1946</v>
      </c>
      <c r="P13" s="416" t="str">
        <f>Table3[[#This Row],[MW]]</f>
        <v>EG_COAL</v>
      </c>
    </row>
    <row r="14" spans="1:16" ht="20.25" customHeight="1"/>
    <row r="15" spans="1:16" ht="20.25" customHeight="1">
      <c r="A15" s="516" t="s">
        <v>1922</v>
      </c>
      <c r="F15" s="383">
        <v>430</v>
      </c>
      <c r="G15" s="383"/>
    </row>
    <row r="16" spans="1:16">
      <c r="A16" s="416" t="s">
        <v>1923</v>
      </c>
      <c r="F16" s="383">
        <v>34.6</v>
      </c>
      <c r="G16" s="383"/>
    </row>
    <row r="17" spans="1:15">
      <c r="A17" s="416" t="s">
        <v>1924</v>
      </c>
      <c r="C17" s="337"/>
      <c r="D17" s="639"/>
      <c r="E17" s="639"/>
      <c r="F17" s="682">
        <v>37.700000000000003</v>
      </c>
      <c r="G17" s="683"/>
    </row>
    <row r="18" spans="1:15">
      <c r="A18" s="416" t="s">
        <v>1925</v>
      </c>
      <c r="B18" s="228"/>
      <c r="C18" s="338"/>
      <c r="F18" s="684">
        <f>F15-F16-F17</f>
        <v>357.7</v>
      </c>
      <c r="G18" s="685"/>
    </row>
    <row r="19" spans="1:15">
      <c r="A19" s="416" t="s">
        <v>1926</v>
      </c>
      <c r="B19" s="228"/>
      <c r="C19" s="338"/>
      <c r="F19" s="684">
        <f>('PV&amp;WIND'!T64+'PV&amp;WIND'!U64)/1000</f>
        <v>12.798758000000001</v>
      </c>
      <c r="G19" s="685"/>
    </row>
    <row r="20" spans="1:15">
      <c r="A20" s="416" t="s">
        <v>1927</v>
      </c>
      <c r="F20" s="686">
        <f>('PV&amp;WIND'!T30+'PV&amp;WIND'!U30+'PV&amp;WIND'!V30)/1000</f>
        <v>7.4043249999999992</v>
      </c>
      <c r="G20" s="383"/>
    </row>
    <row r="21" spans="1:15">
      <c r="A21" s="416" t="s">
        <v>1928</v>
      </c>
      <c r="C21" s="339"/>
      <c r="D21" s="339"/>
      <c r="E21" s="339"/>
      <c r="F21" s="687">
        <f>F18-F19-F20</f>
        <v>337.496917</v>
      </c>
      <c r="G21" s="688"/>
    </row>
    <row r="22" spans="1:15">
      <c r="A22" s="416" t="s">
        <v>1929</v>
      </c>
      <c r="F22" s="689">
        <v>0.7</v>
      </c>
      <c r="G22" s="383"/>
    </row>
    <row r="23" spans="1:15">
      <c r="F23" s="383" t="s">
        <v>1242</v>
      </c>
      <c r="G23" s="383" t="s">
        <v>3</v>
      </c>
    </row>
    <row r="24" spans="1:15">
      <c r="A24" s="416" t="s">
        <v>1930</v>
      </c>
      <c r="F24" s="690">
        <f>F21*F22</f>
        <v>236.24784189999997</v>
      </c>
      <c r="G24" s="690">
        <f>F21-F24</f>
        <v>101.24907510000003</v>
      </c>
    </row>
    <row r="25" spans="1:15">
      <c r="A25" s="416" t="s">
        <v>1931</v>
      </c>
      <c r="F25" s="383">
        <v>240</v>
      </c>
      <c r="G25" s="383">
        <v>100</v>
      </c>
      <c r="M25" s="387"/>
    </row>
    <row r="26" spans="1:15">
      <c r="A26" s="416" t="s">
        <v>1932</v>
      </c>
    </row>
    <row r="27" spans="1:15">
      <c r="B27" s="416">
        <v>2023</v>
      </c>
      <c r="C27" s="416">
        <v>2024</v>
      </c>
      <c r="D27" s="416">
        <v>2025</v>
      </c>
      <c r="E27" s="416">
        <v>2026</v>
      </c>
      <c r="F27" s="416">
        <v>2027</v>
      </c>
      <c r="G27" s="416">
        <v>2028</v>
      </c>
      <c r="H27" s="416">
        <v>2029</v>
      </c>
      <c r="I27" s="416">
        <v>2030</v>
      </c>
      <c r="J27" s="416">
        <v>2031</v>
      </c>
      <c r="K27" s="416" t="s">
        <v>1933</v>
      </c>
      <c r="O27" s="639" t="s">
        <v>1950</v>
      </c>
    </row>
    <row r="28" spans="1:15">
      <c r="A28" s="416" t="s">
        <v>1242</v>
      </c>
      <c r="B28" s="416">
        <v>15</v>
      </c>
      <c r="C28" s="416">
        <v>20</v>
      </c>
      <c r="D28" s="416">
        <v>25</v>
      </c>
      <c r="E28" s="416">
        <v>30</v>
      </c>
      <c r="F28" s="416">
        <v>30</v>
      </c>
      <c r="G28" s="416">
        <v>30</v>
      </c>
      <c r="H28" s="416">
        <v>30</v>
      </c>
      <c r="I28" s="416">
        <v>30</v>
      </c>
      <c r="J28" s="416">
        <v>30</v>
      </c>
      <c r="K28" s="416">
        <f>SUM(B28:J28)-F25</f>
        <v>0</v>
      </c>
      <c r="O28" s="639">
        <v>0.5</v>
      </c>
    </row>
    <row r="29" spans="1:15">
      <c r="A29" s="416" t="s">
        <v>3</v>
      </c>
      <c r="C29" s="416">
        <v>6</v>
      </c>
      <c r="D29" s="416">
        <v>10</v>
      </c>
      <c r="E29" s="416">
        <v>14</v>
      </c>
      <c r="F29" s="416">
        <v>14</v>
      </c>
      <c r="G29" s="416">
        <v>14</v>
      </c>
      <c r="H29" s="416">
        <v>14</v>
      </c>
      <c r="I29" s="416">
        <v>14</v>
      </c>
      <c r="J29" s="416">
        <v>14</v>
      </c>
      <c r="K29" s="416">
        <f>SUM(C29:J29)-G25</f>
        <v>0</v>
      </c>
      <c r="O29" s="639">
        <v>0.5</v>
      </c>
    </row>
    <row r="31" spans="1:15">
      <c r="A31" s="355" t="s">
        <v>1934</v>
      </c>
    </row>
    <row r="36" spans="1:15" s="39" customFormat="1">
      <c r="A36" s="39" t="s">
        <v>1936</v>
      </c>
      <c r="H36" s="39" t="s">
        <v>1937</v>
      </c>
      <c r="O36" s="227"/>
    </row>
    <row r="37" spans="1:15">
      <c r="A37" s="637" t="s">
        <v>621</v>
      </c>
      <c r="B37" s="637" t="s">
        <v>1232</v>
      </c>
      <c r="C37" s="637" t="s">
        <v>639</v>
      </c>
      <c r="D37" s="637" t="s">
        <v>659</v>
      </c>
      <c r="E37" s="637" t="s">
        <v>95</v>
      </c>
      <c r="F37" s="637" t="s">
        <v>96</v>
      </c>
      <c r="G37" s="360"/>
      <c r="H37" s="637" t="str">
        <f>B37</f>
        <v>EG_COAL</v>
      </c>
      <c r="I37" s="637" t="str">
        <f t="shared" ref="I37:L37" si="2">C37</f>
        <v>EG_LH</v>
      </c>
      <c r="J37" s="637" t="str">
        <f t="shared" si="2"/>
        <v>EG_CCGT</v>
      </c>
      <c r="K37" s="637" t="str">
        <f t="shared" si="2"/>
        <v>EG_SOLARPV</v>
      </c>
      <c r="L37" s="637" t="str">
        <f t="shared" si="2"/>
        <v>EG_WIND</v>
      </c>
    </row>
    <row r="38" spans="1:15">
      <c r="A38" s="637" t="s">
        <v>19</v>
      </c>
      <c r="B38" s="360">
        <v>199.4</v>
      </c>
      <c r="C38" s="360">
        <v>0</v>
      </c>
      <c r="D38" s="360">
        <v>41.543999999999997</v>
      </c>
      <c r="E38" s="360">
        <v>1.0629999999999999</v>
      </c>
      <c r="F38" s="360">
        <v>0</v>
      </c>
      <c r="G38" s="637" t="str">
        <f>A38</f>
        <v>BR</v>
      </c>
      <c r="H38" s="638">
        <f>B38/SUM(B$38:B$62)</f>
        <v>3.8686318178087825E-3</v>
      </c>
      <c r="I38" s="638">
        <f t="shared" ref="I38:L53" si="3">C38/SUM(C$38:C$62)</f>
        <v>0</v>
      </c>
      <c r="J38" s="638">
        <f t="shared" si="3"/>
        <v>5.6786168582092667E-3</v>
      </c>
      <c r="K38" s="638">
        <f t="shared" si="3"/>
        <v>6.970514657425106E-4</v>
      </c>
      <c r="L38" s="638">
        <f t="shared" si="3"/>
        <v>0</v>
      </c>
    </row>
    <row r="39" spans="1:15">
      <c r="A39" s="637" t="s">
        <v>20</v>
      </c>
      <c r="B39" s="360">
        <v>1474.12</v>
      </c>
      <c r="C39" s="360">
        <v>0</v>
      </c>
      <c r="D39" s="360">
        <v>102</v>
      </c>
      <c r="E39" s="360">
        <v>1.786</v>
      </c>
      <c r="F39" s="360">
        <v>0</v>
      </c>
      <c r="G39" s="637" t="str">
        <f t="shared" ref="G39:G62" si="4">A39</f>
        <v>JH</v>
      </c>
      <c r="H39" s="638">
        <f t="shared" ref="H39:H62" si="5">B39/SUM(B$38:B$62)</f>
        <v>2.8599937488807833E-2</v>
      </c>
      <c r="I39" s="638">
        <f t="shared" si="3"/>
        <v>0</v>
      </c>
      <c r="J39" s="638">
        <f t="shared" si="3"/>
        <v>1.3942300200687109E-2</v>
      </c>
      <c r="K39" s="638">
        <f t="shared" si="3"/>
        <v>1.1711513808241995E-3</v>
      </c>
      <c r="L39" s="638">
        <f t="shared" si="3"/>
        <v>0</v>
      </c>
    </row>
    <row r="40" spans="1:15">
      <c r="A40" s="637" t="s">
        <v>16</v>
      </c>
      <c r="B40" s="360">
        <v>10726.02</v>
      </c>
      <c r="C40" s="360">
        <v>0</v>
      </c>
      <c r="D40" s="360">
        <v>373</v>
      </c>
      <c r="E40" s="360">
        <v>57.75</v>
      </c>
      <c r="F40" s="360">
        <v>0</v>
      </c>
      <c r="G40" s="637" t="str">
        <f t="shared" si="4"/>
        <v>OD</v>
      </c>
      <c r="H40" s="638">
        <f t="shared" si="5"/>
        <v>0.20809940948070893</v>
      </c>
      <c r="I40" s="638">
        <f t="shared" si="3"/>
        <v>0</v>
      </c>
      <c r="J40" s="638">
        <f t="shared" si="3"/>
        <v>5.0985078184865605E-2</v>
      </c>
      <c r="K40" s="638">
        <f t="shared" si="3"/>
        <v>3.7868976619595478E-2</v>
      </c>
      <c r="L40" s="638">
        <f t="shared" si="3"/>
        <v>0</v>
      </c>
    </row>
    <row r="41" spans="1:15">
      <c r="A41" s="637" t="s">
        <v>17</v>
      </c>
      <c r="B41" s="360">
        <v>815.15800000000002</v>
      </c>
      <c r="C41" s="360">
        <v>0</v>
      </c>
      <c r="D41" s="360">
        <v>211.828</v>
      </c>
      <c r="E41" s="360">
        <v>23.550999999999998</v>
      </c>
      <c r="F41" s="360">
        <v>0</v>
      </c>
      <c r="G41" s="637" t="str">
        <f t="shared" si="4"/>
        <v>WB</v>
      </c>
      <c r="H41" s="638">
        <f t="shared" si="5"/>
        <v>1.5815176405924631E-2</v>
      </c>
      <c r="I41" s="638">
        <f t="shared" si="3"/>
        <v>0</v>
      </c>
      <c r="J41" s="638">
        <f t="shared" si="3"/>
        <v>2.8954603597168126E-2</v>
      </c>
      <c r="K41" s="638">
        <f t="shared" si="3"/>
        <v>1.5443329322391222E-2</v>
      </c>
      <c r="L41" s="638">
        <f t="shared" si="3"/>
        <v>0</v>
      </c>
    </row>
    <row r="42" spans="1:15">
      <c r="A42" s="637" t="s">
        <v>18</v>
      </c>
      <c r="B42" s="360">
        <v>6300.66</v>
      </c>
      <c r="C42" s="360">
        <v>22.271999999999998</v>
      </c>
      <c r="D42" s="360">
        <v>91.471999999999994</v>
      </c>
      <c r="E42" s="360">
        <v>30.524999999999999</v>
      </c>
      <c r="F42" s="360">
        <v>0</v>
      </c>
      <c r="G42" s="637" t="str">
        <f t="shared" si="4"/>
        <v>CG</v>
      </c>
      <c r="H42" s="638">
        <f t="shared" si="5"/>
        <v>0.12224139292474967</v>
      </c>
      <c r="I42" s="638">
        <f t="shared" si="3"/>
        <v>0.17031168751720552</v>
      </c>
      <c r="J42" s="638">
        <f t="shared" si="3"/>
        <v>1.2503236117227952E-2</v>
      </c>
      <c r="K42" s="638">
        <f t="shared" si="3"/>
        <v>2.0016459070357609E-2</v>
      </c>
      <c r="L42" s="638">
        <f t="shared" si="3"/>
        <v>0</v>
      </c>
    </row>
    <row r="43" spans="1:15">
      <c r="A43" s="637" t="s">
        <v>8</v>
      </c>
      <c r="B43" s="360">
        <v>4187.4719999999998</v>
      </c>
      <c r="C43" s="360">
        <v>2.5499999999999998</v>
      </c>
      <c r="D43" s="360">
        <v>2961.64</v>
      </c>
      <c r="E43" s="360">
        <v>131.84200000000001</v>
      </c>
      <c r="F43" s="360">
        <v>636.06600000000003</v>
      </c>
      <c r="G43" s="637" t="str">
        <f t="shared" si="4"/>
        <v>GJ</v>
      </c>
      <c r="H43" s="638">
        <f t="shared" si="5"/>
        <v>8.1242665072133291E-2</v>
      </c>
      <c r="I43" s="638">
        <f t="shared" si="3"/>
        <v>1.9499587067567981E-2</v>
      </c>
      <c r="J43" s="638">
        <f t="shared" si="3"/>
        <v>0.40482425457218596</v>
      </c>
      <c r="K43" s="638">
        <f t="shared" si="3"/>
        <v>8.6454053947717879E-2</v>
      </c>
      <c r="L43" s="638">
        <f t="shared" si="3"/>
        <v>0.21559396074156628</v>
      </c>
    </row>
    <row r="44" spans="1:15">
      <c r="A44" s="637" t="s">
        <v>9</v>
      </c>
      <c r="B44" s="360">
        <v>7184.0290000000005</v>
      </c>
      <c r="C44" s="360">
        <v>0</v>
      </c>
      <c r="D44" s="360">
        <v>164.35599999999999</v>
      </c>
      <c r="E44" s="360">
        <v>7.53</v>
      </c>
      <c r="F44" s="360">
        <v>216.75</v>
      </c>
      <c r="G44" s="637" t="str">
        <f t="shared" si="4"/>
        <v>MP</v>
      </c>
      <c r="H44" s="638">
        <f t="shared" si="5"/>
        <v>0.13937995571444842</v>
      </c>
      <c r="I44" s="638">
        <f t="shared" si="3"/>
        <v>0</v>
      </c>
      <c r="J44" s="638">
        <f t="shared" si="3"/>
        <v>2.2465693056707162E-2</v>
      </c>
      <c r="K44" s="638">
        <f t="shared" si="3"/>
        <v>4.9377211072823193E-3</v>
      </c>
      <c r="L44" s="638">
        <f t="shared" si="3"/>
        <v>7.3467204646584613E-2</v>
      </c>
    </row>
    <row r="45" spans="1:15">
      <c r="A45" s="637" t="s">
        <v>10</v>
      </c>
      <c r="B45" s="360">
        <v>3723.1570000000002</v>
      </c>
      <c r="C45" s="360">
        <v>21</v>
      </c>
      <c r="D45" s="360">
        <v>703.61599999999999</v>
      </c>
      <c r="E45" s="360">
        <v>344.60399999999998</v>
      </c>
      <c r="F45" s="360">
        <v>326.911</v>
      </c>
      <c r="G45" s="637" t="str">
        <f t="shared" si="4"/>
        <v>MH</v>
      </c>
      <c r="H45" s="638">
        <f t="shared" si="5"/>
        <v>7.2234321127871079E-2</v>
      </c>
      <c r="I45" s="638">
        <f t="shared" si="3"/>
        <v>0.16058483467408927</v>
      </c>
      <c r="J45" s="638">
        <f t="shared" si="3"/>
        <v>9.6176720568692753E-2</v>
      </c>
      <c r="K45" s="638">
        <f t="shared" si="3"/>
        <v>0.22597057695271133</v>
      </c>
      <c r="L45" s="638">
        <f t="shared" si="3"/>
        <v>0.11080616995718397</v>
      </c>
    </row>
    <row r="46" spans="1:15">
      <c r="A46" s="637" t="s">
        <v>91</v>
      </c>
      <c r="B46" s="360">
        <v>15.9</v>
      </c>
      <c r="C46" s="360">
        <v>0</v>
      </c>
      <c r="D46" s="360">
        <v>83.3</v>
      </c>
      <c r="E46" s="360">
        <v>0</v>
      </c>
      <c r="F46" s="360">
        <v>0</v>
      </c>
      <c r="G46" s="637" t="str">
        <f t="shared" si="4"/>
        <v>GA</v>
      </c>
      <c r="H46" s="638">
        <f t="shared" si="5"/>
        <v>3.0848167453941645E-4</v>
      </c>
      <c r="I46" s="638">
        <f t="shared" si="3"/>
        <v>0</v>
      </c>
      <c r="J46" s="638">
        <f t="shared" si="3"/>
        <v>1.1386211830561139E-2</v>
      </c>
      <c r="K46" s="638">
        <f t="shared" si="3"/>
        <v>0</v>
      </c>
      <c r="L46" s="638">
        <f t="shared" si="3"/>
        <v>0</v>
      </c>
    </row>
    <row r="47" spans="1:15">
      <c r="A47" s="637" t="s">
        <v>92</v>
      </c>
      <c r="B47" s="360">
        <v>48.9</v>
      </c>
      <c r="C47" s="360">
        <v>0</v>
      </c>
      <c r="D47" s="360">
        <v>35.9</v>
      </c>
      <c r="E47" s="360">
        <v>3.4279999999999999</v>
      </c>
      <c r="F47" s="360">
        <v>0</v>
      </c>
      <c r="G47" s="637" t="str">
        <f t="shared" si="4"/>
        <v>UT</v>
      </c>
      <c r="H47" s="638">
        <f t="shared" si="5"/>
        <v>9.4872665943254492E-4</v>
      </c>
      <c r="I47" s="638">
        <f t="shared" si="3"/>
        <v>0</v>
      </c>
      <c r="J47" s="638">
        <f t="shared" si="3"/>
        <v>4.9071429137712468E-3</v>
      </c>
      <c r="K47" s="638">
        <f t="shared" si="3"/>
        <v>2.2478762225449922E-3</v>
      </c>
      <c r="L47" s="638">
        <f t="shared" si="3"/>
        <v>0</v>
      </c>
    </row>
    <row r="48" spans="1:15">
      <c r="A48" s="637" t="s">
        <v>29</v>
      </c>
      <c r="B48" s="360">
        <v>118</v>
      </c>
      <c r="C48" s="360">
        <v>0</v>
      </c>
      <c r="D48" s="360">
        <v>369.214</v>
      </c>
      <c r="E48" s="360">
        <v>6.48</v>
      </c>
      <c r="F48" s="360">
        <v>0</v>
      </c>
      <c r="G48" s="637" t="str">
        <f t="shared" si="4"/>
        <v>AS</v>
      </c>
      <c r="H48" s="638">
        <f t="shared" si="5"/>
        <v>2.289360855072399E-3</v>
      </c>
      <c r="I48" s="638">
        <f t="shared" si="3"/>
        <v>0</v>
      </c>
      <c r="J48" s="638">
        <f t="shared" si="3"/>
        <v>5.0467572806828336E-2</v>
      </c>
      <c r="K48" s="638">
        <f t="shared" si="3"/>
        <v>4.2491942596533105E-3</v>
      </c>
      <c r="L48" s="638">
        <f t="shared" si="3"/>
        <v>0</v>
      </c>
    </row>
    <row r="49" spans="1:12">
      <c r="A49" s="637" t="s">
        <v>90</v>
      </c>
      <c r="B49" s="360">
        <v>38.799999999999997</v>
      </c>
      <c r="C49" s="360">
        <v>0</v>
      </c>
      <c r="D49" s="360">
        <v>0</v>
      </c>
      <c r="E49" s="360">
        <v>0</v>
      </c>
      <c r="F49" s="360">
        <v>0</v>
      </c>
      <c r="G49" s="637" t="str">
        <f t="shared" si="4"/>
        <v>NE</v>
      </c>
      <c r="H49" s="638">
        <f t="shared" si="5"/>
        <v>7.5277289132889044E-4</v>
      </c>
      <c r="I49" s="638">
        <f t="shared" si="3"/>
        <v>0</v>
      </c>
      <c r="J49" s="638">
        <f t="shared" si="3"/>
        <v>0</v>
      </c>
      <c r="K49" s="638">
        <f t="shared" si="3"/>
        <v>0</v>
      </c>
      <c r="L49" s="638">
        <f t="shared" si="3"/>
        <v>0</v>
      </c>
    </row>
    <row r="50" spans="1:12">
      <c r="A50" s="637" t="s">
        <v>14</v>
      </c>
      <c r="B50" s="360">
        <v>2419.4029999999998</v>
      </c>
      <c r="C50" s="360">
        <v>1.875</v>
      </c>
      <c r="D50" s="360">
        <v>199.36600000000001</v>
      </c>
      <c r="E50" s="360">
        <v>19.358000000000001</v>
      </c>
      <c r="F50" s="360">
        <v>18.850000000000001</v>
      </c>
      <c r="G50" s="637" t="str">
        <f t="shared" si="4"/>
        <v>AP</v>
      </c>
      <c r="H50" s="638">
        <f t="shared" si="5"/>
        <v>4.6939716278345138E-2</v>
      </c>
      <c r="I50" s="638">
        <f t="shared" si="3"/>
        <v>1.4337931667329398E-2</v>
      </c>
      <c r="J50" s="638">
        <f t="shared" si="3"/>
        <v>2.7251182566766535E-2</v>
      </c>
      <c r="K50" s="638">
        <f t="shared" si="3"/>
        <v>1.2693812110859381E-2</v>
      </c>
      <c r="L50" s="638">
        <f t="shared" si="3"/>
        <v>6.3891894237052835E-3</v>
      </c>
    </row>
    <row r="51" spans="1:12">
      <c r="A51" s="637" t="s">
        <v>11</v>
      </c>
      <c r="B51" s="360">
        <v>3839.002</v>
      </c>
      <c r="C51" s="360">
        <v>25.574999999999999</v>
      </c>
      <c r="D51" s="360">
        <v>506.9</v>
      </c>
      <c r="E51" s="360">
        <v>187.31800000000001</v>
      </c>
      <c r="F51" s="360">
        <v>154.625</v>
      </c>
      <c r="G51" s="637" t="str">
        <f t="shared" si="4"/>
        <v>KA</v>
      </c>
      <c r="H51" s="638">
        <f t="shared" si="5"/>
        <v>7.4481872045293634E-2</v>
      </c>
      <c r="I51" s="638">
        <f t="shared" si="3"/>
        <v>0.195569387942373</v>
      </c>
      <c r="J51" s="638">
        <f t="shared" si="3"/>
        <v>6.9287764428708778E-2</v>
      </c>
      <c r="K51" s="638">
        <f t="shared" si="3"/>
        <v>0.12283187813730538</v>
      </c>
      <c r="L51" s="638">
        <f t="shared" si="3"/>
        <v>5.2409995471640818E-2</v>
      </c>
    </row>
    <row r="52" spans="1:12">
      <c r="A52" s="637" t="s">
        <v>12</v>
      </c>
      <c r="B52" s="360">
        <v>165.1</v>
      </c>
      <c r="C52" s="360">
        <v>54</v>
      </c>
      <c r="D52" s="360">
        <v>195.48</v>
      </c>
      <c r="E52" s="360">
        <v>2.1469999999999998</v>
      </c>
      <c r="F52" s="360">
        <v>0</v>
      </c>
      <c r="G52" s="637" t="str">
        <f t="shared" si="4"/>
        <v>KL</v>
      </c>
      <c r="H52" s="638">
        <f t="shared" si="5"/>
        <v>3.2031650607835002E-3</v>
      </c>
      <c r="I52" s="638">
        <f t="shared" si="3"/>
        <v>0.41293243201908669</v>
      </c>
      <c r="J52" s="638">
        <f t="shared" si="3"/>
        <v>2.6720008266963882E-2</v>
      </c>
      <c r="K52" s="638">
        <f t="shared" si="3"/>
        <v>1.4078734684376014E-3</v>
      </c>
      <c r="L52" s="638">
        <f t="shared" si="3"/>
        <v>0</v>
      </c>
    </row>
    <row r="53" spans="1:12">
      <c r="A53" s="637" t="s">
        <v>13</v>
      </c>
      <c r="B53" s="360">
        <v>3581.3339999999998</v>
      </c>
      <c r="C53" s="360">
        <v>0</v>
      </c>
      <c r="D53" s="360">
        <v>297.47699999999998</v>
      </c>
      <c r="E53" s="360">
        <v>256.39699999999999</v>
      </c>
      <c r="F53" s="360">
        <v>1490.11</v>
      </c>
      <c r="G53" s="637" t="str">
        <f t="shared" si="4"/>
        <v>TN</v>
      </c>
      <c r="H53" s="638">
        <f t="shared" si="5"/>
        <v>6.9482761597795373E-2</v>
      </c>
      <c r="I53" s="638">
        <f t="shared" si="3"/>
        <v>0</v>
      </c>
      <c r="J53" s="638">
        <f t="shared" si="3"/>
        <v>4.066189839999803E-2</v>
      </c>
      <c r="K53" s="638">
        <f t="shared" si="3"/>
        <v>0.16812973157289041</v>
      </c>
      <c r="L53" s="638">
        <f t="shared" si="3"/>
        <v>0.5050713555521209</v>
      </c>
    </row>
    <row r="54" spans="1:12">
      <c r="A54" s="637" t="s">
        <v>15</v>
      </c>
      <c r="B54" s="360">
        <v>1178.2719999999999</v>
      </c>
      <c r="C54" s="360">
        <v>0</v>
      </c>
      <c r="D54" s="360">
        <v>1</v>
      </c>
      <c r="E54" s="360">
        <v>56.906999999999996</v>
      </c>
      <c r="F54" s="360">
        <v>0.90900000000000003</v>
      </c>
      <c r="G54" s="637" t="str">
        <f t="shared" si="4"/>
        <v>TS</v>
      </c>
      <c r="H54" s="638">
        <f t="shared" si="5"/>
        <v>2.2860082995151403E-2</v>
      </c>
      <c r="I54" s="638">
        <f t="shared" ref="I54:I62" si="6">C54/SUM(C$38:C$62)</f>
        <v>0</v>
      </c>
      <c r="J54" s="638">
        <f t="shared" ref="J54:J62" si="7">D54/SUM(D$38:D$62)</f>
        <v>1.3668921765379519E-4</v>
      </c>
      <c r="K54" s="638">
        <f t="shared" ref="K54:K62" si="8">E54/SUM(E$38:E$62)</f>
        <v>3.7316187921927611E-2</v>
      </c>
      <c r="L54" s="638">
        <f t="shared" ref="L54:L62" si="9">F54/SUM(F$38:F$62)</f>
        <v>3.0810467831024414E-4</v>
      </c>
    </row>
    <row r="55" spans="1:12">
      <c r="A55" s="637" t="s">
        <v>93</v>
      </c>
      <c r="B55" s="360">
        <v>0</v>
      </c>
      <c r="C55" s="360">
        <v>0</v>
      </c>
      <c r="D55" s="360">
        <v>0</v>
      </c>
      <c r="E55" s="360">
        <v>0.23699999999999999</v>
      </c>
      <c r="F55" s="360">
        <v>0</v>
      </c>
      <c r="G55" s="637" t="str">
        <f t="shared" si="4"/>
        <v>DL</v>
      </c>
      <c r="H55" s="638">
        <f t="shared" si="5"/>
        <v>0</v>
      </c>
      <c r="I55" s="638">
        <f t="shared" si="6"/>
        <v>0</v>
      </c>
      <c r="J55" s="638">
        <f t="shared" si="7"/>
        <v>0</v>
      </c>
      <c r="K55" s="638">
        <f t="shared" si="8"/>
        <v>1.5541034560769053E-4</v>
      </c>
      <c r="L55" s="638">
        <f t="shared" si="9"/>
        <v>0</v>
      </c>
    </row>
    <row r="56" spans="1:12">
      <c r="A56" s="637" t="s">
        <v>5</v>
      </c>
      <c r="B56" s="360">
        <v>355.71</v>
      </c>
      <c r="C56" s="360">
        <v>0</v>
      </c>
      <c r="D56" s="360">
        <v>473.61700000000002</v>
      </c>
      <c r="E56" s="360">
        <v>55.779000000000003</v>
      </c>
      <c r="F56" s="360">
        <v>0</v>
      </c>
      <c r="G56" s="637" t="str">
        <f t="shared" si="4"/>
        <v>HR</v>
      </c>
      <c r="H56" s="638">
        <f t="shared" si="5"/>
        <v>6.9012588962525673E-3</v>
      </c>
      <c r="I56" s="638">
        <f t="shared" si="6"/>
        <v>0</v>
      </c>
      <c r="J56" s="638">
        <f t="shared" si="7"/>
        <v>6.4738337197537521E-2</v>
      </c>
      <c r="K56" s="638">
        <f t="shared" si="8"/>
        <v>3.6576513365617597E-2</v>
      </c>
      <c r="L56" s="638">
        <f t="shared" si="9"/>
        <v>0</v>
      </c>
    </row>
    <row r="57" spans="1:12">
      <c r="A57" s="637" t="s">
        <v>88</v>
      </c>
      <c r="B57" s="360">
        <v>31.225000000000001</v>
      </c>
      <c r="C57" s="360">
        <v>3.5</v>
      </c>
      <c r="D57" s="360">
        <v>0</v>
      </c>
      <c r="E57" s="360">
        <v>5.3380000000000001</v>
      </c>
      <c r="F57" s="360">
        <v>0</v>
      </c>
      <c r="G57" s="637" t="str">
        <f t="shared" si="4"/>
        <v>HP</v>
      </c>
      <c r="H57" s="638">
        <f t="shared" si="5"/>
        <v>6.0580756525114969E-4</v>
      </c>
      <c r="I57" s="638">
        <f t="shared" si="6"/>
        <v>2.676413911234821E-2</v>
      </c>
      <c r="J57" s="638">
        <f t="shared" si="7"/>
        <v>0</v>
      </c>
      <c r="K57" s="638">
        <f t="shared" si="8"/>
        <v>3.500339345374903E-3</v>
      </c>
      <c r="L57" s="638">
        <f t="shared" si="9"/>
        <v>0</v>
      </c>
    </row>
    <row r="58" spans="1:12">
      <c r="A58" s="637" t="s">
        <v>89</v>
      </c>
      <c r="B58" s="360">
        <v>0</v>
      </c>
      <c r="C58" s="360">
        <v>0</v>
      </c>
      <c r="D58" s="360">
        <v>0</v>
      </c>
      <c r="E58" s="360">
        <v>0</v>
      </c>
      <c r="F58" s="360">
        <v>0</v>
      </c>
      <c r="G58" s="637" t="str">
        <f t="shared" si="4"/>
        <v>JK</v>
      </c>
      <c r="H58" s="638">
        <f t="shared" si="5"/>
        <v>0</v>
      </c>
      <c r="I58" s="638">
        <f t="shared" si="6"/>
        <v>0</v>
      </c>
      <c r="J58" s="638">
        <f t="shared" si="7"/>
        <v>0</v>
      </c>
      <c r="K58" s="638">
        <f t="shared" si="8"/>
        <v>0</v>
      </c>
      <c r="L58" s="638">
        <f t="shared" si="9"/>
        <v>0</v>
      </c>
    </row>
    <row r="59" spans="1:12">
      <c r="A59" s="637" t="s">
        <v>1</v>
      </c>
      <c r="B59" s="360">
        <v>577.97</v>
      </c>
      <c r="C59" s="360">
        <v>0</v>
      </c>
      <c r="D59" s="360">
        <v>75.242000000000004</v>
      </c>
      <c r="E59" s="360">
        <v>20.151</v>
      </c>
      <c r="F59" s="360">
        <v>0</v>
      </c>
      <c r="G59" s="637" t="str">
        <f t="shared" si="4"/>
        <v>PB</v>
      </c>
      <c r="H59" s="638">
        <f t="shared" si="5"/>
        <v>1.1213405876323681E-2</v>
      </c>
      <c r="I59" s="638">
        <f t="shared" si="6"/>
        <v>0</v>
      </c>
      <c r="J59" s="638">
        <f t="shared" si="7"/>
        <v>1.0284770114706859E-2</v>
      </c>
      <c r="K59" s="638">
        <f t="shared" si="8"/>
        <v>1.3213813815783003E-2</v>
      </c>
      <c r="L59" s="638">
        <f t="shared" si="9"/>
        <v>0</v>
      </c>
    </row>
    <row r="60" spans="1:12">
      <c r="A60" s="637" t="s">
        <v>6</v>
      </c>
      <c r="B60" s="360">
        <v>2026.905</v>
      </c>
      <c r="C60" s="360">
        <v>0</v>
      </c>
      <c r="D60" s="360">
        <v>101.29900000000001</v>
      </c>
      <c r="E60" s="360">
        <v>239.36500000000001</v>
      </c>
      <c r="F60" s="360">
        <v>106.075</v>
      </c>
      <c r="G60" s="637" t="str">
        <f t="shared" si="4"/>
        <v>RJ</v>
      </c>
      <c r="H60" s="638">
        <f t="shared" si="5"/>
        <v>3.9324720033478991E-2</v>
      </c>
      <c r="I60" s="638">
        <f t="shared" si="6"/>
        <v>0</v>
      </c>
      <c r="J60" s="638">
        <f t="shared" si="7"/>
        <v>1.38464810591118E-2</v>
      </c>
      <c r="K60" s="638">
        <f t="shared" si="8"/>
        <v>0.156961170364493</v>
      </c>
      <c r="L60" s="638">
        <f t="shared" si="9"/>
        <v>3.5954019528887951E-2</v>
      </c>
    </row>
    <row r="61" spans="1:12">
      <c r="A61" s="637" t="s">
        <v>0</v>
      </c>
      <c r="B61" s="360">
        <v>2385.933</v>
      </c>
      <c r="C61" s="360">
        <v>0</v>
      </c>
      <c r="D61" s="360">
        <v>317.72500000000002</v>
      </c>
      <c r="E61" s="360">
        <v>56.424999999999997</v>
      </c>
      <c r="F61" s="360">
        <v>0</v>
      </c>
      <c r="G61" s="637" t="str">
        <f t="shared" si="4"/>
        <v>UP</v>
      </c>
      <c r="H61" s="638">
        <f t="shared" si="5"/>
        <v>4.6290352652758084E-2</v>
      </c>
      <c r="I61" s="638">
        <f t="shared" si="6"/>
        <v>0</v>
      </c>
      <c r="J61" s="638">
        <f t="shared" si="7"/>
        <v>4.342958167905208E-2</v>
      </c>
      <c r="K61" s="638">
        <f t="shared" si="8"/>
        <v>3.7000121311873156E-2</v>
      </c>
      <c r="L61" s="638">
        <f t="shared" si="9"/>
        <v>0</v>
      </c>
    </row>
    <row r="62" spans="1:12">
      <c r="A62" s="637" t="s">
        <v>4</v>
      </c>
      <c r="B62" s="360">
        <v>150.30000000000001</v>
      </c>
      <c r="C62" s="360">
        <v>0</v>
      </c>
      <c r="D62" s="360">
        <v>9.89</v>
      </c>
      <c r="E62" s="360">
        <v>17.013999999999999</v>
      </c>
      <c r="F62" s="360">
        <v>0</v>
      </c>
      <c r="G62" s="637" t="str">
        <f t="shared" si="4"/>
        <v>UK</v>
      </c>
      <c r="H62" s="638">
        <f t="shared" si="5"/>
        <v>2.9160248857405219E-3</v>
      </c>
      <c r="I62" s="638">
        <f t="shared" si="6"/>
        <v>0</v>
      </c>
      <c r="J62" s="638">
        <f t="shared" si="7"/>
        <v>1.3518563625960346E-3</v>
      </c>
      <c r="K62" s="638">
        <f t="shared" si="8"/>
        <v>1.115675789100948E-2</v>
      </c>
      <c r="L62" s="638">
        <f t="shared" si="9"/>
        <v>0</v>
      </c>
    </row>
    <row r="64" spans="1:12">
      <c r="G64" s="39" t="s">
        <v>1938</v>
      </c>
    </row>
    <row r="65" spans="1:12">
      <c r="A65" s="416" t="s">
        <v>621</v>
      </c>
      <c r="B65" s="416" t="s">
        <v>1232</v>
      </c>
      <c r="C65" s="416" t="s">
        <v>639</v>
      </c>
      <c r="D65" s="416" t="s">
        <v>659</v>
      </c>
      <c r="E65" s="416" t="s">
        <v>96</v>
      </c>
      <c r="F65" s="416" t="s">
        <v>95</v>
      </c>
      <c r="G65" s="637" t="str">
        <f>A65</f>
        <v>SubGeography2</v>
      </c>
      <c r="H65" s="637" t="str">
        <f>B65</f>
        <v>EG_COAL</v>
      </c>
      <c r="I65" s="637" t="str">
        <f t="shared" ref="I65" si="10">C65</f>
        <v>EG_LH</v>
      </c>
      <c r="J65" s="637" t="str">
        <f t="shared" ref="J65" si="11">D65</f>
        <v>EG_CCGT</v>
      </c>
      <c r="K65" s="637" t="str">
        <f t="shared" ref="K65" si="12">E65</f>
        <v>EG_WIND</v>
      </c>
      <c r="L65" s="637" t="str">
        <f t="shared" ref="L65" si="13">F65</f>
        <v>EG_SOLARPV</v>
      </c>
    </row>
    <row r="66" spans="1:12">
      <c r="A66" s="416" t="s">
        <v>19</v>
      </c>
      <c r="B66" s="416">
        <v>6390</v>
      </c>
      <c r="C66" s="416">
        <v>0</v>
      </c>
      <c r="D66" s="416">
        <v>0</v>
      </c>
      <c r="E66" s="416">
        <v>0</v>
      </c>
      <c r="F66" s="416">
        <v>151.57</v>
      </c>
      <c r="G66" s="637" t="str">
        <f t="shared" ref="G66:G90" si="14">A66</f>
        <v>BR</v>
      </c>
      <c r="H66" s="416">
        <f>IF(B66=0,0,B38/B66)</f>
        <v>3.1205007824726134E-2</v>
      </c>
      <c r="I66" s="416">
        <f t="shared" ref="I66:L66" si="15">IF(C66=0,0,C38/C66)</f>
        <v>0</v>
      </c>
      <c r="J66" s="416">
        <f t="shared" si="15"/>
        <v>0</v>
      </c>
      <c r="K66" s="416">
        <f t="shared" si="15"/>
        <v>0</v>
      </c>
      <c r="L66" s="416">
        <f t="shared" si="15"/>
        <v>0</v>
      </c>
    </row>
    <row r="67" spans="1:12">
      <c r="A67" s="416" t="s">
        <v>20</v>
      </c>
      <c r="B67" s="416">
        <v>4460</v>
      </c>
      <c r="C67" s="416">
        <v>210</v>
      </c>
      <c r="D67" s="416">
        <v>0</v>
      </c>
      <c r="E67" s="416">
        <v>0</v>
      </c>
      <c r="F67" s="416">
        <v>38.400000000000006</v>
      </c>
      <c r="G67" s="637" t="str">
        <f t="shared" si="14"/>
        <v>JH</v>
      </c>
      <c r="H67" s="416">
        <f t="shared" ref="H67:H90" si="16">IF(B67=0,0,B39/B67)</f>
        <v>0.3305201793721973</v>
      </c>
      <c r="I67" s="416">
        <f t="shared" ref="I67:I90" si="17">IF(C67=0,0,C39/C67)</f>
        <v>0</v>
      </c>
      <c r="J67" s="416">
        <f t="shared" ref="J67:J90" si="18">IF(D67=0,0,D39/D67)</f>
        <v>0</v>
      </c>
      <c r="K67" s="416">
        <f t="shared" ref="K67:K90" si="19">IF(E67=0,0,E39/E67)</f>
        <v>0</v>
      </c>
      <c r="L67" s="416">
        <f t="shared" ref="L67:L90" si="20">IF(F67=0,0,F39/F67)</f>
        <v>0</v>
      </c>
    </row>
    <row r="68" spans="1:12">
      <c r="A68" s="416" t="s">
        <v>16</v>
      </c>
      <c r="B68" s="416">
        <v>9800</v>
      </c>
      <c r="C68" s="416">
        <v>2142.25</v>
      </c>
      <c r="D68" s="416">
        <v>0</v>
      </c>
      <c r="E68" s="416">
        <v>0</v>
      </c>
      <c r="F68" s="416">
        <v>397.84</v>
      </c>
      <c r="G68" s="637" t="str">
        <f t="shared" si="14"/>
        <v>OD</v>
      </c>
      <c r="H68" s="416">
        <f t="shared" si="16"/>
        <v>1.0944918367346939</v>
      </c>
      <c r="I68" s="416">
        <f t="shared" si="17"/>
        <v>0</v>
      </c>
      <c r="J68" s="416">
        <f t="shared" si="18"/>
        <v>0</v>
      </c>
      <c r="K68" s="416">
        <f t="shared" si="19"/>
        <v>0</v>
      </c>
      <c r="L68" s="416">
        <f t="shared" si="20"/>
        <v>0</v>
      </c>
    </row>
    <row r="69" spans="1:12">
      <c r="A69" s="416" t="s">
        <v>17</v>
      </c>
      <c r="B69" s="416">
        <v>14177</v>
      </c>
      <c r="C69" s="416">
        <v>441.20000000000005</v>
      </c>
      <c r="D69" s="416">
        <v>100</v>
      </c>
      <c r="E69" s="416">
        <v>0</v>
      </c>
      <c r="F69" s="416">
        <v>114.46000000000001</v>
      </c>
      <c r="G69" s="637" t="str">
        <f t="shared" si="14"/>
        <v>WB</v>
      </c>
      <c r="H69" s="416">
        <f t="shared" si="16"/>
        <v>5.7498624532693804E-2</v>
      </c>
      <c r="I69" s="416">
        <f t="shared" si="17"/>
        <v>0</v>
      </c>
      <c r="J69" s="416">
        <f t="shared" si="18"/>
        <v>2.1182799999999999</v>
      </c>
      <c r="K69" s="416">
        <f t="shared" si="19"/>
        <v>0</v>
      </c>
      <c r="L69" s="416">
        <f t="shared" si="20"/>
        <v>0</v>
      </c>
    </row>
    <row r="70" spans="1:12">
      <c r="A70" s="416" t="s">
        <v>18</v>
      </c>
      <c r="B70" s="416">
        <v>23128</v>
      </c>
      <c r="C70" s="416">
        <v>120</v>
      </c>
      <c r="D70" s="416">
        <v>0</v>
      </c>
      <c r="E70" s="416">
        <v>0</v>
      </c>
      <c r="F70" s="416">
        <v>231.35000000000002</v>
      </c>
      <c r="G70" s="637" t="str">
        <f t="shared" si="14"/>
        <v>CG</v>
      </c>
      <c r="H70" s="416">
        <f t="shared" si="16"/>
        <v>0.2724256312694569</v>
      </c>
      <c r="I70" s="416">
        <f t="shared" si="17"/>
        <v>0.18559999999999999</v>
      </c>
      <c r="J70" s="416">
        <f t="shared" si="18"/>
        <v>0</v>
      </c>
      <c r="K70" s="416">
        <f t="shared" si="19"/>
        <v>0</v>
      </c>
      <c r="L70" s="416">
        <f t="shared" si="20"/>
        <v>0</v>
      </c>
    </row>
    <row r="71" spans="1:12">
      <c r="A71" s="416" t="s">
        <v>8</v>
      </c>
      <c r="B71" s="416">
        <v>16232</v>
      </c>
      <c r="C71" s="416">
        <v>1990</v>
      </c>
      <c r="D71" s="416">
        <v>7551.41</v>
      </c>
      <c r="E71" s="416">
        <v>7541.52</v>
      </c>
      <c r="F71" s="416">
        <v>2948.37</v>
      </c>
      <c r="G71" s="637" t="str">
        <f t="shared" si="14"/>
        <v>GJ</v>
      </c>
      <c r="H71" s="416">
        <f t="shared" si="16"/>
        <v>0.25797634302612121</v>
      </c>
      <c r="I71" s="416">
        <f t="shared" si="17"/>
        <v>1.2814070351758794E-3</v>
      </c>
      <c r="J71" s="416">
        <f t="shared" si="18"/>
        <v>0.39219695394634907</v>
      </c>
      <c r="K71" s="416">
        <f t="shared" si="19"/>
        <v>1.7482152139091326E-2</v>
      </c>
      <c r="L71" s="416">
        <f t="shared" si="20"/>
        <v>0.2157347958363435</v>
      </c>
    </row>
    <row r="72" spans="1:12">
      <c r="A72" s="416" t="s">
        <v>9</v>
      </c>
      <c r="B72" s="416">
        <v>21150</v>
      </c>
      <c r="C72" s="416">
        <v>2235</v>
      </c>
      <c r="D72" s="416">
        <v>0</v>
      </c>
      <c r="E72" s="416">
        <v>2519.89</v>
      </c>
      <c r="F72" s="416">
        <v>2258.46</v>
      </c>
      <c r="G72" s="637" t="str">
        <f t="shared" si="14"/>
        <v>MP</v>
      </c>
      <c r="H72" s="416">
        <f t="shared" si="16"/>
        <v>0.33967040189125297</v>
      </c>
      <c r="I72" s="416">
        <f t="shared" si="17"/>
        <v>0</v>
      </c>
      <c r="J72" s="416">
        <f t="shared" si="18"/>
        <v>0</v>
      </c>
      <c r="K72" s="416">
        <f t="shared" si="19"/>
        <v>2.9882256765176259E-3</v>
      </c>
      <c r="L72" s="416">
        <f t="shared" si="20"/>
        <v>9.5972476820488289E-2</v>
      </c>
    </row>
    <row r="73" spans="1:12">
      <c r="A73" s="416" t="s">
        <v>10</v>
      </c>
      <c r="B73" s="416">
        <v>24966</v>
      </c>
      <c r="C73" s="416">
        <v>2647</v>
      </c>
      <c r="D73" s="416">
        <v>3207.08</v>
      </c>
      <c r="E73" s="416">
        <v>5000.33</v>
      </c>
      <c r="F73" s="416">
        <v>1801.8</v>
      </c>
      <c r="G73" s="637" t="str">
        <f t="shared" si="14"/>
        <v>MH</v>
      </c>
      <c r="H73" s="416">
        <f t="shared" si="16"/>
        <v>0.14912909556997517</v>
      </c>
      <c r="I73" s="416">
        <f t="shared" si="17"/>
        <v>7.9335096335474125E-3</v>
      </c>
      <c r="J73" s="416">
        <f t="shared" si="18"/>
        <v>0.21939458947079588</v>
      </c>
      <c r="K73" s="416">
        <f t="shared" si="19"/>
        <v>6.8916251527399192E-2</v>
      </c>
      <c r="L73" s="416">
        <f t="shared" si="20"/>
        <v>0.18143578643578645</v>
      </c>
    </row>
    <row r="74" spans="1:12">
      <c r="A74" s="416" t="s">
        <v>91</v>
      </c>
      <c r="B74" s="416">
        <v>0</v>
      </c>
      <c r="C74" s="416">
        <v>0</v>
      </c>
      <c r="D74" s="416">
        <v>48</v>
      </c>
      <c r="E74" s="416">
        <v>0</v>
      </c>
      <c r="F74" s="416">
        <v>4.78</v>
      </c>
      <c r="G74" s="637" t="str">
        <f t="shared" si="14"/>
        <v>GA</v>
      </c>
      <c r="H74" s="416">
        <f t="shared" si="16"/>
        <v>0</v>
      </c>
      <c r="I74" s="416">
        <f t="shared" si="17"/>
        <v>0</v>
      </c>
      <c r="J74" s="416">
        <f t="shared" si="18"/>
        <v>1.7354166666666666</v>
      </c>
      <c r="K74" s="416">
        <f t="shared" si="19"/>
        <v>0</v>
      </c>
      <c r="L74" s="416">
        <f t="shared" si="20"/>
        <v>0</v>
      </c>
    </row>
    <row r="75" spans="1:12">
      <c r="A75" s="416" t="s">
        <v>92</v>
      </c>
      <c r="B75" s="416">
        <v>0</v>
      </c>
      <c r="C75" s="416">
        <v>0</v>
      </c>
      <c r="D75" s="416">
        <v>32.5</v>
      </c>
      <c r="E75" s="416">
        <v>0</v>
      </c>
      <c r="F75" s="416">
        <v>71.38000000000001</v>
      </c>
      <c r="G75" s="637" t="str">
        <f t="shared" si="14"/>
        <v>UT</v>
      </c>
      <c r="H75" s="416">
        <f t="shared" si="16"/>
        <v>0</v>
      </c>
      <c r="I75" s="416">
        <f t="shared" si="17"/>
        <v>0</v>
      </c>
      <c r="J75" s="416">
        <f t="shared" si="18"/>
        <v>1.1046153846153846</v>
      </c>
      <c r="K75" s="416">
        <f t="shared" si="19"/>
        <v>0</v>
      </c>
      <c r="L75" s="416">
        <f t="shared" si="20"/>
        <v>0</v>
      </c>
    </row>
    <row r="76" spans="1:12">
      <c r="A76" s="416" t="s">
        <v>29</v>
      </c>
      <c r="B76" s="416">
        <v>750</v>
      </c>
      <c r="C76" s="416">
        <v>350</v>
      </c>
      <c r="D76" s="416">
        <v>643.70000000000005</v>
      </c>
      <c r="E76" s="416">
        <v>0</v>
      </c>
      <c r="F76" s="416">
        <v>41.23</v>
      </c>
      <c r="G76" s="637" t="str">
        <f t="shared" si="14"/>
        <v>AS</v>
      </c>
      <c r="H76" s="416">
        <f t="shared" si="16"/>
        <v>0.15733333333333333</v>
      </c>
      <c r="I76" s="416">
        <f t="shared" si="17"/>
        <v>0</v>
      </c>
      <c r="J76" s="416">
        <f t="shared" si="18"/>
        <v>0.57358086064937075</v>
      </c>
      <c r="K76" s="416">
        <f t="shared" si="19"/>
        <v>0</v>
      </c>
      <c r="L76" s="416">
        <f t="shared" si="20"/>
        <v>0</v>
      </c>
    </row>
    <row r="77" spans="1:12">
      <c r="A77" s="416" t="s">
        <v>90</v>
      </c>
      <c r="B77" s="416">
        <v>0</v>
      </c>
      <c r="C77" s="416">
        <v>3546</v>
      </c>
      <c r="D77" s="416">
        <v>1132.0999999999999</v>
      </c>
      <c r="E77" s="416">
        <v>0</v>
      </c>
      <c r="F77" s="416">
        <v>22.89</v>
      </c>
      <c r="G77" s="637" t="str">
        <f t="shared" si="14"/>
        <v>NE</v>
      </c>
      <c r="H77" s="416">
        <f t="shared" si="16"/>
        <v>0</v>
      </c>
      <c r="I77" s="416">
        <f t="shared" si="17"/>
        <v>0</v>
      </c>
      <c r="J77" s="416">
        <f t="shared" si="18"/>
        <v>0</v>
      </c>
      <c r="K77" s="416">
        <f t="shared" si="19"/>
        <v>0</v>
      </c>
      <c r="L77" s="416">
        <f t="shared" si="20"/>
        <v>0</v>
      </c>
    </row>
    <row r="78" spans="1:12">
      <c r="A78" s="416" t="s">
        <v>14</v>
      </c>
      <c r="B78" s="416">
        <v>11590</v>
      </c>
      <c r="C78" s="416">
        <v>1610</v>
      </c>
      <c r="D78" s="416">
        <v>4898.54</v>
      </c>
      <c r="E78" s="416">
        <v>4092.45</v>
      </c>
      <c r="F78" s="416">
        <v>3610.02</v>
      </c>
      <c r="G78" s="637" t="str">
        <f t="shared" si="14"/>
        <v>AP</v>
      </c>
      <c r="H78" s="416">
        <f t="shared" si="16"/>
        <v>0.20874918032786882</v>
      </c>
      <c r="I78" s="416">
        <f t="shared" si="17"/>
        <v>1.1645962732919255E-3</v>
      </c>
      <c r="J78" s="416">
        <f t="shared" si="18"/>
        <v>4.0699065435823738E-2</v>
      </c>
      <c r="K78" s="416">
        <f t="shared" si="19"/>
        <v>4.7301738567361853E-3</v>
      </c>
      <c r="L78" s="416">
        <f t="shared" si="20"/>
        <v>5.2215777197910261E-3</v>
      </c>
    </row>
    <row r="79" spans="1:12">
      <c r="A79" s="416" t="s">
        <v>11</v>
      </c>
      <c r="B79" s="416">
        <v>9480</v>
      </c>
      <c r="C79" s="416">
        <v>3644.2</v>
      </c>
      <c r="D79" s="416">
        <v>0</v>
      </c>
      <c r="E79" s="416">
        <v>4790.6000000000004</v>
      </c>
      <c r="F79" s="416">
        <v>7277.93</v>
      </c>
      <c r="G79" s="637" t="str">
        <f t="shared" si="14"/>
        <v>KA</v>
      </c>
      <c r="H79" s="416">
        <f t="shared" si="16"/>
        <v>0.40495801687763711</v>
      </c>
      <c r="I79" s="416">
        <f t="shared" si="17"/>
        <v>7.0180012073980573E-3</v>
      </c>
      <c r="J79" s="416">
        <f t="shared" si="18"/>
        <v>0</v>
      </c>
      <c r="K79" s="416">
        <f t="shared" si="19"/>
        <v>3.9101156431344715E-2</v>
      </c>
      <c r="L79" s="416">
        <f t="shared" si="20"/>
        <v>2.1245738829584786E-2</v>
      </c>
    </row>
    <row r="80" spans="1:12">
      <c r="A80" s="416" t="s">
        <v>12</v>
      </c>
      <c r="B80" s="416">
        <v>0</v>
      </c>
      <c r="C80" s="416">
        <v>1856.5</v>
      </c>
      <c r="D80" s="416">
        <v>533.58000000000004</v>
      </c>
      <c r="E80" s="416">
        <v>62.5</v>
      </c>
      <c r="F80" s="416">
        <v>142.22999999999999</v>
      </c>
      <c r="G80" s="637" t="str">
        <f t="shared" si="14"/>
        <v>KL</v>
      </c>
      <c r="H80" s="416">
        <f t="shared" si="16"/>
        <v>0</v>
      </c>
      <c r="I80" s="416">
        <f t="shared" si="17"/>
        <v>2.9086991650956101E-2</v>
      </c>
      <c r="J80" s="416">
        <f t="shared" si="18"/>
        <v>0.36635556055324409</v>
      </c>
      <c r="K80" s="416">
        <f t="shared" si="19"/>
        <v>3.4351999999999994E-2</v>
      </c>
      <c r="L80" s="416">
        <f t="shared" si="20"/>
        <v>0</v>
      </c>
    </row>
    <row r="81" spans="1:12">
      <c r="A81" s="416" t="s">
        <v>13</v>
      </c>
      <c r="B81" s="416">
        <v>13010</v>
      </c>
      <c r="C81" s="416">
        <v>1778.1999999999998</v>
      </c>
      <c r="D81" s="416">
        <v>1027.18</v>
      </c>
      <c r="E81" s="416">
        <v>9304.34</v>
      </c>
      <c r="F81" s="416">
        <v>3915.88</v>
      </c>
      <c r="G81" s="637" t="str">
        <f t="shared" si="14"/>
        <v>TN</v>
      </c>
      <c r="H81" s="416">
        <f t="shared" si="16"/>
        <v>0.27527548039969252</v>
      </c>
      <c r="I81" s="416">
        <f t="shared" si="17"/>
        <v>0</v>
      </c>
      <c r="J81" s="416">
        <f t="shared" si="18"/>
        <v>0.28960552191436745</v>
      </c>
      <c r="K81" s="416">
        <f t="shared" si="19"/>
        <v>2.755671009442905E-2</v>
      </c>
      <c r="L81" s="416">
        <f t="shared" si="20"/>
        <v>0.38053004688601283</v>
      </c>
    </row>
    <row r="82" spans="1:12">
      <c r="A82" s="416" t="s">
        <v>15</v>
      </c>
      <c r="B82" s="416">
        <v>6762.5</v>
      </c>
      <c r="C82" s="416">
        <v>800</v>
      </c>
      <c r="D82" s="416">
        <v>0</v>
      </c>
      <c r="E82" s="416">
        <v>128.1</v>
      </c>
      <c r="F82" s="416">
        <v>3620.75</v>
      </c>
      <c r="G82" s="637" t="str">
        <f t="shared" si="14"/>
        <v>TS</v>
      </c>
      <c r="H82" s="416">
        <f t="shared" si="16"/>
        <v>0.17423615526802216</v>
      </c>
      <c r="I82" s="416">
        <f t="shared" si="17"/>
        <v>0</v>
      </c>
      <c r="J82" s="416">
        <f t="shared" si="18"/>
        <v>0</v>
      </c>
      <c r="K82" s="416">
        <f t="shared" si="19"/>
        <v>0.44423887587822014</v>
      </c>
      <c r="L82" s="416">
        <f t="shared" si="20"/>
        <v>2.5105295864116551E-4</v>
      </c>
    </row>
    <row r="83" spans="1:12">
      <c r="A83" s="416" t="s">
        <v>93</v>
      </c>
      <c r="B83" s="416">
        <v>0</v>
      </c>
      <c r="C83" s="416">
        <v>0</v>
      </c>
      <c r="D83" s="416">
        <v>2208.4</v>
      </c>
      <c r="E83" s="416">
        <v>0</v>
      </c>
      <c r="F83" s="416">
        <v>165.16</v>
      </c>
      <c r="G83" s="637" t="str">
        <f t="shared" si="14"/>
        <v>DL</v>
      </c>
      <c r="H83" s="416">
        <f t="shared" si="16"/>
        <v>0</v>
      </c>
      <c r="I83" s="416">
        <f t="shared" si="17"/>
        <v>0</v>
      </c>
      <c r="J83" s="416">
        <f t="shared" si="18"/>
        <v>0</v>
      </c>
      <c r="K83" s="416">
        <f t="shared" si="19"/>
        <v>0</v>
      </c>
      <c r="L83" s="416">
        <f t="shared" si="20"/>
        <v>0</v>
      </c>
    </row>
    <row r="84" spans="1:12">
      <c r="A84" s="416" t="s">
        <v>5</v>
      </c>
      <c r="B84" s="416">
        <v>5330</v>
      </c>
      <c r="C84" s="416">
        <v>0</v>
      </c>
      <c r="D84" s="416">
        <v>431.59</v>
      </c>
      <c r="E84" s="416">
        <v>0</v>
      </c>
      <c r="F84" s="416">
        <v>252.14000000000001</v>
      </c>
      <c r="G84" s="637" t="str">
        <f t="shared" si="14"/>
        <v>HR</v>
      </c>
      <c r="H84" s="416">
        <f t="shared" si="16"/>
        <v>6.6737335834896813E-2</v>
      </c>
      <c r="I84" s="416">
        <f t="shared" si="17"/>
        <v>0</v>
      </c>
      <c r="J84" s="416">
        <f t="shared" si="18"/>
        <v>1.097377140341528</v>
      </c>
      <c r="K84" s="416">
        <f t="shared" si="19"/>
        <v>0</v>
      </c>
      <c r="L84" s="416">
        <f t="shared" si="20"/>
        <v>0</v>
      </c>
    </row>
    <row r="85" spans="1:12">
      <c r="A85" s="416" t="s">
        <v>88</v>
      </c>
      <c r="B85" s="416">
        <v>0</v>
      </c>
      <c r="C85" s="416">
        <v>9809.02</v>
      </c>
      <c r="D85" s="416">
        <v>0</v>
      </c>
      <c r="E85" s="416">
        <v>0</v>
      </c>
      <c r="F85" s="416">
        <v>32.93</v>
      </c>
      <c r="G85" s="637" t="str">
        <f t="shared" si="14"/>
        <v>HP</v>
      </c>
      <c r="H85" s="416">
        <f t="shared" si="16"/>
        <v>0</v>
      </c>
      <c r="I85" s="416">
        <f t="shared" si="17"/>
        <v>3.5681444221746919E-4</v>
      </c>
      <c r="J85" s="416">
        <f t="shared" si="18"/>
        <v>0</v>
      </c>
      <c r="K85" s="416">
        <f t="shared" si="19"/>
        <v>0</v>
      </c>
      <c r="L85" s="416">
        <f t="shared" si="20"/>
        <v>0</v>
      </c>
    </row>
    <row r="86" spans="1:12">
      <c r="A86" s="416" t="s">
        <v>89</v>
      </c>
      <c r="B86" s="416">
        <v>0</v>
      </c>
      <c r="C86" s="416">
        <v>3360</v>
      </c>
      <c r="D86" s="416">
        <v>175</v>
      </c>
      <c r="E86" s="416">
        <v>0</v>
      </c>
      <c r="F86" s="416">
        <v>19.3</v>
      </c>
      <c r="G86" s="637" t="str">
        <f t="shared" si="14"/>
        <v>JK</v>
      </c>
      <c r="H86" s="416">
        <f t="shared" si="16"/>
        <v>0</v>
      </c>
      <c r="I86" s="416">
        <f t="shared" si="17"/>
        <v>0</v>
      </c>
      <c r="J86" s="416">
        <f t="shared" si="18"/>
        <v>0</v>
      </c>
      <c r="K86" s="416">
        <f t="shared" si="19"/>
        <v>0</v>
      </c>
      <c r="L86" s="416">
        <f t="shared" si="20"/>
        <v>0</v>
      </c>
    </row>
    <row r="87" spans="1:12">
      <c r="A87" s="416" t="s">
        <v>1</v>
      </c>
      <c r="B87" s="416">
        <v>5680</v>
      </c>
      <c r="C87" s="416">
        <v>1096.3</v>
      </c>
      <c r="D87" s="416">
        <v>0</v>
      </c>
      <c r="E87" s="416">
        <v>0</v>
      </c>
      <c r="F87" s="416">
        <v>947.1</v>
      </c>
      <c r="G87" s="637" t="str">
        <f t="shared" si="14"/>
        <v>PB</v>
      </c>
      <c r="H87" s="416">
        <f t="shared" si="16"/>
        <v>0.10175528169014085</v>
      </c>
      <c r="I87" s="416">
        <f t="shared" si="17"/>
        <v>0</v>
      </c>
      <c r="J87" s="416">
        <f t="shared" si="18"/>
        <v>0</v>
      </c>
      <c r="K87" s="416">
        <f t="shared" si="19"/>
        <v>0</v>
      </c>
      <c r="L87" s="416">
        <f t="shared" si="20"/>
        <v>0</v>
      </c>
    </row>
    <row r="88" spans="1:12">
      <c r="A88" s="416" t="s">
        <v>6</v>
      </c>
      <c r="B88" s="416">
        <v>9820</v>
      </c>
      <c r="C88" s="416">
        <v>411</v>
      </c>
      <c r="D88" s="416">
        <v>1023.13</v>
      </c>
      <c r="E88" s="416">
        <v>4299.72</v>
      </c>
      <c r="F88" s="416">
        <v>5137.91</v>
      </c>
      <c r="G88" s="637" t="str">
        <f t="shared" si="14"/>
        <v>RJ</v>
      </c>
      <c r="H88" s="416">
        <f t="shared" si="16"/>
        <v>0.20640580448065174</v>
      </c>
      <c r="I88" s="416">
        <f t="shared" si="17"/>
        <v>0</v>
      </c>
      <c r="J88" s="416">
        <f t="shared" si="18"/>
        <v>9.9008923597196846E-2</v>
      </c>
      <c r="K88" s="416">
        <f t="shared" si="19"/>
        <v>5.5669904086777744E-2</v>
      </c>
      <c r="L88" s="416">
        <f t="shared" si="20"/>
        <v>2.0645554320725745E-2</v>
      </c>
    </row>
    <row r="89" spans="1:12">
      <c r="A89" s="416" t="s">
        <v>0</v>
      </c>
      <c r="B89" s="416">
        <v>22409</v>
      </c>
      <c r="C89" s="416">
        <v>501.6</v>
      </c>
      <c r="D89" s="416">
        <v>1493.14</v>
      </c>
      <c r="E89" s="416">
        <v>0</v>
      </c>
      <c r="F89" s="416">
        <v>1095.0999999999999</v>
      </c>
      <c r="G89" s="637" t="str">
        <f t="shared" si="14"/>
        <v>UP</v>
      </c>
      <c r="H89" s="416">
        <f t="shared" si="16"/>
        <v>0.10647208710785845</v>
      </c>
      <c r="I89" s="416">
        <f t="shared" si="17"/>
        <v>0</v>
      </c>
      <c r="J89" s="416">
        <f t="shared" si="18"/>
        <v>0.21278982546847583</v>
      </c>
      <c r="K89" s="416">
        <f t="shared" si="19"/>
        <v>0</v>
      </c>
      <c r="L89" s="416">
        <f t="shared" si="20"/>
        <v>0</v>
      </c>
    </row>
    <row r="90" spans="1:12">
      <c r="A90" s="416" t="s">
        <v>4</v>
      </c>
      <c r="B90" s="416">
        <v>0</v>
      </c>
      <c r="C90" s="416">
        <v>3756.35</v>
      </c>
      <c r="D90" s="416">
        <v>450</v>
      </c>
      <c r="E90" s="416">
        <v>0</v>
      </c>
      <c r="F90" s="416">
        <v>315.89999999999998</v>
      </c>
      <c r="G90" s="637" t="str">
        <f t="shared" si="14"/>
        <v>UK</v>
      </c>
      <c r="H90" s="416">
        <f t="shared" si="16"/>
        <v>0</v>
      </c>
      <c r="I90" s="416">
        <f t="shared" si="17"/>
        <v>0</v>
      </c>
      <c r="J90" s="416">
        <f t="shared" si="18"/>
        <v>2.197777777777778E-2</v>
      </c>
      <c r="K90" s="416">
        <f t="shared" si="19"/>
        <v>0</v>
      </c>
      <c r="L90" s="416">
        <f t="shared" si="20"/>
        <v>0</v>
      </c>
    </row>
  </sheetData>
  <mergeCells count="2">
    <mergeCell ref="O5:O6"/>
    <mergeCell ref="O11:O1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9"/>
  <sheetViews>
    <sheetView zoomScale="70" zoomScaleNormal="70" workbookViewId="0">
      <selection activeCell="I15" sqref="I15"/>
    </sheetView>
  </sheetViews>
  <sheetFormatPr defaultRowHeight="12.75"/>
  <cols>
    <col min="1" max="1" width="4" style="529" customWidth="1"/>
    <col min="2" max="2" width="1" style="529" customWidth="1"/>
    <col min="3" max="3" width="17.85546875" style="529" customWidth="1"/>
    <col min="4" max="4" width="6.85546875" style="529" bestFit="1" customWidth="1"/>
    <col min="5" max="5" width="9.28515625" style="530" bestFit="1" customWidth="1"/>
    <col min="6" max="6" width="8.85546875" style="604" customWidth="1"/>
    <col min="7" max="7" width="9.85546875" style="529" customWidth="1"/>
    <col min="8" max="8" width="8" style="529" customWidth="1"/>
    <col min="9" max="10" width="13" style="529" customWidth="1"/>
    <col min="11" max="11" width="17.85546875" style="529" customWidth="1"/>
    <col min="12" max="12" width="45" style="529" customWidth="1"/>
    <col min="13" max="13" width="16.7109375" style="532" customWidth="1"/>
    <col min="14" max="14" width="9.42578125" style="533" customWidth="1"/>
    <col min="15" max="17" width="9.140625" style="529"/>
    <col min="18" max="18" width="9.5703125" style="529" bestFit="1" customWidth="1"/>
    <col min="19" max="16384" width="9.140625" style="529"/>
  </cols>
  <sheetData>
    <row r="1" spans="1:20" ht="15">
      <c r="A1" s="608" t="s">
        <v>1915</v>
      </c>
      <c r="F1" s="531"/>
    </row>
    <row r="2" spans="1:20" ht="15" customHeight="1">
      <c r="A2" s="781" t="s">
        <v>1490</v>
      </c>
      <c r="B2" s="781"/>
      <c r="C2" s="781"/>
      <c r="D2" s="781"/>
      <c r="E2" s="781"/>
      <c r="F2" s="781"/>
      <c r="G2" s="781"/>
      <c r="H2" s="781"/>
      <c r="I2" s="781"/>
      <c r="J2" s="781"/>
    </row>
    <row r="3" spans="1:20" ht="30.95" customHeight="1">
      <c r="A3" s="782" t="s">
        <v>1491</v>
      </c>
      <c r="B3" s="782"/>
      <c r="C3" s="782"/>
      <c r="D3" s="782"/>
      <c r="E3" s="782"/>
      <c r="F3" s="782"/>
      <c r="G3" s="782"/>
      <c r="H3" s="782"/>
      <c r="I3" s="782"/>
      <c r="J3" s="782"/>
    </row>
    <row r="4" spans="1:20" ht="15" customHeight="1">
      <c r="A4" s="783" t="s">
        <v>1492</v>
      </c>
      <c r="B4" s="783"/>
      <c r="C4" s="783"/>
      <c r="D4" s="783"/>
      <c r="E4" s="783"/>
      <c r="F4" s="783"/>
      <c r="G4" s="783"/>
      <c r="H4" s="783"/>
      <c r="I4" s="783"/>
      <c r="J4" s="783"/>
    </row>
    <row r="5" spans="1:20" ht="72" customHeight="1">
      <c r="A5" s="784" t="s">
        <v>669</v>
      </c>
      <c r="B5" s="785"/>
      <c r="C5" s="534" t="s">
        <v>1493</v>
      </c>
      <c r="D5" s="534" t="s">
        <v>1494</v>
      </c>
      <c r="E5" s="535" t="s">
        <v>986</v>
      </c>
      <c r="F5" s="536" t="s">
        <v>1495</v>
      </c>
      <c r="G5" s="534" t="s">
        <v>1496</v>
      </c>
      <c r="H5" s="534" t="s">
        <v>1497</v>
      </c>
      <c r="I5" s="534" t="s">
        <v>1498</v>
      </c>
      <c r="J5" s="537" t="s">
        <v>1499</v>
      </c>
      <c r="K5" s="536" t="s">
        <v>1500</v>
      </c>
      <c r="L5" s="537" t="s">
        <v>1501</v>
      </c>
      <c r="M5" s="538" t="s">
        <v>1502</v>
      </c>
      <c r="N5" s="539" t="s">
        <v>680</v>
      </c>
      <c r="Q5" s="540" t="s">
        <v>14</v>
      </c>
      <c r="R5" s="530">
        <f t="shared" ref="R5:R29" si="0">SUMIF($N$7:$N$224,Q5,$O$7:$O$224)</f>
        <v>960</v>
      </c>
      <c r="S5" s="530"/>
      <c r="T5" s="530"/>
    </row>
    <row r="6" spans="1:20" ht="17.100000000000001" customHeight="1">
      <c r="A6" s="786">
        <v>1</v>
      </c>
      <c r="B6" s="787"/>
      <c r="C6" s="541">
        <v>2</v>
      </c>
      <c r="D6" s="541">
        <v>4</v>
      </c>
      <c r="E6" s="542"/>
      <c r="F6" s="543">
        <v>6</v>
      </c>
      <c r="G6" s="541">
        <v>7</v>
      </c>
      <c r="H6" s="541">
        <v>8</v>
      </c>
      <c r="I6" s="541">
        <v>9</v>
      </c>
      <c r="J6" s="544">
        <v>10</v>
      </c>
      <c r="K6" s="543">
        <v>11</v>
      </c>
      <c r="L6" s="541">
        <v>12</v>
      </c>
      <c r="Q6" s="545" t="s">
        <v>90</v>
      </c>
      <c r="R6" s="530">
        <f t="shared" si="0"/>
        <v>3150</v>
      </c>
      <c r="S6" s="530"/>
      <c r="T6" s="530"/>
    </row>
    <row r="7" spans="1:20" ht="17.100000000000001" customHeight="1">
      <c r="A7" s="788"/>
      <c r="B7" s="789"/>
      <c r="C7" s="546" t="s">
        <v>49</v>
      </c>
      <c r="D7" s="547"/>
      <c r="E7" s="548"/>
      <c r="F7" s="549"/>
      <c r="G7" s="550"/>
      <c r="H7" s="550"/>
      <c r="I7" s="550"/>
      <c r="J7" s="551"/>
      <c r="K7" s="549"/>
      <c r="L7" s="550"/>
      <c r="M7" s="532">
        <v>1</v>
      </c>
      <c r="N7" s="533" t="s">
        <v>14</v>
      </c>
      <c r="O7" s="529">
        <f>M7*E7</f>
        <v>0</v>
      </c>
      <c r="Q7" s="540" t="s">
        <v>29</v>
      </c>
      <c r="R7" s="530">
        <f t="shared" si="0"/>
        <v>0</v>
      </c>
      <c r="S7" s="530"/>
      <c r="T7" s="530"/>
    </row>
    <row r="8" spans="1:20" ht="12.75" customHeight="1">
      <c r="A8" s="807" t="s">
        <v>1503</v>
      </c>
      <c r="B8" s="808"/>
      <c r="C8" s="552" t="s">
        <v>1504</v>
      </c>
      <c r="D8" s="553">
        <v>1</v>
      </c>
      <c r="E8" s="554">
        <v>80</v>
      </c>
      <c r="F8" s="555" t="s">
        <v>1362</v>
      </c>
      <c r="G8" s="552" t="s">
        <v>1505</v>
      </c>
      <c r="H8" s="556"/>
      <c r="I8" s="557">
        <v>3013.68</v>
      </c>
      <c r="J8" s="558">
        <v>5338.95</v>
      </c>
      <c r="K8" s="559">
        <v>2325.27</v>
      </c>
      <c r="L8" s="804" t="s">
        <v>1506</v>
      </c>
      <c r="M8" s="532">
        <v>1</v>
      </c>
      <c r="N8" s="533" t="s">
        <v>14</v>
      </c>
      <c r="O8" s="529">
        <f t="shared" ref="O8:O71" si="1">M8*E8</f>
        <v>80</v>
      </c>
      <c r="Q8" s="545" t="s">
        <v>19</v>
      </c>
      <c r="R8" s="530">
        <f t="shared" si="0"/>
        <v>0</v>
      </c>
      <c r="S8" s="530"/>
      <c r="T8" s="530"/>
    </row>
    <row r="9" spans="1:20" ht="12.95" customHeight="1">
      <c r="A9" s="809"/>
      <c r="B9" s="810"/>
      <c r="C9" s="560" t="s">
        <v>1507</v>
      </c>
      <c r="D9" s="553">
        <v>2</v>
      </c>
      <c r="E9" s="554">
        <v>80</v>
      </c>
      <c r="F9" s="555" t="s">
        <v>1362</v>
      </c>
      <c r="G9" s="552" t="s">
        <v>1505</v>
      </c>
      <c r="H9" s="556"/>
      <c r="I9" s="552" t="s">
        <v>1508</v>
      </c>
      <c r="J9" s="561" t="s">
        <v>1509</v>
      </c>
      <c r="K9" s="562">
        <v>-77.150000000000006</v>
      </c>
      <c r="L9" s="805"/>
      <c r="M9" s="532">
        <v>1</v>
      </c>
      <c r="N9" s="533" t="s">
        <v>14</v>
      </c>
      <c r="O9" s="529">
        <f t="shared" si="1"/>
        <v>80</v>
      </c>
      <c r="Q9" s="540" t="s">
        <v>18</v>
      </c>
      <c r="R9" s="530">
        <f t="shared" si="0"/>
        <v>0</v>
      </c>
      <c r="S9" s="530"/>
      <c r="T9" s="530"/>
    </row>
    <row r="10" spans="1:20" ht="12.95" customHeight="1">
      <c r="A10" s="809"/>
      <c r="B10" s="810"/>
      <c r="C10" s="563" t="s">
        <v>1510</v>
      </c>
      <c r="D10" s="553">
        <v>3</v>
      </c>
      <c r="E10" s="554">
        <v>80</v>
      </c>
      <c r="F10" s="555" t="s">
        <v>1362</v>
      </c>
      <c r="G10" s="552" t="s">
        <v>1505</v>
      </c>
      <c r="H10" s="556">
        <v>86</v>
      </c>
      <c r="I10" s="552" t="s">
        <v>1511</v>
      </c>
      <c r="J10" s="561" t="s">
        <v>1512</v>
      </c>
      <c r="K10" s="564"/>
      <c r="L10" s="805"/>
      <c r="M10" s="532">
        <v>1</v>
      </c>
      <c r="N10" s="533" t="s">
        <v>14</v>
      </c>
      <c r="O10" s="529">
        <f t="shared" si="1"/>
        <v>80</v>
      </c>
      <c r="Q10" s="545" t="s">
        <v>91</v>
      </c>
      <c r="R10" s="530">
        <f t="shared" si="0"/>
        <v>0</v>
      </c>
      <c r="S10" s="530"/>
      <c r="T10" s="530"/>
    </row>
    <row r="11" spans="1:20" ht="12.95" customHeight="1">
      <c r="A11" s="809"/>
      <c r="B11" s="810"/>
      <c r="C11" s="552" t="s">
        <v>1513</v>
      </c>
      <c r="D11" s="553">
        <v>4</v>
      </c>
      <c r="E11" s="554">
        <v>80</v>
      </c>
      <c r="F11" s="555" t="s">
        <v>1362</v>
      </c>
      <c r="G11" s="552" t="s">
        <v>1505</v>
      </c>
      <c r="H11" s="556"/>
      <c r="I11" s="552" t="s">
        <v>1514</v>
      </c>
      <c r="J11" s="565"/>
      <c r="K11" s="564"/>
      <c r="L11" s="805"/>
      <c r="M11" s="532">
        <v>1</v>
      </c>
      <c r="N11" s="533" t="s">
        <v>14</v>
      </c>
      <c r="O11" s="529">
        <f t="shared" si="1"/>
        <v>80</v>
      </c>
      <c r="Q11" s="540" t="s">
        <v>8</v>
      </c>
      <c r="R11" s="530">
        <f t="shared" si="0"/>
        <v>0</v>
      </c>
      <c r="S11" s="530"/>
      <c r="T11" s="530"/>
    </row>
    <row r="12" spans="1:20" ht="12.95" customHeight="1">
      <c r="A12" s="809"/>
      <c r="B12" s="810"/>
      <c r="C12" s="552" t="s">
        <v>1515</v>
      </c>
      <c r="D12" s="553">
        <v>5</v>
      </c>
      <c r="E12" s="554">
        <v>80</v>
      </c>
      <c r="F12" s="555" t="s">
        <v>1362</v>
      </c>
      <c r="G12" s="552" t="s">
        <v>1505</v>
      </c>
      <c r="H12" s="556"/>
      <c r="I12" s="556"/>
      <c r="J12" s="565"/>
      <c r="K12" s="564"/>
      <c r="L12" s="805"/>
      <c r="M12" s="532">
        <v>1</v>
      </c>
      <c r="N12" s="533" t="s">
        <v>14</v>
      </c>
      <c r="O12" s="529">
        <f t="shared" si="1"/>
        <v>80</v>
      </c>
      <c r="Q12" s="545" t="s">
        <v>5</v>
      </c>
      <c r="R12" s="530">
        <f t="shared" si="0"/>
        <v>0</v>
      </c>
      <c r="S12" s="530"/>
      <c r="T12" s="530"/>
    </row>
    <row r="13" spans="1:20" ht="12.95" customHeight="1">
      <c r="A13" s="809"/>
      <c r="B13" s="810"/>
      <c r="C13" s="556"/>
      <c r="D13" s="553">
        <v>6</v>
      </c>
      <c r="E13" s="554">
        <v>80</v>
      </c>
      <c r="F13" s="555" t="s">
        <v>1362</v>
      </c>
      <c r="G13" s="552" t="s">
        <v>1505</v>
      </c>
      <c r="H13" s="556"/>
      <c r="I13" s="556"/>
      <c r="J13" s="565"/>
      <c r="K13" s="564"/>
      <c r="L13" s="805"/>
      <c r="M13" s="532">
        <v>1</v>
      </c>
      <c r="N13" s="533" t="s">
        <v>14</v>
      </c>
      <c r="O13" s="529">
        <f t="shared" si="1"/>
        <v>80</v>
      </c>
      <c r="Q13" s="540" t="s">
        <v>88</v>
      </c>
      <c r="R13" s="530">
        <f t="shared" si="0"/>
        <v>2013.9900000000002</v>
      </c>
      <c r="S13" s="530"/>
      <c r="T13" s="530"/>
    </row>
    <row r="14" spans="1:20" ht="12.95" customHeight="1">
      <c r="A14" s="809"/>
      <c r="B14" s="810"/>
      <c r="C14" s="556"/>
      <c r="D14" s="553">
        <v>7</v>
      </c>
      <c r="E14" s="554">
        <v>80</v>
      </c>
      <c r="F14" s="555" t="s">
        <v>687</v>
      </c>
      <c r="G14" s="552" t="s">
        <v>1505</v>
      </c>
      <c r="H14" s="556"/>
      <c r="I14" s="556"/>
      <c r="J14" s="565"/>
      <c r="K14" s="564"/>
      <c r="L14" s="805"/>
      <c r="M14" s="532">
        <v>1</v>
      </c>
      <c r="N14" s="533" t="s">
        <v>14</v>
      </c>
      <c r="O14" s="529">
        <f t="shared" si="1"/>
        <v>80</v>
      </c>
      <c r="Q14" s="545" t="s">
        <v>89</v>
      </c>
      <c r="R14" s="530">
        <f t="shared" si="0"/>
        <v>2559.5</v>
      </c>
      <c r="S14" s="530"/>
      <c r="T14" s="530"/>
    </row>
    <row r="15" spans="1:20" ht="20.100000000000001" customHeight="1">
      <c r="A15" s="809"/>
      <c r="B15" s="810"/>
      <c r="C15" s="556"/>
      <c r="D15" s="553">
        <v>8</v>
      </c>
      <c r="E15" s="554">
        <v>80</v>
      </c>
      <c r="F15" s="555" t="s">
        <v>687</v>
      </c>
      <c r="G15" s="552" t="s">
        <v>1505</v>
      </c>
      <c r="H15" s="556"/>
      <c r="I15" s="556"/>
      <c r="J15" s="565"/>
      <c r="K15" s="564"/>
      <c r="L15" s="805"/>
      <c r="M15" s="532">
        <v>1</v>
      </c>
      <c r="N15" s="533" t="s">
        <v>14</v>
      </c>
      <c r="O15" s="529">
        <f t="shared" si="1"/>
        <v>80</v>
      </c>
      <c r="Q15" s="540" t="s">
        <v>20</v>
      </c>
      <c r="R15" s="530">
        <f t="shared" si="0"/>
        <v>0</v>
      </c>
      <c r="S15" s="530"/>
      <c r="T15" s="530"/>
    </row>
    <row r="16" spans="1:20" ht="20.100000000000001" customHeight="1">
      <c r="A16" s="809"/>
      <c r="B16" s="810"/>
      <c r="C16" s="556"/>
      <c r="D16" s="553">
        <v>9</v>
      </c>
      <c r="E16" s="554">
        <v>80</v>
      </c>
      <c r="F16" s="555" t="s">
        <v>687</v>
      </c>
      <c r="G16" s="552" t="s">
        <v>1505</v>
      </c>
      <c r="H16" s="556">
        <v>92</v>
      </c>
      <c r="I16" s="556"/>
      <c r="J16" s="565"/>
      <c r="K16" s="564"/>
      <c r="L16" s="805"/>
      <c r="M16" s="532">
        <v>1</v>
      </c>
      <c r="N16" s="533" t="s">
        <v>14</v>
      </c>
      <c r="O16" s="529">
        <f t="shared" si="1"/>
        <v>80</v>
      </c>
      <c r="Q16" s="545" t="s">
        <v>11</v>
      </c>
      <c r="R16" s="530">
        <f t="shared" si="0"/>
        <v>0</v>
      </c>
      <c r="S16" s="530"/>
      <c r="T16" s="530"/>
    </row>
    <row r="17" spans="1:20" ht="12.95" customHeight="1">
      <c r="A17" s="809"/>
      <c r="B17" s="810"/>
      <c r="C17" s="556"/>
      <c r="D17" s="553">
        <v>10</v>
      </c>
      <c r="E17" s="554">
        <v>80</v>
      </c>
      <c r="F17" s="555" t="s">
        <v>687</v>
      </c>
      <c r="G17" s="552" t="s">
        <v>1505</v>
      </c>
      <c r="H17" s="556"/>
      <c r="I17" s="556"/>
      <c r="J17" s="565"/>
      <c r="K17" s="564"/>
      <c r="L17" s="805"/>
      <c r="M17" s="532">
        <v>1</v>
      </c>
      <c r="N17" s="533" t="s">
        <v>14</v>
      </c>
      <c r="O17" s="529">
        <f t="shared" si="1"/>
        <v>80</v>
      </c>
      <c r="Q17" s="540" t="s">
        <v>12</v>
      </c>
      <c r="R17" s="530">
        <f t="shared" si="0"/>
        <v>100</v>
      </c>
      <c r="S17" s="530"/>
      <c r="T17" s="530"/>
    </row>
    <row r="18" spans="1:20" ht="12.95" customHeight="1">
      <c r="A18" s="809"/>
      <c r="B18" s="810"/>
      <c r="C18" s="556"/>
      <c r="D18" s="553">
        <v>11</v>
      </c>
      <c r="E18" s="554">
        <v>80</v>
      </c>
      <c r="F18" s="555" t="s">
        <v>687</v>
      </c>
      <c r="G18" s="552" t="s">
        <v>1505</v>
      </c>
      <c r="H18" s="556"/>
      <c r="I18" s="556"/>
      <c r="J18" s="565"/>
      <c r="K18" s="564"/>
      <c r="L18" s="805"/>
      <c r="M18" s="532">
        <v>1</v>
      </c>
      <c r="N18" s="533" t="s">
        <v>14</v>
      </c>
      <c r="O18" s="529">
        <f t="shared" si="1"/>
        <v>80</v>
      </c>
      <c r="Q18" s="545" t="s">
        <v>9</v>
      </c>
      <c r="R18" s="530">
        <f t="shared" si="0"/>
        <v>400</v>
      </c>
      <c r="S18" s="530"/>
      <c r="T18" s="530"/>
    </row>
    <row r="19" spans="1:20" ht="12.95" customHeight="1">
      <c r="A19" s="809"/>
      <c r="B19" s="810"/>
      <c r="C19" s="556"/>
      <c r="D19" s="553">
        <v>12</v>
      </c>
      <c r="E19" s="554">
        <v>80</v>
      </c>
      <c r="F19" s="555" t="s">
        <v>687</v>
      </c>
      <c r="G19" s="552" t="s">
        <v>1505</v>
      </c>
      <c r="H19" s="556"/>
      <c r="I19" s="556"/>
      <c r="J19" s="565"/>
      <c r="K19" s="564"/>
      <c r="L19" s="805"/>
      <c r="M19" s="532">
        <v>1</v>
      </c>
      <c r="N19" s="533" t="s">
        <v>14</v>
      </c>
      <c r="O19" s="529">
        <f t="shared" si="1"/>
        <v>80</v>
      </c>
      <c r="Q19" s="540" t="s">
        <v>10</v>
      </c>
      <c r="R19" s="530">
        <f t="shared" si="0"/>
        <v>0</v>
      </c>
      <c r="S19" s="530"/>
      <c r="T19" s="530"/>
    </row>
    <row r="20" spans="1:20" ht="12.95" customHeight="1">
      <c r="A20" s="809"/>
      <c r="B20" s="810"/>
      <c r="C20" s="556"/>
      <c r="D20" s="553"/>
      <c r="E20" s="554"/>
      <c r="F20" s="555" t="s">
        <v>1516</v>
      </c>
      <c r="G20" s="552" t="s">
        <v>1517</v>
      </c>
      <c r="H20" s="556"/>
      <c r="I20" s="556"/>
      <c r="J20" s="565"/>
      <c r="K20" s="564"/>
      <c r="L20" s="805"/>
      <c r="M20" s="532">
        <v>1</v>
      </c>
      <c r="N20" s="533" t="s">
        <v>14</v>
      </c>
      <c r="O20" s="529">
        <f t="shared" si="1"/>
        <v>0</v>
      </c>
      <c r="Q20" s="545" t="s">
        <v>16</v>
      </c>
      <c r="R20" s="530">
        <f t="shared" si="0"/>
        <v>0</v>
      </c>
      <c r="S20" s="530"/>
      <c r="T20" s="530"/>
    </row>
    <row r="21" spans="1:20" ht="12.95" customHeight="1">
      <c r="A21" s="809"/>
      <c r="B21" s="810"/>
      <c r="C21" s="556"/>
      <c r="D21" s="553"/>
      <c r="E21" s="554"/>
      <c r="F21" s="564"/>
      <c r="G21" s="552" t="s">
        <v>1518</v>
      </c>
      <c r="H21" s="556"/>
      <c r="I21" s="556"/>
      <c r="J21" s="565"/>
      <c r="K21" s="564"/>
      <c r="L21" s="805"/>
      <c r="M21" s="532">
        <v>1</v>
      </c>
      <c r="N21" s="533" t="s">
        <v>14</v>
      </c>
      <c r="O21" s="529">
        <f t="shared" si="1"/>
        <v>0</v>
      </c>
      <c r="Q21" s="540" t="s">
        <v>1</v>
      </c>
      <c r="R21" s="530">
        <f t="shared" si="0"/>
        <v>206</v>
      </c>
      <c r="S21" s="530"/>
      <c r="T21" s="530"/>
    </row>
    <row r="22" spans="1:20" ht="12.95" customHeight="1">
      <c r="A22" s="809"/>
      <c r="B22" s="810"/>
      <c r="C22" s="556"/>
      <c r="D22" s="553"/>
      <c r="E22" s="554"/>
      <c r="F22" s="564"/>
      <c r="G22" s="546" t="s">
        <v>1519</v>
      </c>
      <c r="H22" s="556"/>
      <c r="I22" s="556"/>
      <c r="J22" s="565"/>
      <c r="K22" s="564"/>
      <c r="L22" s="805"/>
      <c r="M22" s="532">
        <v>1</v>
      </c>
      <c r="N22" s="533" t="s">
        <v>14</v>
      </c>
      <c r="O22" s="529">
        <f t="shared" si="1"/>
        <v>0</v>
      </c>
      <c r="Q22" s="545" t="s">
        <v>6</v>
      </c>
      <c r="R22" s="530">
        <f t="shared" si="0"/>
        <v>0</v>
      </c>
      <c r="S22" s="530"/>
      <c r="T22" s="530"/>
    </row>
    <row r="23" spans="1:20" ht="15" customHeight="1">
      <c r="A23" s="811"/>
      <c r="B23" s="812"/>
      <c r="C23" s="556"/>
      <c r="D23" s="553"/>
      <c r="E23" s="554"/>
      <c r="F23" s="564"/>
      <c r="G23" s="552" t="s">
        <v>1520</v>
      </c>
      <c r="H23" s="556"/>
      <c r="I23" s="556"/>
      <c r="J23" s="565"/>
      <c r="K23" s="564"/>
      <c r="L23" s="806"/>
      <c r="M23" s="532">
        <v>1</v>
      </c>
      <c r="N23" s="533" t="s">
        <v>14</v>
      </c>
      <c r="O23" s="529">
        <f t="shared" si="1"/>
        <v>0</v>
      </c>
      <c r="Q23" s="540" t="s">
        <v>13</v>
      </c>
      <c r="R23" s="530">
        <f t="shared" si="0"/>
        <v>0</v>
      </c>
      <c r="S23" s="530"/>
      <c r="T23" s="530"/>
    </row>
    <row r="24" spans="1:20" ht="30" customHeight="1">
      <c r="A24" s="790"/>
      <c r="B24" s="791"/>
      <c r="C24" s="546" t="s">
        <v>50</v>
      </c>
      <c r="D24" s="553"/>
      <c r="E24" s="554"/>
      <c r="F24" s="564"/>
      <c r="G24" s="556"/>
      <c r="H24" s="556"/>
      <c r="I24" s="556"/>
      <c r="J24" s="565"/>
      <c r="K24" s="564"/>
      <c r="L24" s="556"/>
      <c r="M24" s="532">
        <v>1</v>
      </c>
      <c r="N24" s="533" t="s">
        <v>14</v>
      </c>
      <c r="O24" s="529">
        <f t="shared" si="1"/>
        <v>0</v>
      </c>
      <c r="Q24" s="545" t="s">
        <v>15</v>
      </c>
      <c r="R24" s="530">
        <f t="shared" si="0"/>
        <v>0</v>
      </c>
      <c r="S24" s="530"/>
      <c r="T24" s="530"/>
    </row>
    <row r="25" spans="1:20" ht="12.75" customHeight="1">
      <c r="A25" s="792">
        <v>2</v>
      </c>
      <c r="B25" s="793"/>
      <c r="C25" s="552" t="s">
        <v>1521</v>
      </c>
      <c r="D25" s="556">
        <v>1</v>
      </c>
      <c r="E25" s="566">
        <v>250</v>
      </c>
      <c r="F25" s="555" t="s">
        <v>1522</v>
      </c>
      <c r="G25" s="552" t="s">
        <v>834</v>
      </c>
      <c r="H25" s="813">
        <v>156</v>
      </c>
      <c r="I25" s="557">
        <v>6285.33</v>
      </c>
      <c r="J25" s="558">
        <v>19992.43</v>
      </c>
      <c r="K25" s="559">
        <v>13707.1</v>
      </c>
      <c r="L25" s="804" t="s">
        <v>1523</v>
      </c>
      <c r="M25" s="532">
        <v>1</v>
      </c>
      <c r="N25" s="533" t="s">
        <v>90</v>
      </c>
      <c r="O25" s="529">
        <f t="shared" si="1"/>
        <v>250</v>
      </c>
      <c r="Q25" s="540" t="s">
        <v>0</v>
      </c>
      <c r="R25" s="530">
        <f t="shared" si="0"/>
        <v>0</v>
      </c>
      <c r="S25" s="530"/>
      <c r="T25" s="530"/>
    </row>
    <row r="26" spans="1:20" ht="12.95" customHeight="1">
      <c r="A26" s="794"/>
      <c r="B26" s="795"/>
      <c r="C26" s="560" t="s">
        <v>1524</v>
      </c>
      <c r="D26" s="556">
        <v>2</v>
      </c>
      <c r="E26" s="566">
        <v>250</v>
      </c>
      <c r="F26" s="555" t="s">
        <v>1522</v>
      </c>
      <c r="G26" s="552" t="s">
        <v>834</v>
      </c>
      <c r="H26" s="814"/>
      <c r="I26" s="552" t="s">
        <v>1525</v>
      </c>
      <c r="J26" s="561" t="s">
        <v>1526</v>
      </c>
      <c r="K26" s="562">
        <v>-218.08</v>
      </c>
      <c r="L26" s="805"/>
      <c r="M26" s="532">
        <v>1</v>
      </c>
      <c r="N26" s="533" t="s">
        <v>90</v>
      </c>
      <c r="O26" s="529">
        <f t="shared" si="1"/>
        <v>250</v>
      </c>
      <c r="Q26" s="545" t="s">
        <v>4</v>
      </c>
      <c r="R26" s="530">
        <f t="shared" si="0"/>
        <v>1391</v>
      </c>
      <c r="S26" s="530"/>
      <c r="T26" s="530"/>
    </row>
    <row r="27" spans="1:20" ht="12.95" customHeight="1">
      <c r="A27" s="794"/>
      <c r="B27" s="795"/>
      <c r="C27" s="563" t="s">
        <v>1527</v>
      </c>
      <c r="D27" s="556">
        <v>3</v>
      </c>
      <c r="E27" s="566">
        <v>250</v>
      </c>
      <c r="F27" s="555" t="s">
        <v>1522</v>
      </c>
      <c r="G27" s="552" t="s">
        <v>834</v>
      </c>
      <c r="H27" s="814"/>
      <c r="I27" s="556"/>
      <c r="J27" s="565"/>
      <c r="K27" s="564"/>
      <c r="L27" s="805"/>
      <c r="M27" s="532">
        <v>1</v>
      </c>
      <c r="N27" s="533" t="s">
        <v>90</v>
      </c>
      <c r="O27" s="529">
        <f t="shared" si="1"/>
        <v>250</v>
      </c>
      <c r="Q27" s="540" t="s">
        <v>17</v>
      </c>
      <c r="R27" s="530">
        <f t="shared" si="0"/>
        <v>120</v>
      </c>
      <c r="S27" s="530"/>
      <c r="T27" s="530"/>
    </row>
    <row r="28" spans="1:20" ht="12.95" customHeight="1">
      <c r="A28" s="794"/>
      <c r="B28" s="795"/>
      <c r="C28" s="556"/>
      <c r="D28" s="556">
        <v>4</v>
      </c>
      <c r="E28" s="566">
        <v>250</v>
      </c>
      <c r="F28" s="555" t="s">
        <v>1522</v>
      </c>
      <c r="G28" s="552" t="s">
        <v>834</v>
      </c>
      <c r="H28" s="814"/>
      <c r="I28" s="556"/>
      <c r="J28" s="565"/>
      <c r="K28" s="564"/>
      <c r="L28" s="805"/>
      <c r="M28" s="532">
        <v>1</v>
      </c>
      <c r="N28" s="533" t="s">
        <v>90</v>
      </c>
      <c r="O28" s="529">
        <f t="shared" si="1"/>
        <v>250</v>
      </c>
      <c r="Q28" s="545" t="s">
        <v>92</v>
      </c>
      <c r="R28" s="530">
        <f t="shared" si="0"/>
        <v>0</v>
      </c>
      <c r="S28" s="530"/>
      <c r="T28" s="530"/>
    </row>
    <row r="29" spans="1:20" ht="12.95" customHeight="1">
      <c r="A29" s="794"/>
      <c r="B29" s="795"/>
      <c r="C29" s="556"/>
      <c r="D29" s="556">
        <v>5</v>
      </c>
      <c r="E29" s="566">
        <v>250</v>
      </c>
      <c r="F29" s="555" t="s">
        <v>1522</v>
      </c>
      <c r="G29" s="552" t="s">
        <v>834</v>
      </c>
      <c r="H29" s="814"/>
      <c r="I29" s="556"/>
      <c r="J29" s="565"/>
      <c r="K29" s="564"/>
      <c r="L29" s="805"/>
      <c r="M29" s="532">
        <v>1</v>
      </c>
      <c r="N29" s="533" t="s">
        <v>90</v>
      </c>
      <c r="O29" s="529">
        <f t="shared" si="1"/>
        <v>250</v>
      </c>
      <c r="Q29" s="540" t="s">
        <v>93</v>
      </c>
      <c r="R29" s="530">
        <f t="shared" si="0"/>
        <v>0</v>
      </c>
      <c r="S29" s="530"/>
      <c r="T29" s="530"/>
    </row>
    <row r="30" spans="1:20" ht="12.95" customHeight="1">
      <c r="A30" s="794"/>
      <c r="B30" s="795"/>
      <c r="C30" s="556"/>
      <c r="D30" s="556">
        <v>6</v>
      </c>
      <c r="E30" s="566">
        <v>250</v>
      </c>
      <c r="F30" s="555" t="s">
        <v>1522</v>
      </c>
      <c r="G30" s="552" t="s">
        <v>834</v>
      </c>
      <c r="H30" s="814"/>
      <c r="I30" s="556"/>
      <c r="J30" s="565"/>
      <c r="K30" s="564"/>
      <c r="L30" s="805"/>
      <c r="M30" s="532">
        <v>1</v>
      </c>
      <c r="N30" s="533" t="s">
        <v>90</v>
      </c>
      <c r="O30" s="529">
        <f t="shared" si="1"/>
        <v>250</v>
      </c>
    </row>
    <row r="31" spans="1:20" ht="12.95" customHeight="1">
      <c r="A31" s="794"/>
      <c r="B31" s="795"/>
      <c r="C31" s="556"/>
      <c r="D31" s="556">
        <v>7</v>
      </c>
      <c r="E31" s="566">
        <v>250</v>
      </c>
      <c r="F31" s="555" t="s">
        <v>1522</v>
      </c>
      <c r="G31" s="552" t="s">
        <v>834</v>
      </c>
      <c r="H31" s="814"/>
      <c r="I31" s="556"/>
      <c r="J31" s="565"/>
      <c r="K31" s="564"/>
      <c r="L31" s="805"/>
      <c r="M31" s="532">
        <v>1</v>
      </c>
      <c r="N31" s="533" t="s">
        <v>90</v>
      </c>
      <c r="O31" s="529">
        <f t="shared" si="1"/>
        <v>250</v>
      </c>
    </row>
    <row r="32" spans="1:20" ht="12.95" customHeight="1">
      <c r="A32" s="794"/>
      <c r="B32" s="795"/>
      <c r="C32" s="556"/>
      <c r="D32" s="556">
        <v>8</v>
      </c>
      <c r="E32" s="566">
        <v>250</v>
      </c>
      <c r="F32" s="555" t="s">
        <v>1522</v>
      </c>
      <c r="G32" s="552" t="s">
        <v>834</v>
      </c>
      <c r="H32" s="814"/>
      <c r="I32" s="556"/>
      <c r="J32" s="565"/>
      <c r="K32" s="564"/>
      <c r="L32" s="805"/>
      <c r="M32" s="532">
        <v>1</v>
      </c>
      <c r="N32" s="533" t="s">
        <v>90</v>
      </c>
      <c r="O32" s="529">
        <f t="shared" si="1"/>
        <v>250</v>
      </c>
    </row>
    <row r="33" spans="1:15" ht="15.95" customHeight="1">
      <c r="A33" s="796"/>
      <c r="B33" s="797"/>
      <c r="C33" s="556"/>
      <c r="D33" s="556"/>
      <c r="E33" s="566"/>
      <c r="F33" s="555" t="s">
        <v>1528</v>
      </c>
      <c r="G33" s="552" t="s">
        <v>1529</v>
      </c>
      <c r="H33" s="815"/>
      <c r="I33" s="556"/>
      <c r="J33" s="565"/>
      <c r="K33" s="564"/>
      <c r="L33" s="806"/>
      <c r="M33" s="532">
        <v>1</v>
      </c>
      <c r="N33" s="533" t="s">
        <v>90</v>
      </c>
      <c r="O33" s="529">
        <f t="shared" si="1"/>
        <v>0</v>
      </c>
    </row>
    <row r="34" spans="1:15" ht="17.100000000000001" customHeight="1">
      <c r="A34" s="790"/>
      <c r="B34" s="791"/>
      <c r="C34" s="546" t="s">
        <v>57</v>
      </c>
      <c r="D34" s="556"/>
      <c r="E34" s="554"/>
      <c r="F34" s="564"/>
      <c r="G34" s="556"/>
      <c r="H34" s="556"/>
      <c r="I34" s="556"/>
      <c r="J34" s="565"/>
      <c r="K34" s="564"/>
      <c r="L34" s="556"/>
      <c r="M34" s="532">
        <v>1</v>
      </c>
      <c r="N34" s="533" t="s">
        <v>88</v>
      </c>
      <c r="O34" s="529">
        <f t="shared" si="1"/>
        <v>0</v>
      </c>
    </row>
    <row r="35" spans="1:15" ht="12.75" customHeight="1">
      <c r="A35" s="792">
        <v>3</v>
      </c>
      <c r="B35" s="793"/>
      <c r="C35" s="552" t="s">
        <v>1530</v>
      </c>
      <c r="D35" s="556">
        <v>1</v>
      </c>
      <c r="E35" s="566">
        <v>200</v>
      </c>
      <c r="F35" s="555" t="s">
        <v>1531</v>
      </c>
      <c r="G35" s="552" t="s">
        <v>863</v>
      </c>
      <c r="H35" s="798">
        <v>142</v>
      </c>
      <c r="I35" s="557">
        <v>3919.59</v>
      </c>
      <c r="J35" s="558">
        <v>9897.59</v>
      </c>
      <c r="K35" s="564">
        <v>5978</v>
      </c>
      <c r="L35" s="801" t="s">
        <v>1532</v>
      </c>
      <c r="M35" s="532">
        <v>1</v>
      </c>
      <c r="N35" s="533" t="s">
        <v>88</v>
      </c>
      <c r="O35" s="529">
        <f t="shared" si="1"/>
        <v>200</v>
      </c>
    </row>
    <row r="36" spans="1:15" ht="12.95" customHeight="1">
      <c r="A36" s="794"/>
      <c r="B36" s="795"/>
      <c r="C36" s="552" t="s">
        <v>1533</v>
      </c>
      <c r="D36" s="556">
        <v>2</v>
      </c>
      <c r="E36" s="566">
        <v>200</v>
      </c>
      <c r="F36" s="555" t="s">
        <v>1531</v>
      </c>
      <c r="G36" s="552" t="s">
        <v>863</v>
      </c>
      <c r="H36" s="799"/>
      <c r="I36" s="552" t="s">
        <v>1534</v>
      </c>
      <c r="J36" s="561" t="s">
        <v>1535</v>
      </c>
      <c r="K36" s="562">
        <v>-152.51</v>
      </c>
      <c r="L36" s="802"/>
      <c r="M36" s="532">
        <v>1</v>
      </c>
      <c r="N36" s="533" t="s">
        <v>88</v>
      </c>
      <c r="O36" s="529">
        <f t="shared" si="1"/>
        <v>200</v>
      </c>
    </row>
    <row r="37" spans="1:15" ht="12.95" customHeight="1">
      <c r="A37" s="794"/>
      <c r="B37" s="795"/>
      <c r="C37" s="563" t="s">
        <v>1527</v>
      </c>
      <c r="D37" s="556">
        <v>3</v>
      </c>
      <c r="E37" s="566">
        <v>200</v>
      </c>
      <c r="F37" s="555" t="s">
        <v>1531</v>
      </c>
      <c r="G37" s="552" t="s">
        <v>863</v>
      </c>
      <c r="H37" s="799"/>
      <c r="I37" s="556"/>
      <c r="J37" s="565"/>
      <c r="K37" s="564"/>
      <c r="L37" s="802"/>
      <c r="M37" s="532">
        <v>1</v>
      </c>
      <c r="N37" s="533" t="s">
        <v>88</v>
      </c>
      <c r="O37" s="529">
        <f t="shared" si="1"/>
        <v>200</v>
      </c>
    </row>
    <row r="38" spans="1:15" ht="12.95" customHeight="1">
      <c r="A38" s="794"/>
      <c r="B38" s="795"/>
      <c r="C38" s="556"/>
      <c r="D38" s="556">
        <v>4</v>
      </c>
      <c r="E38" s="566">
        <v>200</v>
      </c>
      <c r="F38" s="555" t="s">
        <v>1531</v>
      </c>
      <c r="G38" s="552" t="s">
        <v>863</v>
      </c>
      <c r="H38" s="799"/>
      <c r="I38" s="556"/>
      <c r="J38" s="565"/>
      <c r="K38" s="564"/>
      <c r="L38" s="802"/>
      <c r="M38" s="532">
        <v>1</v>
      </c>
      <c r="N38" s="533" t="s">
        <v>88</v>
      </c>
      <c r="O38" s="529">
        <f t="shared" si="1"/>
        <v>200</v>
      </c>
    </row>
    <row r="39" spans="1:15" ht="15.95" customHeight="1">
      <c r="A39" s="796"/>
      <c r="B39" s="797"/>
      <c r="C39" s="556"/>
      <c r="D39" s="556"/>
      <c r="E39" s="566"/>
      <c r="F39" s="555" t="s">
        <v>1536</v>
      </c>
      <c r="G39" s="552" t="s">
        <v>1537</v>
      </c>
      <c r="H39" s="800"/>
      <c r="I39" s="556"/>
      <c r="J39" s="565"/>
      <c r="K39" s="564"/>
      <c r="L39" s="803"/>
      <c r="M39" s="532">
        <v>1</v>
      </c>
      <c r="N39" s="533" t="s">
        <v>88</v>
      </c>
      <c r="O39" s="529">
        <f t="shared" si="1"/>
        <v>0</v>
      </c>
    </row>
    <row r="40" spans="1:15" ht="24">
      <c r="A40" s="788" t="s">
        <v>105</v>
      </c>
      <c r="B40" s="789"/>
      <c r="C40" s="550"/>
      <c r="D40" s="550"/>
      <c r="E40" s="548"/>
      <c r="F40" s="549"/>
      <c r="G40" s="550"/>
      <c r="H40" s="550"/>
      <c r="I40" s="550"/>
      <c r="J40" s="550"/>
      <c r="K40" s="550"/>
      <c r="L40" s="567" t="s">
        <v>1538</v>
      </c>
      <c r="M40" s="532">
        <v>1</v>
      </c>
      <c r="N40" s="533" t="s">
        <v>88</v>
      </c>
      <c r="O40" s="529">
        <f t="shared" si="1"/>
        <v>0</v>
      </c>
    </row>
    <row r="41" spans="1:15">
      <c r="A41" s="792">
        <v>4</v>
      </c>
      <c r="B41" s="793"/>
      <c r="C41" s="552" t="s">
        <v>1539</v>
      </c>
      <c r="D41" s="556">
        <v>1</v>
      </c>
      <c r="E41" s="554">
        <v>33.33</v>
      </c>
      <c r="F41" s="568" t="s">
        <v>1540</v>
      </c>
      <c r="G41" s="560" t="s">
        <v>863</v>
      </c>
      <c r="H41" s="556">
        <v>189</v>
      </c>
      <c r="I41" s="557">
        <v>431.56</v>
      </c>
      <c r="J41" s="557">
        <v>1281.52</v>
      </c>
      <c r="K41" s="557">
        <v>849.96</v>
      </c>
      <c r="L41" s="804" t="s">
        <v>1541</v>
      </c>
      <c r="M41" s="532">
        <v>1</v>
      </c>
      <c r="N41" s="533" t="s">
        <v>88</v>
      </c>
      <c r="O41" s="529">
        <f t="shared" si="1"/>
        <v>33.33</v>
      </c>
    </row>
    <row r="42" spans="1:15">
      <c r="A42" s="794"/>
      <c r="B42" s="795"/>
      <c r="C42" s="560" t="s">
        <v>1542</v>
      </c>
      <c r="D42" s="556">
        <v>2</v>
      </c>
      <c r="E42" s="554">
        <v>33.33</v>
      </c>
      <c r="F42" s="568" t="s">
        <v>1540</v>
      </c>
      <c r="G42" s="560" t="s">
        <v>863</v>
      </c>
      <c r="H42" s="556">
        <v>189</v>
      </c>
      <c r="I42" s="552" t="s">
        <v>1543</v>
      </c>
      <c r="J42" s="552" t="s">
        <v>1544</v>
      </c>
      <c r="K42" s="569">
        <v>-196.95</v>
      </c>
      <c r="L42" s="805"/>
      <c r="M42" s="532">
        <v>1</v>
      </c>
      <c r="N42" s="533" t="s">
        <v>88</v>
      </c>
      <c r="O42" s="529">
        <f t="shared" si="1"/>
        <v>33.33</v>
      </c>
    </row>
    <row r="43" spans="1:15">
      <c r="A43" s="794"/>
      <c r="B43" s="795"/>
      <c r="C43" s="563" t="s">
        <v>1545</v>
      </c>
      <c r="D43" s="556">
        <v>3</v>
      </c>
      <c r="E43" s="554">
        <v>33.33</v>
      </c>
      <c r="F43" s="568" t="s">
        <v>1540</v>
      </c>
      <c r="G43" s="560" t="s">
        <v>863</v>
      </c>
      <c r="H43" s="556">
        <v>189</v>
      </c>
      <c r="I43" s="556"/>
      <c r="J43" s="556"/>
      <c r="K43" s="556"/>
      <c r="L43" s="805"/>
      <c r="M43" s="532">
        <v>1</v>
      </c>
      <c r="N43" s="533" t="s">
        <v>88</v>
      </c>
      <c r="O43" s="529">
        <f t="shared" si="1"/>
        <v>33.33</v>
      </c>
    </row>
    <row r="44" spans="1:15">
      <c r="A44" s="796"/>
      <c r="B44" s="797"/>
      <c r="C44" s="556"/>
      <c r="D44" s="556"/>
      <c r="E44" s="554"/>
      <c r="F44" s="555" t="s">
        <v>1546</v>
      </c>
      <c r="G44" s="552" t="s">
        <v>1547</v>
      </c>
      <c r="H44" s="556"/>
      <c r="I44" s="556"/>
      <c r="J44" s="556"/>
      <c r="K44" s="556"/>
      <c r="L44" s="806"/>
      <c r="M44" s="532">
        <v>1</v>
      </c>
      <c r="N44" s="533" t="s">
        <v>88</v>
      </c>
      <c r="O44" s="529">
        <f t="shared" si="1"/>
        <v>0</v>
      </c>
    </row>
    <row r="45" spans="1:15">
      <c r="A45" s="792">
        <v>5</v>
      </c>
      <c r="B45" s="793"/>
      <c r="C45" s="552" t="s">
        <v>1548</v>
      </c>
      <c r="D45" s="556">
        <v>1</v>
      </c>
      <c r="E45" s="554">
        <v>150</v>
      </c>
      <c r="F45" s="555" t="s">
        <v>1362</v>
      </c>
      <c r="G45" s="552" t="s">
        <v>1505</v>
      </c>
      <c r="H45" s="556">
        <v>92</v>
      </c>
      <c r="I45" s="557">
        <v>2807.83</v>
      </c>
      <c r="J45" s="557">
        <v>2807.83</v>
      </c>
      <c r="K45" s="819" t="s">
        <v>1549</v>
      </c>
      <c r="L45" s="804" t="s">
        <v>1550</v>
      </c>
      <c r="M45" s="532">
        <v>1</v>
      </c>
      <c r="N45" s="533" t="s">
        <v>88</v>
      </c>
      <c r="O45" s="529">
        <f t="shared" si="1"/>
        <v>150</v>
      </c>
    </row>
    <row r="46" spans="1:15">
      <c r="A46" s="794"/>
      <c r="B46" s="795"/>
      <c r="C46" s="560" t="s">
        <v>1551</v>
      </c>
      <c r="D46" s="556">
        <v>2</v>
      </c>
      <c r="E46" s="554">
        <v>150</v>
      </c>
      <c r="F46" s="555" t="s">
        <v>1362</v>
      </c>
      <c r="G46" s="552" t="s">
        <v>1505</v>
      </c>
      <c r="H46" s="556">
        <v>94</v>
      </c>
      <c r="I46" s="552" t="s">
        <v>1552</v>
      </c>
      <c r="J46" s="552" t="s">
        <v>1552</v>
      </c>
      <c r="K46" s="820"/>
      <c r="L46" s="805"/>
      <c r="M46" s="532">
        <v>1</v>
      </c>
      <c r="N46" s="533" t="s">
        <v>88</v>
      </c>
      <c r="O46" s="529">
        <f t="shared" si="1"/>
        <v>150</v>
      </c>
    </row>
    <row r="47" spans="1:15">
      <c r="A47" s="794"/>
      <c r="B47" s="795"/>
      <c r="C47" s="552" t="s">
        <v>1553</v>
      </c>
      <c r="D47" s="556">
        <v>3</v>
      </c>
      <c r="E47" s="554">
        <v>150</v>
      </c>
      <c r="F47" s="555" t="s">
        <v>1362</v>
      </c>
      <c r="G47" s="552" t="s">
        <v>1505</v>
      </c>
      <c r="H47" s="556">
        <v>96</v>
      </c>
      <c r="I47" s="556"/>
      <c r="J47" s="556"/>
      <c r="K47" s="820"/>
      <c r="L47" s="805"/>
      <c r="M47" s="532">
        <v>1</v>
      </c>
      <c r="N47" s="533" t="s">
        <v>88</v>
      </c>
      <c r="O47" s="529">
        <f t="shared" si="1"/>
        <v>150</v>
      </c>
    </row>
    <row r="48" spans="1:15">
      <c r="A48" s="796"/>
      <c r="B48" s="797"/>
      <c r="C48" s="556"/>
      <c r="D48" s="556"/>
      <c r="E48" s="554"/>
      <c r="F48" s="555" t="s">
        <v>1554</v>
      </c>
      <c r="G48" s="552" t="s">
        <v>1555</v>
      </c>
      <c r="H48" s="556"/>
      <c r="I48" s="556"/>
      <c r="J48" s="556"/>
      <c r="K48" s="821"/>
      <c r="L48" s="806"/>
      <c r="M48" s="532">
        <v>1</v>
      </c>
      <c r="N48" s="533" t="s">
        <v>88</v>
      </c>
      <c r="O48" s="529">
        <f t="shared" si="1"/>
        <v>0</v>
      </c>
    </row>
    <row r="49" spans="1:15">
      <c r="A49" s="816">
        <v>6</v>
      </c>
      <c r="B49" s="798"/>
      <c r="C49" s="552" t="s">
        <v>1556</v>
      </c>
      <c r="D49" s="556">
        <v>1</v>
      </c>
      <c r="E49" s="554"/>
      <c r="F49" s="555" t="s">
        <v>907</v>
      </c>
      <c r="G49" s="552" t="s">
        <v>721</v>
      </c>
      <c r="H49" s="813">
        <v>37</v>
      </c>
      <c r="I49" s="557">
        <v>1696.93</v>
      </c>
      <c r="J49" s="557">
        <v>2689</v>
      </c>
      <c r="K49" s="557"/>
      <c r="L49" s="804" t="s">
        <v>1557</v>
      </c>
      <c r="M49" s="532">
        <v>1</v>
      </c>
      <c r="N49" s="533" t="s">
        <v>88</v>
      </c>
      <c r="O49" s="529">
        <f t="shared" si="1"/>
        <v>0</v>
      </c>
    </row>
    <row r="50" spans="1:15">
      <c r="A50" s="817"/>
      <c r="B50" s="799"/>
      <c r="C50" s="560" t="s">
        <v>1558</v>
      </c>
      <c r="D50" s="556">
        <v>2</v>
      </c>
      <c r="E50" s="554"/>
      <c r="F50" s="555" t="s">
        <v>907</v>
      </c>
      <c r="G50" s="552" t="s">
        <v>721</v>
      </c>
      <c r="H50" s="814"/>
      <c r="I50" s="552" t="s">
        <v>1559</v>
      </c>
      <c r="J50" s="552" t="s">
        <v>1560</v>
      </c>
      <c r="K50" s="557">
        <v>992.07</v>
      </c>
      <c r="L50" s="805"/>
      <c r="M50" s="532">
        <v>1</v>
      </c>
      <c r="N50" s="533" t="s">
        <v>88</v>
      </c>
      <c r="O50" s="529">
        <f t="shared" si="1"/>
        <v>0</v>
      </c>
    </row>
    <row r="51" spans="1:15">
      <c r="A51" s="817"/>
      <c r="B51" s="799"/>
      <c r="C51" s="560" t="s">
        <v>1561</v>
      </c>
      <c r="D51" s="556">
        <v>3</v>
      </c>
      <c r="E51" s="554"/>
      <c r="F51" s="555" t="s">
        <v>907</v>
      </c>
      <c r="G51" s="552" t="s">
        <v>721</v>
      </c>
      <c r="H51" s="814"/>
      <c r="I51" s="556"/>
      <c r="J51" s="556"/>
      <c r="K51" s="569">
        <v>-58.46</v>
      </c>
      <c r="L51" s="805"/>
      <c r="M51" s="532">
        <v>1</v>
      </c>
      <c r="N51" s="533" t="s">
        <v>88</v>
      </c>
      <c r="O51" s="529">
        <f t="shared" si="1"/>
        <v>0</v>
      </c>
    </row>
    <row r="52" spans="1:15">
      <c r="A52" s="817"/>
      <c r="B52" s="799"/>
      <c r="C52" s="569"/>
      <c r="D52" s="569"/>
      <c r="E52" s="554">
        <v>60</v>
      </c>
      <c r="F52" s="555" t="s">
        <v>1562</v>
      </c>
      <c r="G52" s="552" t="s">
        <v>1563</v>
      </c>
      <c r="H52" s="814"/>
      <c r="I52" s="556"/>
      <c r="J52" s="556"/>
      <c r="K52" s="556"/>
      <c r="L52" s="805"/>
      <c r="M52" s="532">
        <v>1</v>
      </c>
      <c r="N52" s="533" t="s">
        <v>88</v>
      </c>
      <c r="O52" s="529">
        <f t="shared" si="1"/>
        <v>60</v>
      </c>
    </row>
    <row r="53" spans="1:15">
      <c r="A53" s="817"/>
      <c r="B53" s="799"/>
      <c r="C53" s="556"/>
      <c r="D53" s="556"/>
      <c r="E53" s="554">
        <v>60</v>
      </c>
      <c r="F53" s="564"/>
      <c r="G53" s="556"/>
      <c r="H53" s="814"/>
      <c r="I53" s="556"/>
      <c r="J53" s="556"/>
      <c r="K53" s="556"/>
      <c r="L53" s="805"/>
      <c r="M53" s="532">
        <v>1</v>
      </c>
      <c r="N53" s="533" t="s">
        <v>88</v>
      </c>
      <c r="O53" s="529">
        <f t="shared" si="1"/>
        <v>60</v>
      </c>
    </row>
    <row r="54" spans="1:15">
      <c r="A54" s="818"/>
      <c r="B54" s="800"/>
      <c r="C54" s="556"/>
      <c r="D54" s="556"/>
      <c r="E54" s="554">
        <v>60</v>
      </c>
      <c r="F54" s="564"/>
      <c r="G54" s="556"/>
      <c r="H54" s="815"/>
      <c r="I54" s="556"/>
      <c r="J54" s="556"/>
      <c r="K54" s="556"/>
      <c r="L54" s="806"/>
      <c r="M54" s="532">
        <v>1</v>
      </c>
      <c r="N54" s="533" t="s">
        <v>88</v>
      </c>
      <c r="O54" s="529">
        <f t="shared" si="1"/>
        <v>60</v>
      </c>
    </row>
    <row r="55" spans="1:15">
      <c r="A55" s="816">
        <v>7</v>
      </c>
      <c r="B55" s="798"/>
      <c r="C55" s="552" t="s">
        <v>1564</v>
      </c>
      <c r="D55" s="556">
        <v>1</v>
      </c>
      <c r="E55" s="554">
        <v>50</v>
      </c>
      <c r="F55" s="555" t="s">
        <v>1565</v>
      </c>
      <c r="G55" s="552" t="s">
        <v>721</v>
      </c>
      <c r="H55" s="798">
        <v>127</v>
      </c>
      <c r="I55" s="557">
        <v>586</v>
      </c>
      <c r="J55" s="557">
        <v>586</v>
      </c>
      <c r="K55" s="819" t="s">
        <v>1566</v>
      </c>
      <c r="L55" s="804" t="s">
        <v>1567</v>
      </c>
      <c r="M55" s="532">
        <v>1</v>
      </c>
      <c r="N55" s="533" t="s">
        <v>88</v>
      </c>
      <c r="O55" s="529">
        <f t="shared" si="1"/>
        <v>50</v>
      </c>
    </row>
    <row r="56" spans="1:15">
      <c r="A56" s="817"/>
      <c r="B56" s="799"/>
      <c r="C56" s="560" t="s">
        <v>1568</v>
      </c>
      <c r="D56" s="556">
        <v>2</v>
      </c>
      <c r="E56" s="554">
        <v>50</v>
      </c>
      <c r="F56" s="555" t="s">
        <v>1565</v>
      </c>
      <c r="G56" s="552" t="s">
        <v>721</v>
      </c>
      <c r="H56" s="799"/>
      <c r="I56" s="552" t="s">
        <v>1569</v>
      </c>
      <c r="J56" s="552" t="s">
        <v>1569</v>
      </c>
      <c r="K56" s="820"/>
      <c r="L56" s="805"/>
      <c r="M56" s="532">
        <v>1</v>
      </c>
      <c r="N56" s="533" t="s">
        <v>88</v>
      </c>
      <c r="O56" s="529">
        <f t="shared" si="1"/>
        <v>50</v>
      </c>
    </row>
    <row r="57" spans="1:15">
      <c r="A57" s="818"/>
      <c r="B57" s="800"/>
      <c r="C57" s="552" t="s">
        <v>1570</v>
      </c>
      <c r="D57" s="556"/>
      <c r="E57" s="554"/>
      <c r="F57" s="555" t="s">
        <v>1571</v>
      </c>
      <c r="G57" s="552" t="s">
        <v>1572</v>
      </c>
      <c r="H57" s="800"/>
      <c r="I57" s="556"/>
      <c r="J57" s="556"/>
      <c r="K57" s="821"/>
      <c r="L57" s="806"/>
      <c r="M57" s="532">
        <v>1</v>
      </c>
      <c r="N57" s="533" t="s">
        <v>88</v>
      </c>
      <c r="O57" s="529">
        <f t="shared" si="1"/>
        <v>0</v>
      </c>
    </row>
    <row r="58" spans="1:15">
      <c r="A58" s="807" t="s">
        <v>1573</v>
      </c>
      <c r="B58" s="808"/>
      <c r="C58" s="552" t="s">
        <v>1574</v>
      </c>
      <c r="D58" s="556">
        <v>1</v>
      </c>
      <c r="E58" s="554">
        <v>22</v>
      </c>
      <c r="F58" s="555" t="s">
        <v>1360</v>
      </c>
      <c r="G58" s="552" t="s">
        <v>1505</v>
      </c>
      <c r="H58" s="798">
        <v>129</v>
      </c>
      <c r="I58" s="557">
        <v>255</v>
      </c>
      <c r="J58" s="557">
        <v>641.89</v>
      </c>
      <c r="K58" s="557">
        <v>386.89</v>
      </c>
      <c r="L58" s="804" t="s">
        <v>1575</v>
      </c>
      <c r="M58" s="532">
        <v>1</v>
      </c>
      <c r="N58" s="533" t="s">
        <v>88</v>
      </c>
      <c r="O58" s="529">
        <f t="shared" si="1"/>
        <v>22</v>
      </c>
    </row>
    <row r="59" spans="1:15">
      <c r="A59" s="809"/>
      <c r="B59" s="810"/>
      <c r="C59" s="560" t="s">
        <v>1576</v>
      </c>
      <c r="D59" s="556">
        <v>2</v>
      </c>
      <c r="E59" s="554">
        <v>22</v>
      </c>
      <c r="F59" s="555" t="s">
        <v>1360</v>
      </c>
      <c r="G59" s="552" t="s">
        <v>1505</v>
      </c>
      <c r="H59" s="799"/>
      <c r="I59" s="552" t="s">
        <v>1577</v>
      </c>
      <c r="J59" s="570">
        <v>-2018</v>
      </c>
      <c r="K59" s="569">
        <v>-151.72</v>
      </c>
      <c r="L59" s="805"/>
      <c r="M59" s="532">
        <v>1</v>
      </c>
      <c r="N59" s="533" t="s">
        <v>88</v>
      </c>
      <c r="O59" s="529">
        <f t="shared" si="1"/>
        <v>22</v>
      </c>
    </row>
    <row r="60" spans="1:15">
      <c r="A60" s="809"/>
      <c r="B60" s="810"/>
      <c r="C60" s="563" t="s">
        <v>1578</v>
      </c>
      <c r="D60" s="569"/>
      <c r="E60" s="554"/>
      <c r="F60" s="571" t="s">
        <v>1579</v>
      </c>
      <c r="G60" s="563" t="s">
        <v>1518</v>
      </c>
      <c r="H60" s="799"/>
      <c r="I60" s="569"/>
      <c r="J60" s="569"/>
      <c r="K60" s="569"/>
      <c r="L60" s="805"/>
      <c r="M60" s="532">
        <v>1</v>
      </c>
      <c r="N60" s="533" t="s">
        <v>88</v>
      </c>
      <c r="O60" s="529">
        <f t="shared" si="1"/>
        <v>0</v>
      </c>
    </row>
    <row r="61" spans="1:15">
      <c r="A61" s="809"/>
      <c r="B61" s="810"/>
      <c r="C61" s="569"/>
      <c r="D61" s="569"/>
      <c r="E61" s="554"/>
      <c r="F61" s="562"/>
      <c r="G61" s="572" t="s">
        <v>1519</v>
      </c>
      <c r="H61" s="799"/>
      <c r="I61" s="569"/>
      <c r="J61" s="569"/>
      <c r="K61" s="569"/>
      <c r="L61" s="805"/>
      <c r="M61" s="532">
        <v>1</v>
      </c>
      <c r="N61" s="533" t="s">
        <v>88</v>
      </c>
      <c r="O61" s="529">
        <f t="shared" si="1"/>
        <v>0</v>
      </c>
    </row>
    <row r="62" spans="1:15">
      <c r="A62" s="809"/>
      <c r="B62" s="810"/>
      <c r="C62" s="569"/>
      <c r="D62" s="569"/>
      <c r="E62" s="554"/>
      <c r="F62" s="562"/>
      <c r="G62" s="563" t="s">
        <v>1580</v>
      </c>
      <c r="H62" s="799"/>
      <c r="I62" s="569"/>
      <c r="J62" s="569"/>
      <c r="K62" s="569"/>
      <c r="L62" s="805"/>
      <c r="M62" s="532">
        <v>1</v>
      </c>
      <c r="N62" s="533" t="s">
        <v>88</v>
      </c>
      <c r="O62" s="529">
        <f t="shared" si="1"/>
        <v>0</v>
      </c>
    </row>
    <row r="63" spans="1:15">
      <c r="A63" s="811"/>
      <c r="B63" s="812"/>
      <c r="C63" s="569"/>
      <c r="D63" s="569"/>
      <c r="E63" s="554"/>
      <c r="F63" s="562"/>
      <c r="G63" s="563" t="s">
        <v>1581</v>
      </c>
      <c r="H63" s="800"/>
      <c r="I63" s="569"/>
      <c r="J63" s="569"/>
      <c r="K63" s="569"/>
      <c r="L63" s="806"/>
      <c r="M63" s="532">
        <v>1</v>
      </c>
      <c r="N63" s="533" t="s">
        <v>88</v>
      </c>
      <c r="O63" s="529">
        <f t="shared" si="1"/>
        <v>0</v>
      </c>
    </row>
    <row r="64" spans="1:15">
      <c r="A64" s="822">
        <v>9</v>
      </c>
      <c r="B64" s="823"/>
      <c r="C64" s="573" t="s">
        <v>1582</v>
      </c>
      <c r="D64" s="574">
        <v>1</v>
      </c>
      <c r="E64" s="566">
        <v>50</v>
      </c>
      <c r="F64" s="575" t="s">
        <v>1359</v>
      </c>
      <c r="G64" s="573" t="s">
        <v>863</v>
      </c>
      <c r="H64" s="828">
        <v>106</v>
      </c>
      <c r="I64" s="576">
        <v>543.15</v>
      </c>
      <c r="J64" s="831">
        <v>1472</v>
      </c>
      <c r="K64" s="576">
        <v>928.85</v>
      </c>
      <c r="L64" s="834" t="s">
        <v>1583</v>
      </c>
      <c r="M64" s="532">
        <v>1</v>
      </c>
      <c r="N64" s="533" t="s">
        <v>88</v>
      </c>
      <c r="O64" s="529">
        <f t="shared" si="1"/>
        <v>50</v>
      </c>
    </row>
    <row r="65" spans="1:15">
      <c r="A65" s="824"/>
      <c r="B65" s="825"/>
      <c r="C65" s="577" t="s">
        <v>1584</v>
      </c>
      <c r="D65" s="574">
        <v>2</v>
      </c>
      <c r="E65" s="566">
        <v>50</v>
      </c>
      <c r="F65" s="575" t="s">
        <v>1359</v>
      </c>
      <c r="G65" s="573" t="s">
        <v>863</v>
      </c>
      <c r="H65" s="829"/>
      <c r="I65" s="573" t="s">
        <v>1585</v>
      </c>
      <c r="J65" s="832"/>
      <c r="K65" s="578">
        <v>-171.01</v>
      </c>
      <c r="L65" s="835"/>
      <c r="M65" s="532">
        <v>1</v>
      </c>
      <c r="N65" s="533" t="s">
        <v>88</v>
      </c>
      <c r="O65" s="529">
        <f t="shared" si="1"/>
        <v>50</v>
      </c>
    </row>
    <row r="66" spans="1:15">
      <c r="A66" s="824"/>
      <c r="B66" s="825"/>
      <c r="C66" s="579" t="s">
        <v>1586</v>
      </c>
      <c r="D66" s="569"/>
      <c r="E66" s="554"/>
      <c r="F66" s="571" t="s">
        <v>1587</v>
      </c>
      <c r="G66" s="563" t="s">
        <v>1588</v>
      </c>
      <c r="H66" s="829"/>
      <c r="I66" s="569"/>
      <c r="J66" s="832"/>
      <c r="K66" s="569"/>
      <c r="L66" s="835"/>
      <c r="M66" s="532">
        <v>1</v>
      </c>
      <c r="N66" s="533" t="s">
        <v>88</v>
      </c>
      <c r="O66" s="529">
        <f t="shared" si="1"/>
        <v>0</v>
      </c>
    </row>
    <row r="67" spans="1:15">
      <c r="A67" s="824"/>
      <c r="B67" s="825"/>
      <c r="C67" s="563" t="s">
        <v>1589</v>
      </c>
      <c r="D67" s="569"/>
      <c r="E67" s="554"/>
      <c r="F67" s="562"/>
      <c r="G67" s="569"/>
      <c r="H67" s="829"/>
      <c r="I67" s="569"/>
      <c r="J67" s="832"/>
      <c r="K67" s="569"/>
      <c r="L67" s="835"/>
      <c r="M67" s="532">
        <v>1</v>
      </c>
      <c r="N67" s="533" t="s">
        <v>88</v>
      </c>
      <c r="O67" s="529">
        <f t="shared" si="1"/>
        <v>0</v>
      </c>
    </row>
    <row r="68" spans="1:15" ht="36">
      <c r="A68" s="826"/>
      <c r="B68" s="827"/>
      <c r="C68" s="563" t="s">
        <v>1590</v>
      </c>
      <c r="D68" s="569"/>
      <c r="E68" s="554"/>
      <c r="F68" s="562"/>
      <c r="G68" s="569"/>
      <c r="H68" s="830"/>
      <c r="I68" s="569"/>
      <c r="J68" s="833"/>
      <c r="K68" s="569"/>
      <c r="L68" s="836"/>
      <c r="M68" s="532">
        <v>1</v>
      </c>
      <c r="N68" s="533" t="s">
        <v>88</v>
      </c>
      <c r="O68" s="529">
        <f t="shared" si="1"/>
        <v>0</v>
      </c>
    </row>
    <row r="69" spans="1:15">
      <c r="A69" s="816">
        <v>10</v>
      </c>
      <c r="B69" s="798"/>
      <c r="C69" s="552" t="s">
        <v>1591</v>
      </c>
      <c r="D69" s="556">
        <v>1</v>
      </c>
      <c r="E69" s="554">
        <v>80</v>
      </c>
      <c r="F69" s="555" t="s">
        <v>1505</v>
      </c>
      <c r="G69" s="552" t="s">
        <v>849</v>
      </c>
      <c r="H69" s="798">
        <v>12</v>
      </c>
      <c r="I69" s="557">
        <v>1798.13</v>
      </c>
      <c r="J69" s="557">
        <v>1798.13</v>
      </c>
      <c r="K69" s="819" t="s">
        <v>1549</v>
      </c>
      <c r="L69" s="804" t="s">
        <v>1592</v>
      </c>
      <c r="M69" s="532">
        <v>1</v>
      </c>
      <c r="N69" s="533" t="s">
        <v>88</v>
      </c>
      <c r="O69" s="529">
        <f t="shared" si="1"/>
        <v>80</v>
      </c>
    </row>
    <row r="70" spans="1:15">
      <c r="A70" s="817"/>
      <c r="B70" s="799"/>
      <c r="C70" s="560" t="s">
        <v>1593</v>
      </c>
      <c r="D70" s="556">
        <v>2</v>
      </c>
      <c r="E70" s="554">
        <v>80</v>
      </c>
      <c r="F70" s="555" t="s">
        <v>1505</v>
      </c>
      <c r="G70" s="552" t="s">
        <v>849</v>
      </c>
      <c r="H70" s="799"/>
      <c r="I70" s="552" t="s">
        <v>1594</v>
      </c>
      <c r="J70" s="552" t="s">
        <v>1594</v>
      </c>
      <c r="K70" s="820"/>
      <c r="L70" s="805"/>
      <c r="M70" s="532">
        <v>1</v>
      </c>
      <c r="N70" s="533" t="s">
        <v>88</v>
      </c>
      <c r="O70" s="529">
        <f t="shared" si="1"/>
        <v>80</v>
      </c>
    </row>
    <row r="71" spans="1:15">
      <c r="A71" s="817"/>
      <c r="B71" s="799"/>
      <c r="C71" s="552" t="s">
        <v>1595</v>
      </c>
      <c r="D71" s="556">
        <v>3</v>
      </c>
      <c r="E71" s="554">
        <v>80</v>
      </c>
      <c r="F71" s="555" t="s">
        <v>1505</v>
      </c>
      <c r="G71" s="552" t="s">
        <v>849</v>
      </c>
      <c r="H71" s="799"/>
      <c r="I71" s="556"/>
      <c r="J71" s="556"/>
      <c r="K71" s="820"/>
      <c r="L71" s="805"/>
      <c r="M71" s="532">
        <v>1</v>
      </c>
      <c r="N71" s="533" t="s">
        <v>88</v>
      </c>
      <c r="O71" s="529">
        <f t="shared" si="1"/>
        <v>80</v>
      </c>
    </row>
    <row r="72" spans="1:15">
      <c r="A72" s="818"/>
      <c r="B72" s="800"/>
      <c r="C72" s="552" t="s">
        <v>1596</v>
      </c>
      <c r="D72" s="556"/>
      <c r="E72" s="554"/>
      <c r="F72" s="555" t="s">
        <v>1597</v>
      </c>
      <c r="G72" s="552" t="s">
        <v>1598</v>
      </c>
      <c r="H72" s="800"/>
      <c r="I72" s="556"/>
      <c r="J72" s="556"/>
      <c r="K72" s="821"/>
      <c r="L72" s="806"/>
      <c r="M72" s="532">
        <v>1</v>
      </c>
      <c r="N72" s="533" t="s">
        <v>88</v>
      </c>
      <c r="O72" s="529">
        <f t="shared" ref="O72:O135" si="2">M72*E72</f>
        <v>0</v>
      </c>
    </row>
    <row r="73" spans="1:15" ht="45.75" customHeight="1">
      <c r="A73" s="790"/>
      <c r="B73" s="791"/>
      <c r="C73" s="546" t="s">
        <v>1599</v>
      </c>
      <c r="D73" s="556"/>
      <c r="E73" s="554"/>
      <c r="F73" s="564"/>
      <c r="G73" s="556"/>
      <c r="H73" s="556"/>
      <c r="I73" s="556"/>
      <c r="J73" s="556"/>
      <c r="K73" s="556"/>
      <c r="L73" s="556"/>
      <c r="M73" s="532">
        <v>1</v>
      </c>
      <c r="N73" s="533" t="s">
        <v>89</v>
      </c>
      <c r="O73" s="529">
        <f t="shared" si="2"/>
        <v>0</v>
      </c>
    </row>
    <row r="74" spans="1:15">
      <c r="A74" s="792">
        <v>11</v>
      </c>
      <c r="B74" s="793"/>
      <c r="C74" s="552" t="s">
        <v>1600</v>
      </c>
      <c r="D74" s="556">
        <v>1</v>
      </c>
      <c r="E74" s="554">
        <v>250</v>
      </c>
      <c r="F74" s="555" t="s">
        <v>700</v>
      </c>
      <c r="G74" s="552" t="s">
        <v>849</v>
      </c>
      <c r="H74" s="813">
        <v>63</v>
      </c>
      <c r="I74" s="557">
        <v>8112.12</v>
      </c>
      <c r="J74" s="557">
        <v>8112.12</v>
      </c>
      <c r="K74" s="819" t="s">
        <v>1549</v>
      </c>
      <c r="L74" s="804" t="s">
        <v>1601</v>
      </c>
      <c r="M74" s="532">
        <v>1</v>
      </c>
      <c r="N74" s="533" t="s">
        <v>89</v>
      </c>
      <c r="O74" s="529">
        <f t="shared" si="2"/>
        <v>250</v>
      </c>
    </row>
    <row r="75" spans="1:15">
      <c r="A75" s="794"/>
      <c r="B75" s="795"/>
      <c r="C75" s="560" t="s">
        <v>1602</v>
      </c>
      <c r="D75" s="556">
        <v>2</v>
      </c>
      <c r="E75" s="554">
        <v>250</v>
      </c>
      <c r="F75" s="555" t="s">
        <v>700</v>
      </c>
      <c r="G75" s="552" t="s">
        <v>849</v>
      </c>
      <c r="H75" s="814"/>
      <c r="I75" s="552" t="s">
        <v>1603</v>
      </c>
      <c r="J75" s="552" t="s">
        <v>1603</v>
      </c>
      <c r="K75" s="820"/>
      <c r="L75" s="805"/>
      <c r="M75" s="532">
        <v>1</v>
      </c>
      <c r="N75" s="533" t="s">
        <v>89</v>
      </c>
      <c r="O75" s="529">
        <f t="shared" si="2"/>
        <v>250</v>
      </c>
    </row>
    <row r="76" spans="1:15">
      <c r="A76" s="794"/>
      <c r="B76" s="795"/>
      <c r="C76" s="552" t="s">
        <v>1604</v>
      </c>
      <c r="D76" s="556">
        <v>3</v>
      </c>
      <c r="E76" s="554">
        <v>250</v>
      </c>
      <c r="F76" s="555" t="s">
        <v>700</v>
      </c>
      <c r="G76" s="552" t="s">
        <v>849</v>
      </c>
      <c r="H76" s="814"/>
      <c r="I76" s="556"/>
      <c r="J76" s="556"/>
      <c r="K76" s="820"/>
      <c r="L76" s="805"/>
      <c r="M76" s="532">
        <v>1</v>
      </c>
      <c r="N76" s="533" t="s">
        <v>89</v>
      </c>
      <c r="O76" s="529">
        <f t="shared" si="2"/>
        <v>250</v>
      </c>
    </row>
    <row r="77" spans="1:15">
      <c r="A77" s="794"/>
      <c r="B77" s="795"/>
      <c r="C77" s="556"/>
      <c r="D77" s="556">
        <v>4</v>
      </c>
      <c r="E77" s="554">
        <v>250</v>
      </c>
      <c r="F77" s="555" t="s">
        <v>700</v>
      </c>
      <c r="G77" s="552" t="s">
        <v>849</v>
      </c>
      <c r="H77" s="814"/>
      <c r="I77" s="556"/>
      <c r="J77" s="556"/>
      <c r="K77" s="820"/>
      <c r="L77" s="805"/>
      <c r="M77" s="532">
        <v>1</v>
      </c>
      <c r="N77" s="533" t="s">
        <v>89</v>
      </c>
      <c r="O77" s="529">
        <f t="shared" si="2"/>
        <v>250</v>
      </c>
    </row>
    <row r="78" spans="1:15">
      <c r="A78" s="796"/>
      <c r="B78" s="797"/>
      <c r="C78" s="556"/>
      <c r="D78" s="556"/>
      <c r="E78" s="554"/>
      <c r="F78" s="555" t="s">
        <v>1605</v>
      </c>
      <c r="G78" s="552" t="s">
        <v>1606</v>
      </c>
      <c r="H78" s="815"/>
      <c r="I78" s="556"/>
      <c r="J78" s="556"/>
      <c r="K78" s="821"/>
      <c r="L78" s="806"/>
      <c r="M78" s="532">
        <v>1</v>
      </c>
      <c r="N78" s="533" t="s">
        <v>89</v>
      </c>
      <c r="O78" s="529">
        <f t="shared" si="2"/>
        <v>0</v>
      </c>
    </row>
    <row r="79" spans="1:15">
      <c r="A79" s="792">
        <v>12</v>
      </c>
      <c r="B79" s="793"/>
      <c r="C79" s="552" t="s">
        <v>1607</v>
      </c>
      <c r="D79" s="556">
        <v>1</v>
      </c>
      <c r="E79" s="554">
        <v>12.5</v>
      </c>
      <c r="F79" s="580" t="s">
        <v>687</v>
      </c>
      <c r="G79" s="581" t="s">
        <v>863</v>
      </c>
      <c r="H79" s="813">
        <v>62</v>
      </c>
      <c r="I79" s="557">
        <v>640.86</v>
      </c>
      <c r="J79" s="557">
        <v>640.86</v>
      </c>
      <c r="K79" s="819" t="s">
        <v>1549</v>
      </c>
      <c r="L79" s="804" t="s">
        <v>1608</v>
      </c>
      <c r="M79" s="532">
        <v>1</v>
      </c>
      <c r="N79" s="533" t="s">
        <v>89</v>
      </c>
      <c r="O79" s="529">
        <f t="shared" si="2"/>
        <v>12.5</v>
      </c>
    </row>
    <row r="80" spans="1:15" ht="24">
      <c r="A80" s="794"/>
      <c r="B80" s="795"/>
      <c r="C80" s="560" t="s">
        <v>1609</v>
      </c>
      <c r="D80" s="556">
        <v>2</v>
      </c>
      <c r="E80" s="554">
        <v>12.5</v>
      </c>
      <c r="F80" s="580" t="s">
        <v>687</v>
      </c>
      <c r="G80" s="581" t="s">
        <v>863</v>
      </c>
      <c r="H80" s="814"/>
      <c r="I80" s="581" t="s">
        <v>1610</v>
      </c>
      <c r="J80" s="581" t="s">
        <v>1611</v>
      </c>
      <c r="K80" s="820"/>
      <c r="L80" s="805"/>
      <c r="M80" s="532">
        <v>1</v>
      </c>
      <c r="N80" s="533" t="s">
        <v>89</v>
      </c>
      <c r="O80" s="529">
        <f t="shared" si="2"/>
        <v>12.5</v>
      </c>
    </row>
    <row r="81" spans="1:15">
      <c r="A81" s="794"/>
      <c r="B81" s="795"/>
      <c r="C81" s="581" t="s">
        <v>1612</v>
      </c>
      <c r="D81" s="556">
        <v>3</v>
      </c>
      <c r="E81" s="554">
        <v>12.5</v>
      </c>
      <c r="F81" s="580" t="s">
        <v>687</v>
      </c>
      <c r="G81" s="581" t="s">
        <v>863</v>
      </c>
      <c r="H81" s="814"/>
      <c r="I81" s="581" t="s">
        <v>1613</v>
      </c>
      <c r="J81" s="582"/>
      <c r="K81" s="820"/>
      <c r="L81" s="805"/>
      <c r="M81" s="532">
        <v>1</v>
      </c>
      <c r="N81" s="533" t="s">
        <v>89</v>
      </c>
      <c r="O81" s="529">
        <f t="shared" si="2"/>
        <v>12.5</v>
      </c>
    </row>
    <row r="82" spans="1:15">
      <c r="A82" s="796"/>
      <c r="B82" s="797"/>
      <c r="C82" s="582"/>
      <c r="D82" s="582"/>
      <c r="E82" s="554"/>
      <c r="F82" s="580" t="s">
        <v>1614</v>
      </c>
      <c r="G82" s="581" t="s">
        <v>1615</v>
      </c>
      <c r="H82" s="815"/>
      <c r="I82" s="582"/>
      <c r="J82" s="582"/>
      <c r="K82" s="821"/>
      <c r="L82" s="806"/>
      <c r="M82" s="532">
        <v>1</v>
      </c>
      <c r="N82" s="533" t="s">
        <v>89</v>
      </c>
      <c r="O82" s="529">
        <f t="shared" si="2"/>
        <v>0</v>
      </c>
    </row>
    <row r="83" spans="1:15">
      <c r="A83" s="837" t="s">
        <v>1616</v>
      </c>
      <c r="B83" s="838"/>
      <c r="C83" s="581" t="s">
        <v>1617</v>
      </c>
      <c r="D83" s="556">
        <v>1</v>
      </c>
      <c r="E83" s="554">
        <v>24</v>
      </c>
      <c r="F83" s="555" t="s">
        <v>687</v>
      </c>
      <c r="G83" s="552" t="s">
        <v>849</v>
      </c>
      <c r="H83" s="798">
        <v>102</v>
      </c>
      <c r="I83" s="557">
        <v>576.87</v>
      </c>
      <c r="J83" s="557">
        <v>576.87</v>
      </c>
      <c r="K83" s="819" t="s">
        <v>1549</v>
      </c>
      <c r="L83" s="583" t="s">
        <v>1618</v>
      </c>
      <c r="M83" s="532">
        <v>1</v>
      </c>
      <c r="N83" s="533" t="s">
        <v>89</v>
      </c>
      <c r="O83" s="529">
        <f t="shared" si="2"/>
        <v>24</v>
      </c>
    </row>
    <row r="84" spans="1:15">
      <c r="A84" s="839"/>
      <c r="B84" s="840"/>
      <c r="C84" s="560" t="s">
        <v>1619</v>
      </c>
      <c r="D84" s="556">
        <v>2</v>
      </c>
      <c r="E84" s="554">
        <v>24</v>
      </c>
      <c r="F84" s="555" t="s">
        <v>687</v>
      </c>
      <c r="G84" s="552" t="s">
        <v>849</v>
      </c>
      <c r="H84" s="799"/>
      <c r="I84" s="552" t="s">
        <v>1544</v>
      </c>
      <c r="J84" s="552" t="s">
        <v>1544</v>
      </c>
      <c r="K84" s="820"/>
      <c r="L84" s="552" t="s">
        <v>1620</v>
      </c>
      <c r="M84" s="532">
        <v>1</v>
      </c>
      <c r="N84" s="533" t="s">
        <v>89</v>
      </c>
      <c r="O84" s="529">
        <f t="shared" si="2"/>
        <v>24</v>
      </c>
    </row>
    <row r="85" spans="1:15" ht="24">
      <c r="A85" s="839"/>
      <c r="B85" s="840"/>
      <c r="C85" s="552" t="s">
        <v>1612</v>
      </c>
      <c r="D85" s="556"/>
      <c r="E85" s="554"/>
      <c r="F85" s="555" t="s">
        <v>1621</v>
      </c>
      <c r="G85" s="552" t="s">
        <v>1518</v>
      </c>
      <c r="H85" s="799"/>
      <c r="I85" s="552" t="s">
        <v>1610</v>
      </c>
      <c r="J85" s="552" t="s">
        <v>1611</v>
      </c>
      <c r="K85" s="820"/>
      <c r="L85" s="552" t="s">
        <v>1622</v>
      </c>
      <c r="M85" s="532">
        <v>1</v>
      </c>
      <c r="N85" s="533" t="s">
        <v>89</v>
      </c>
      <c r="O85" s="529">
        <f t="shared" si="2"/>
        <v>0</v>
      </c>
    </row>
    <row r="86" spans="1:15">
      <c r="A86" s="839"/>
      <c r="B86" s="840"/>
      <c r="C86" s="556"/>
      <c r="D86" s="556"/>
      <c r="E86" s="554"/>
      <c r="F86" s="564"/>
      <c r="G86" s="546" t="s">
        <v>1519</v>
      </c>
      <c r="H86" s="799"/>
      <c r="I86" s="552" t="s">
        <v>1613</v>
      </c>
      <c r="J86" s="556"/>
      <c r="K86" s="820"/>
      <c r="L86" s="552" t="s">
        <v>1623</v>
      </c>
      <c r="M86" s="532">
        <v>1</v>
      </c>
      <c r="N86" s="533" t="s">
        <v>89</v>
      </c>
      <c r="O86" s="529">
        <f t="shared" si="2"/>
        <v>0</v>
      </c>
    </row>
    <row r="87" spans="1:15">
      <c r="A87" s="839"/>
      <c r="B87" s="840"/>
      <c r="C87" s="556"/>
      <c r="D87" s="556"/>
      <c r="E87" s="554"/>
      <c r="F87" s="564"/>
      <c r="G87" s="552" t="s">
        <v>1624</v>
      </c>
      <c r="H87" s="799"/>
      <c r="I87" s="556"/>
      <c r="J87" s="556"/>
      <c r="K87" s="820"/>
      <c r="L87" s="556"/>
      <c r="M87" s="532">
        <v>1</v>
      </c>
      <c r="N87" s="533" t="s">
        <v>89</v>
      </c>
      <c r="O87" s="529">
        <f t="shared" si="2"/>
        <v>0</v>
      </c>
    </row>
    <row r="88" spans="1:15" ht="24">
      <c r="A88" s="841"/>
      <c r="B88" s="842"/>
      <c r="C88" s="556"/>
      <c r="D88" s="556"/>
      <c r="E88" s="554"/>
      <c r="F88" s="564"/>
      <c r="G88" s="552" t="s">
        <v>1581</v>
      </c>
      <c r="H88" s="800"/>
      <c r="I88" s="556"/>
      <c r="J88" s="556"/>
      <c r="K88" s="821"/>
      <c r="L88" s="552" t="s">
        <v>1625</v>
      </c>
      <c r="M88" s="532">
        <v>1</v>
      </c>
      <c r="N88" s="533" t="s">
        <v>89</v>
      </c>
      <c r="O88" s="529">
        <f t="shared" si="2"/>
        <v>0</v>
      </c>
    </row>
    <row r="89" spans="1:15">
      <c r="A89" s="816">
        <v>14</v>
      </c>
      <c r="B89" s="798"/>
      <c r="C89" s="552" t="s">
        <v>1626</v>
      </c>
      <c r="D89" s="556">
        <v>1</v>
      </c>
      <c r="E89" s="554">
        <v>156</v>
      </c>
      <c r="F89" s="555" t="s">
        <v>834</v>
      </c>
      <c r="G89" s="552" t="s">
        <v>1505</v>
      </c>
      <c r="H89" s="813">
        <v>12</v>
      </c>
      <c r="I89" s="557">
        <v>4287.59</v>
      </c>
      <c r="J89" s="557">
        <v>4287.59</v>
      </c>
      <c r="K89" s="819" t="s">
        <v>1549</v>
      </c>
      <c r="L89" s="583" t="s">
        <v>1627</v>
      </c>
      <c r="M89" s="532">
        <v>1</v>
      </c>
      <c r="N89" s="533" t="s">
        <v>89</v>
      </c>
      <c r="O89" s="529">
        <f t="shared" si="2"/>
        <v>156</v>
      </c>
    </row>
    <row r="90" spans="1:15">
      <c r="A90" s="817"/>
      <c r="B90" s="799"/>
      <c r="C90" s="560" t="s">
        <v>1628</v>
      </c>
      <c r="D90" s="556">
        <v>2</v>
      </c>
      <c r="E90" s="554">
        <v>156</v>
      </c>
      <c r="F90" s="555" t="s">
        <v>834</v>
      </c>
      <c r="G90" s="552" t="s">
        <v>1505</v>
      </c>
      <c r="H90" s="814"/>
      <c r="I90" s="552" t="s">
        <v>1629</v>
      </c>
      <c r="J90" s="552" t="s">
        <v>1629</v>
      </c>
      <c r="K90" s="820"/>
      <c r="L90" s="556"/>
      <c r="M90" s="532">
        <v>1</v>
      </c>
      <c r="N90" s="533" t="s">
        <v>89</v>
      </c>
      <c r="O90" s="529">
        <f t="shared" si="2"/>
        <v>156</v>
      </c>
    </row>
    <row r="91" spans="1:15">
      <c r="A91" s="817"/>
      <c r="B91" s="799"/>
      <c r="C91" s="552" t="s">
        <v>1604</v>
      </c>
      <c r="D91" s="556">
        <v>3</v>
      </c>
      <c r="E91" s="554">
        <v>156</v>
      </c>
      <c r="F91" s="555" t="s">
        <v>834</v>
      </c>
      <c r="G91" s="552" t="s">
        <v>1505</v>
      </c>
      <c r="H91" s="814"/>
      <c r="I91" s="556"/>
      <c r="J91" s="556"/>
      <c r="K91" s="820"/>
      <c r="L91" s="556"/>
      <c r="M91" s="532">
        <v>1</v>
      </c>
      <c r="N91" s="533" t="s">
        <v>89</v>
      </c>
      <c r="O91" s="529">
        <f t="shared" si="2"/>
        <v>156</v>
      </c>
    </row>
    <row r="92" spans="1:15">
      <c r="A92" s="817"/>
      <c r="B92" s="799"/>
      <c r="C92" s="556"/>
      <c r="D92" s="556">
        <v>4</v>
      </c>
      <c r="E92" s="554">
        <v>156</v>
      </c>
      <c r="F92" s="555" t="s">
        <v>834</v>
      </c>
      <c r="G92" s="552" t="s">
        <v>1505</v>
      </c>
      <c r="H92" s="814"/>
      <c r="I92" s="556"/>
      <c r="J92" s="556"/>
      <c r="K92" s="820"/>
      <c r="L92" s="556"/>
      <c r="M92" s="532">
        <v>1</v>
      </c>
      <c r="N92" s="533" t="s">
        <v>89</v>
      </c>
      <c r="O92" s="529">
        <f t="shared" si="2"/>
        <v>156</v>
      </c>
    </row>
    <row r="93" spans="1:15">
      <c r="A93" s="818"/>
      <c r="B93" s="800"/>
      <c r="C93" s="556"/>
      <c r="D93" s="556"/>
      <c r="E93" s="554"/>
      <c r="F93" s="555" t="s">
        <v>1630</v>
      </c>
      <c r="G93" s="552" t="s">
        <v>1631</v>
      </c>
      <c r="H93" s="815"/>
      <c r="I93" s="556"/>
      <c r="J93" s="556"/>
      <c r="K93" s="821"/>
      <c r="L93" s="556"/>
      <c r="M93" s="532">
        <v>1</v>
      </c>
      <c r="N93" s="533" t="s">
        <v>89</v>
      </c>
      <c r="O93" s="529">
        <f t="shared" si="2"/>
        <v>0</v>
      </c>
    </row>
    <row r="94" spans="1:15">
      <c r="A94" s="807" t="s">
        <v>1632</v>
      </c>
      <c r="B94" s="808"/>
      <c r="C94" s="552" t="s">
        <v>1633</v>
      </c>
      <c r="D94" s="556">
        <v>1</v>
      </c>
      <c r="E94" s="554">
        <v>205</v>
      </c>
      <c r="F94" s="555" t="s">
        <v>687</v>
      </c>
      <c r="G94" s="552" t="s">
        <v>849</v>
      </c>
      <c r="H94" s="813">
        <v>96</v>
      </c>
      <c r="I94" s="557">
        <v>5281.94</v>
      </c>
      <c r="J94" s="557">
        <v>5281.94</v>
      </c>
      <c r="K94" s="819" t="s">
        <v>1634</v>
      </c>
      <c r="L94" s="804" t="s">
        <v>1635</v>
      </c>
      <c r="M94" s="532">
        <v>1</v>
      </c>
      <c r="N94" s="533" t="s">
        <v>89</v>
      </c>
      <c r="O94" s="529">
        <f t="shared" si="2"/>
        <v>205</v>
      </c>
    </row>
    <row r="95" spans="1:15">
      <c r="A95" s="809"/>
      <c r="B95" s="810"/>
      <c r="C95" s="560" t="s">
        <v>1636</v>
      </c>
      <c r="D95" s="556">
        <v>2</v>
      </c>
      <c r="E95" s="554">
        <v>205</v>
      </c>
      <c r="F95" s="555" t="s">
        <v>687</v>
      </c>
      <c r="G95" s="552" t="s">
        <v>849</v>
      </c>
      <c r="H95" s="814"/>
      <c r="I95" s="552" t="s">
        <v>1637</v>
      </c>
      <c r="J95" s="552" t="s">
        <v>1637</v>
      </c>
      <c r="K95" s="820"/>
      <c r="L95" s="805"/>
      <c r="M95" s="532">
        <v>1</v>
      </c>
      <c r="N95" s="533" t="s">
        <v>89</v>
      </c>
      <c r="O95" s="529">
        <f t="shared" si="2"/>
        <v>205</v>
      </c>
    </row>
    <row r="96" spans="1:15">
      <c r="A96" s="811"/>
      <c r="B96" s="812"/>
      <c r="C96" s="552" t="s">
        <v>1238</v>
      </c>
      <c r="D96" s="556">
        <v>3</v>
      </c>
      <c r="E96" s="554">
        <v>205</v>
      </c>
      <c r="F96" s="555" t="s">
        <v>687</v>
      </c>
      <c r="G96" s="552" t="s">
        <v>849</v>
      </c>
      <c r="H96" s="815"/>
      <c r="I96" s="556"/>
      <c r="J96" s="556"/>
      <c r="K96" s="821"/>
      <c r="L96" s="806"/>
      <c r="M96" s="532">
        <v>1</v>
      </c>
      <c r="N96" s="533" t="s">
        <v>89</v>
      </c>
      <c r="O96" s="529">
        <f t="shared" si="2"/>
        <v>205</v>
      </c>
    </row>
    <row r="97" spans="1:15">
      <c r="A97" s="788"/>
      <c r="B97" s="789"/>
      <c r="C97" s="808" t="s">
        <v>1638</v>
      </c>
      <c r="D97" s="556">
        <v>4</v>
      </c>
      <c r="E97" s="554">
        <v>205</v>
      </c>
      <c r="F97" s="555" t="s">
        <v>687</v>
      </c>
      <c r="G97" s="552" t="s">
        <v>849</v>
      </c>
      <c r="H97" s="556"/>
      <c r="I97" s="556"/>
      <c r="J97" s="556"/>
      <c r="K97" s="556"/>
      <c r="L97" s="808" t="s">
        <v>1639</v>
      </c>
      <c r="M97" s="532">
        <v>1</v>
      </c>
      <c r="N97" s="533" t="s">
        <v>89</v>
      </c>
      <c r="O97" s="529">
        <f t="shared" si="2"/>
        <v>205</v>
      </c>
    </row>
    <row r="98" spans="1:15">
      <c r="A98" s="790"/>
      <c r="B98" s="791"/>
      <c r="C98" s="810"/>
      <c r="D98" s="556">
        <v>5</v>
      </c>
      <c r="E98" s="554">
        <v>30</v>
      </c>
      <c r="F98" s="555" t="s">
        <v>687</v>
      </c>
      <c r="G98" s="552" t="s">
        <v>849</v>
      </c>
      <c r="H98" s="556"/>
      <c r="I98" s="556"/>
      <c r="J98" s="556"/>
      <c r="K98" s="556"/>
      <c r="L98" s="810"/>
      <c r="M98" s="532">
        <v>1</v>
      </c>
      <c r="N98" s="533" t="s">
        <v>89</v>
      </c>
      <c r="O98" s="529">
        <f t="shared" si="2"/>
        <v>30</v>
      </c>
    </row>
    <row r="99" spans="1:15">
      <c r="A99" s="790"/>
      <c r="B99" s="791"/>
      <c r="C99" s="810"/>
      <c r="D99" s="556"/>
      <c r="E99" s="554"/>
      <c r="F99" s="555" t="s">
        <v>1640</v>
      </c>
      <c r="G99" s="552" t="s">
        <v>1518</v>
      </c>
      <c r="H99" s="556"/>
      <c r="I99" s="556"/>
      <c r="J99" s="556"/>
      <c r="K99" s="556"/>
      <c r="L99" s="810"/>
      <c r="M99" s="532">
        <v>1</v>
      </c>
      <c r="N99" s="533" t="s">
        <v>89</v>
      </c>
      <c r="O99" s="529">
        <f t="shared" si="2"/>
        <v>0</v>
      </c>
    </row>
    <row r="100" spans="1:15">
      <c r="A100" s="790"/>
      <c r="B100" s="791"/>
      <c r="C100" s="810"/>
      <c r="D100" s="556"/>
      <c r="E100" s="554"/>
      <c r="F100" s="564"/>
      <c r="G100" s="546" t="s">
        <v>1519</v>
      </c>
      <c r="H100" s="556"/>
      <c r="I100" s="556"/>
      <c r="J100" s="556"/>
      <c r="K100" s="556"/>
      <c r="L100" s="810"/>
      <c r="M100" s="532">
        <v>1</v>
      </c>
      <c r="N100" s="533" t="s">
        <v>89</v>
      </c>
      <c r="O100" s="529">
        <f t="shared" si="2"/>
        <v>0</v>
      </c>
    </row>
    <row r="101" spans="1:15">
      <c r="A101" s="790"/>
      <c r="B101" s="791"/>
      <c r="C101" s="810"/>
      <c r="D101" s="556"/>
      <c r="E101" s="554"/>
      <c r="F101" s="564"/>
      <c r="G101" s="552" t="s">
        <v>1641</v>
      </c>
      <c r="H101" s="556"/>
      <c r="I101" s="556"/>
      <c r="J101" s="556"/>
      <c r="K101" s="556"/>
      <c r="L101" s="810"/>
      <c r="M101" s="532">
        <v>1</v>
      </c>
      <c r="N101" s="533" t="s">
        <v>89</v>
      </c>
      <c r="O101" s="529">
        <f t="shared" si="2"/>
        <v>0</v>
      </c>
    </row>
    <row r="102" spans="1:15">
      <c r="A102" s="790"/>
      <c r="B102" s="791"/>
      <c r="C102" s="812"/>
      <c r="D102" s="556"/>
      <c r="E102" s="554"/>
      <c r="F102" s="564"/>
      <c r="G102" s="552" t="s">
        <v>1581</v>
      </c>
      <c r="H102" s="556"/>
      <c r="I102" s="556"/>
      <c r="J102" s="556"/>
      <c r="K102" s="556"/>
      <c r="L102" s="812"/>
      <c r="M102" s="532">
        <v>1</v>
      </c>
      <c r="N102" s="533" t="s">
        <v>89</v>
      </c>
      <c r="O102" s="529">
        <f t="shared" si="2"/>
        <v>0</v>
      </c>
    </row>
    <row r="103" spans="1:15">
      <c r="A103" s="790"/>
      <c r="B103" s="791"/>
      <c r="C103" s="546" t="s">
        <v>61</v>
      </c>
      <c r="D103" s="556"/>
      <c r="E103" s="554"/>
      <c r="F103" s="564"/>
      <c r="G103" s="556"/>
      <c r="H103" s="556"/>
      <c r="I103" s="556"/>
      <c r="J103" s="556"/>
      <c r="K103" s="556"/>
      <c r="L103" s="556"/>
      <c r="M103" s="532">
        <v>1</v>
      </c>
      <c r="N103" s="533" t="s">
        <v>12</v>
      </c>
      <c r="O103" s="529">
        <f t="shared" si="2"/>
        <v>0</v>
      </c>
    </row>
    <row r="104" spans="1:15">
      <c r="A104" s="816">
        <v>16</v>
      </c>
      <c r="B104" s="798"/>
      <c r="C104" s="552" t="s">
        <v>1642</v>
      </c>
      <c r="D104" s="556">
        <v>1</v>
      </c>
      <c r="E104" s="554">
        <v>30</v>
      </c>
      <c r="F104" s="555" t="s">
        <v>1643</v>
      </c>
      <c r="G104" s="552" t="s">
        <v>721</v>
      </c>
      <c r="H104" s="798">
        <v>129</v>
      </c>
      <c r="I104" s="557">
        <v>222</v>
      </c>
      <c r="J104" s="557">
        <v>550</v>
      </c>
      <c r="K104" s="557">
        <v>328</v>
      </c>
      <c r="L104" s="804" t="s">
        <v>1644</v>
      </c>
      <c r="M104" s="532">
        <v>1</v>
      </c>
      <c r="N104" s="533" t="s">
        <v>12</v>
      </c>
      <c r="O104" s="529">
        <f t="shared" si="2"/>
        <v>30</v>
      </c>
    </row>
    <row r="105" spans="1:15">
      <c r="A105" s="817"/>
      <c r="B105" s="799"/>
      <c r="C105" s="560" t="s">
        <v>1645</v>
      </c>
      <c r="D105" s="556">
        <v>2</v>
      </c>
      <c r="E105" s="554">
        <v>30</v>
      </c>
      <c r="F105" s="555" t="s">
        <v>1643</v>
      </c>
      <c r="G105" s="552" t="s">
        <v>721</v>
      </c>
      <c r="H105" s="799"/>
      <c r="I105" s="570">
        <v>-1999</v>
      </c>
      <c r="J105" s="570">
        <v>-2018</v>
      </c>
      <c r="K105" s="569">
        <v>-147.74</v>
      </c>
      <c r="L105" s="805"/>
      <c r="M105" s="532">
        <v>1</v>
      </c>
      <c r="N105" s="533" t="s">
        <v>12</v>
      </c>
      <c r="O105" s="529">
        <f t="shared" si="2"/>
        <v>30</v>
      </c>
    </row>
    <row r="106" spans="1:15">
      <c r="A106" s="818"/>
      <c r="B106" s="800"/>
      <c r="C106" s="563" t="s">
        <v>1646</v>
      </c>
      <c r="D106" s="569"/>
      <c r="E106" s="554"/>
      <c r="F106" s="571" t="s">
        <v>1647</v>
      </c>
      <c r="G106" s="563" t="s">
        <v>1648</v>
      </c>
      <c r="H106" s="800"/>
      <c r="I106" s="569"/>
      <c r="J106" s="569"/>
      <c r="K106" s="569"/>
      <c r="L106" s="806"/>
      <c r="M106" s="532">
        <v>1</v>
      </c>
      <c r="N106" s="533" t="s">
        <v>12</v>
      </c>
      <c r="O106" s="529">
        <f t="shared" si="2"/>
        <v>0</v>
      </c>
    </row>
    <row r="107" spans="1:15">
      <c r="A107" s="792">
        <v>17</v>
      </c>
      <c r="B107" s="793"/>
      <c r="C107" s="552" t="s">
        <v>1649</v>
      </c>
      <c r="D107" s="556">
        <v>1</v>
      </c>
      <c r="E107" s="554">
        <v>30</v>
      </c>
      <c r="F107" s="555" t="s">
        <v>1650</v>
      </c>
      <c r="G107" s="552" t="s">
        <v>721</v>
      </c>
      <c r="H107" s="798">
        <v>116</v>
      </c>
      <c r="I107" s="557">
        <v>136.79</v>
      </c>
      <c r="J107" s="556">
        <v>280</v>
      </c>
      <c r="K107" s="557">
        <v>143.21</v>
      </c>
      <c r="L107" s="804" t="s">
        <v>1651</v>
      </c>
      <c r="M107" s="532">
        <v>1</v>
      </c>
      <c r="N107" s="533" t="s">
        <v>12</v>
      </c>
      <c r="O107" s="529">
        <f t="shared" si="2"/>
        <v>30</v>
      </c>
    </row>
    <row r="108" spans="1:15">
      <c r="A108" s="794"/>
      <c r="B108" s="795"/>
      <c r="C108" s="560" t="s">
        <v>1652</v>
      </c>
      <c r="D108" s="556">
        <v>2</v>
      </c>
      <c r="E108" s="554">
        <v>10</v>
      </c>
      <c r="F108" s="555" t="s">
        <v>1650</v>
      </c>
      <c r="G108" s="552" t="s">
        <v>721</v>
      </c>
      <c r="H108" s="799"/>
      <c r="I108" s="570">
        <v>-2007</v>
      </c>
      <c r="J108" s="570">
        <v>-2018</v>
      </c>
      <c r="K108" s="569">
        <v>-104.69</v>
      </c>
      <c r="L108" s="805"/>
      <c r="M108" s="532">
        <v>1</v>
      </c>
      <c r="N108" s="533" t="s">
        <v>12</v>
      </c>
      <c r="O108" s="529">
        <f t="shared" si="2"/>
        <v>10</v>
      </c>
    </row>
    <row r="109" spans="1:15">
      <c r="A109" s="796"/>
      <c r="B109" s="797"/>
      <c r="C109" s="563" t="s">
        <v>1646</v>
      </c>
      <c r="D109" s="569"/>
      <c r="E109" s="554"/>
      <c r="F109" s="571" t="s">
        <v>1653</v>
      </c>
      <c r="G109" s="563" t="s">
        <v>1648</v>
      </c>
      <c r="H109" s="800"/>
      <c r="I109" s="569"/>
      <c r="J109" s="569"/>
      <c r="K109" s="569"/>
      <c r="L109" s="806"/>
      <c r="M109" s="532">
        <v>1</v>
      </c>
      <c r="N109" s="533" t="s">
        <v>12</v>
      </c>
      <c r="O109" s="529">
        <f t="shared" si="2"/>
        <v>0</v>
      </c>
    </row>
    <row r="110" spans="1:15">
      <c r="A110" s="843"/>
      <c r="B110" s="844"/>
      <c r="C110" s="572" t="s">
        <v>169</v>
      </c>
      <c r="D110" s="569"/>
      <c r="E110" s="554"/>
      <c r="F110" s="562"/>
      <c r="G110" s="569"/>
      <c r="H110" s="569"/>
      <c r="I110" s="569"/>
      <c r="J110" s="569"/>
      <c r="K110" s="569"/>
      <c r="L110" s="569"/>
      <c r="M110" s="532">
        <v>1</v>
      </c>
      <c r="N110" s="533" t="s">
        <v>9</v>
      </c>
      <c r="O110" s="529">
        <f t="shared" si="2"/>
        <v>0</v>
      </c>
    </row>
    <row r="111" spans="1:15">
      <c r="A111" s="845" t="s">
        <v>1654</v>
      </c>
      <c r="B111" s="846"/>
      <c r="C111" s="563" t="s">
        <v>1655</v>
      </c>
      <c r="D111" s="556">
        <v>1</v>
      </c>
      <c r="E111" s="554">
        <v>40</v>
      </c>
      <c r="F111" s="555" t="s">
        <v>1656</v>
      </c>
      <c r="G111" s="552" t="s">
        <v>834</v>
      </c>
      <c r="H111" s="798">
        <v>264</v>
      </c>
      <c r="I111" s="557">
        <v>1569.27</v>
      </c>
      <c r="J111" s="557">
        <v>8121</v>
      </c>
      <c r="K111" s="557">
        <v>6551.73</v>
      </c>
      <c r="L111" s="804" t="s">
        <v>1657</v>
      </c>
      <c r="M111" s="532">
        <v>1</v>
      </c>
      <c r="N111" s="533" t="s">
        <v>9</v>
      </c>
      <c r="O111" s="529">
        <f t="shared" si="2"/>
        <v>40</v>
      </c>
    </row>
    <row r="112" spans="1:15">
      <c r="A112" s="847"/>
      <c r="B112" s="848"/>
      <c r="C112" s="560" t="s">
        <v>1658</v>
      </c>
      <c r="D112" s="556">
        <v>2</v>
      </c>
      <c r="E112" s="554">
        <v>40</v>
      </c>
      <c r="F112" s="555" t="s">
        <v>1656</v>
      </c>
      <c r="G112" s="552" t="s">
        <v>1518</v>
      </c>
      <c r="H112" s="799"/>
      <c r="I112" s="552" t="s">
        <v>1659</v>
      </c>
      <c r="J112" s="552" t="s">
        <v>1660</v>
      </c>
      <c r="K112" s="569">
        <v>-417.5</v>
      </c>
      <c r="L112" s="805"/>
      <c r="M112" s="532">
        <v>1</v>
      </c>
      <c r="N112" s="533" t="s">
        <v>9</v>
      </c>
      <c r="O112" s="529">
        <f t="shared" si="2"/>
        <v>40</v>
      </c>
    </row>
    <row r="113" spans="1:15">
      <c r="A113" s="847"/>
      <c r="B113" s="848"/>
      <c r="C113" s="563" t="s">
        <v>1661</v>
      </c>
      <c r="D113" s="556">
        <v>3</v>
      </c>
      <c r="E113" s="554">
        <v>40</v>
      </c>
      <c r="F113" s="555" t="s">
        <v>1656</v>
      </c>
      <c r="G113" s="546" t="s">
        <v>1519</v>
      </c>
      <c r="H113" s="799"/>
      <c r="I113" s="556"/>
      <c r="J113" s="556"/>
      <c r="K113" s="556"/>
      <c r="L113" s="805"/>
      <c r="M113" s="532">
        <v>1</v>
      </c>
      <c r="N113" s="533" t="s">
        <v>9</v>
      </c>
      <c r="O113" s="529">
        <f t="shared" si="2"/>
        <v>40</v>
      </c>
    </row>
    <row r="114" spans="1:15">
      <c r="A114" s="847"/>
      <c r="B114" s="848"/>
      <c r="C114" s="556"/>
      <c r="D114" s="556">
        <v>4</v>
      </c>
      <c r="E114" s="554">
        <v>40</v>
      </c>
      <c r="F114" s="555" t="s">
        <v>1656</v>
      </c>
      <c r="G114" s="552" t="s">
        <v>1662</v>
      </c>
      <c r="H114" s="799"/>
      <c r="I114" s="556"/>
      <c r="J114" s="556"/>
      <c r="K114" s="556"/>
      <c r="L114" s="805"/>
      <c r="M114" s="532">
        <v>1</v>
      </c>
      <c r="N114" s="533" t="s">
        <v>9</v>
      </c>
      <c r="O114" s="529">
        <f t="shared" si="2"/>
        <v>40</v>
      </c>
    </row>
    <row r="115" spans="1:15">
      <c r="A115" s="847"/>
      <c r="B115" s="848"/>
      <c r="C115" s="556"/>
      <c r="D115" s="556">
        <v>5</v>
      </c>
      <c r="E115" s="554">
        <v>40</v>
      </c>
      <c r="F115" s="555" t="s">
        <v>1656</v>
      </c>
      <c r="G115" s="552" t="s">
        <v>1663</v>
      </c>
      <c r="H115" s="799"/>
      <c r="I115" s="556"/>
      <c r="J115" s="556"/>
      <c r="K115" s="556"/>
      <c r="L115" s="805"/>
      <c r="M115" s="532">
        <v>1</v>
      </c>
      <c r="N115" s="533" t="s">
        <v>9</v>
      </c>
      <c r="O115" s="529">
        <f t="shared" si="2"/>
        <v>40</v>
      </c>
    </row>
    <row r="116" spans="1:15">
      <c r="A116" s="847"/>
      <c r="B116" s="848"/>
      <c r="C116" s="556"/>
      <c r="D116" s="556">
        <v>6</v>
      </c>
      <c r="E116" s="554">
        <v>40</v>
      </c>
      <c r="F116" s="555" t="s">
        <v>1656</v>
      </c>
      <c r="G116" s="556"/>
      <c r="H116" s="799"/>
      <c r="I116" s="556"/>
      <c r="J116" s="556"/>
      <c r="K116" s="556"/>
      <c r="L116" s="805"/>
      <c r="M116" s="532">
        <v>1</v>
      </c>
      <c r="N116" s="533" t="s">
        <v>9</v>
      </c>
      <c r="O116" s="529">
        <f t="shared" si="2"/>
        <v>40</v>
      </c>
    </row>
    <row r="117" spans="1:15">
      <c r="A117" s="847"/>
      <c r="B117" s="848"/>
      <c r="C117" s="556"/>
      <c r="D117" s="556">
        <v>7</v>
      </c>
      <c r="E117" s="554">
        <v>40</v>
      </c>
      <c r="F117" s="555" t="s">
        <v>1656</v>
      </c>
      <c r="G117" s="556"/>
      <c r="H117" s="799"/>
      <c r="I117" s="556"/>
      <c r="J117" s="556"/>
      <c r="K117" s="556"/>
      <c r="L117" s="805"/>
      <c r="M117" s="532">
        <v>1</v>
      </c>
      <c r="N117" s="533" t="s">
        <v>9</v>
      </c>
      <c r="O117" s="529">
        <f t="shared" si="2"/>
        <v>40</v>
      </c>
    </row>
    <row r="118" spans="1:15">
      <c r="A118" s="847"/>
      <c r="B118" s="848"/>
      <c r="C118" s="556"/>
      <c r="D118" s="556">
        <v>8</v>
      </c>
      <c r="E118" s="554">
        <v>40</v>
      </c>
      <c r="F118" s="555" t="s">
        <v>1656</v>
      </c>
      <c r="G118" s="556"/>
      <c r="H118" s="799"/>
      <c r="I118" s="556"/>
      <c r="J118" s="556"/>
      <c r="K118" s="556"/>
      <c r="L118" s="805"/>
      <c r="M118" s="532">
        <v>1</v>
      </c>
      <c r="N118" s="533" t="s">
        <v>9</v>
      </c>
      <c r="O118" s="529">
        <f t="shared" si="2"/>
        <v>40</v>
      </c>
    </row>
    <row r="119" spans="1:15">
      <c r="A119" s="847"/>
      <c r="B119" s="848"/>
      <c r="C119" s="556"/>
      <c r="D119" s="556">
        <v>9</v>
      </c>
      <c r="E119" s="554">
        <v>40</v>
      </c>
      <c r="F119" s="555" t="s">
        <v>1656</v>
      </c>
      <c r="G119" s="556"/>
      <c r="H119" s="799"/>
      <c r="I119" s="556"/>
      <c r="J119" s="556"/>
      <c r="K119" s="556"/>
      <c r="L119" s="805"/>
      <c r="M119" s="532">
        <v>1</v>
      </c>
      <c r="N119" s="533" t="s">
        <v>9</v>
      </c>
      <c r="O119" s="529">
        <f t="shared" si="2"/>
        <v>40</v>
      </c>
    </row>
    <row r="120" spans="1:15">
      <c r="A120" s="847"/>
      <c r="B120" s="848"/>
      <c r="C120" s="556"/>
      <c r="D120" s="556">
        <v>10</v>
      </c>
      <c r="E120" s="554">
        <v>40</v>
      </c>
      <c r="F120" s="555" t="s">
        <v>1656</v>
      </c>
      <c r="G120" s="556"/>
      <c r="H120" s="799"/>
      <c r="I120" s="556"/>
      <c r="J120" s="556"/>
      <c r="K120" s="556"/>
      <c r="L120" s="805"/>
      <c r="M120" s="532">
        <v>1</v>
      </c>
      <c r="N120" s="533" t="s">
        <v>9</v>
      </c>
      <c r="O120" s="529">
        <f t="shared" si="2"/>
        <v>40</v>
      </c>
    </row>
    <row r="121" spans="1:15">
      <c r="A121" s="849"/>
      <c r="B121" s="850"/>
      <c r="C121" s="556"/>
      <c r="D121" s="556"/>
      <c r="E121" s="554"/>
      <c r="F121" s="555" t="s">
        <v>1664</v>
      </c>
      <c r="G121" s="556"/>
      <c r="H121" s="800"/>
      <c r="I121" s="556"/>
      <c r="J121" s="556"/>
      <c r="K121" s="556"/>
      <c r="L121" s="806"/>
      <c r="M121" s="532">
        <v>1</v>
      </c>
      <c r="N121" s="533" t="s">
        <v>9</v>
      </c>
      <c r="O121" s="529">
        <f t="shared" si="2"/>
        <v>0</v>
      </c>
    </row>
    <row r="122" spans="1:15">
      <c r="A122" s="790"/>
      <c r="B122" s="791"/>
      <c r="C122" s="546" t="s">
        <v>63</v>
      </c>
      <c r="D122" s="556"/>
      <c r="E122" s="554"/>
      <c r="F122" s="564"/>
      <c r="G122" s="556"/>
      <c r="H122" s="556"/>
      <c r="I122" s="556"/>
      <c r="J122" s="556"/>
      <c r="K122" s="556"/>
      <c r="L122" s="556"/>
      <c r="M122" s="532">
        <v>1</v>
      </c>
      <c r="N122" s="533" t="s">
        <v>10</v>
      </c>
      <c r="O122" s="529">
        <f t="shared" si="2"/>
        <v>0</v>
      </c>
    </row>
    <row r="123" spans="1:15">
      <c r="A123" s="857" t="s">
        <v>1665</v>
      </c>
      <c r="B123" s="858"/>
      <c r="C123" s="858" t="s">
        <v>1666</v>
      </c>
      <c r="D123" s="584">
        <v>1</v>
      </c>
      <c r="E123" s="585">
        <v>40</v>
      </c>
      <c r="F123" s="586" t="s">
        <v>1360</v>
      </c>
      <c r="G123" s="587" t="s">
        <v>849</v>
      </c>
      <c r="H123" s="863">
        <v>137</v>
      </c>
      <c r="I123" s="588">
        <v>245.02</v>
      </c>
      <c r="J123" s="588">
        <v>1403.77</v>
      </c>
      <c r="K123" s="588">
        <v>1158.75</v>
      </c>
      <c r="L123" s="866" t="s">
        <v>1667</v>
      </c>
      <c r="M123" s="589">
        <v>0</v>
      </c>
      <c r="N123" s="590" t="s">
        <v>10</v>
      </c>
      <c r="O123" s="591">
        <f t="shared" si="2"/>
        <v>0</v>
      </c>
    </row>
    <row r="124" spans="1:15">
      <c r="A124" s="859"/>
      <c r="B124" s="860"/>
      <c r="C124" s="860"/>
      <c r="D124" s="584">
        <v>2</v>
      </c>
      <c r="E124" s="585">
        <v>40</v>
      </c>
      <c r="F124" s="586" t="s">
        <v>1360</v>
      </c>
      <c r="G124" s="587" t="s">
        <v>1518</v>
      </c>
      <c r="H124" s="864"/>
      <c r="I124" s="592">
        <v>-1999</v>
      </c>
      <c r="J124" s="592">
        <v>-2014</v>
      </c>
      <c r="K124" s="593">
        <v>-472.92</v>
      </c>
      <c r="L124" s="867"/>
      <c r="M124" s="589">
        <v>0</v>
      </c>
      <c r="N124" s="590" t="s">
        <v>10</v>
      </c>
      <c r="O124" s="591">
        <f t="shared" si="2"/>
        <v>0</v>
      </c>
    </row>
    <row r="125" spans="1:15">
      <c r="A125" s="859"/>
      <c r="B125" s="860"/>
      <c r="C125" s="860"/>
      <c r="D125" s="593"/>
      <c r="E125" s="585"/>
      <c r="F125" s="594" t="s">
        <v>1668</v>
      </c>
      <c r="G125" s="595" t="s">
        <v>1519</v>
      </c>
      <c r="H125" s="864"/>
      <c r="I125" s="593"/>
      <c r="J125" s="593"/>
      <c r="K125" s="593"/>
      <c r="L125" s="867"/>
      <c r="M125" s="589">
        <v>0</v>
      </c>
      <c r="N125" s="590" t="s">
        <v>10</v>
      </c>
      <c r="O125" s="591">
        <f t="shared" si="2"/>
        <v>0</v>
      </c>
    </row>
    <row r="126" spans="1:15">
      <c r="A126" s="859"/>
      <c r="B126" s="860"/>
      <c r="C126" s="860"/>
      <c r="D126" s="593"/>
      <c r="E126" s="585"/>
      <c r="F126" s="596"/>
      <c r="G126" s="597" t="s">
        <v>1624</v>
      </c>
      <c r="H126" s="864"/>
      <c r="I126" s="593"/>
      <c r="J126" s="593"/>
      <c r="K126" s="593"/>
      <c r="L126" s="867"/>
      <c r="M126" s="589">
        <v>0</v>
      </c>
      <c r="N126" s="590" t="s">
        <v>10</v>
      </c>
      <c r="O126" s="591">
        <f t="shared" si="2"/>
        <v>0</v>
      </c>
    </row>
    <row r="127" spans="1:15">
      <c r="A127" s="861"/>
      <c r="B127" s="862"/>
      <c r="C127" s="862"/>
      <c r="D127" s="593"/>
      <c r="E127" s="585"/>
      <c r="F127" s="596"/>
      <c r="G127" s="597" t="s">
        <v>1663</v>
      </c>
      <c r="H127" s="865"/>
      <c r="I127" s="593"/>
      <c r="J127" s="593"/>
      <c r="K127" s="593"/>
      <c r="L127" s="868"/>
      <c r="M127" s="589">
        <v>0</v>
      </c>
      <c r="N127" s="590" t="s">
        <v>10</v>
      </c>
      <c r="O127" s="591">
        <f t="shared" si="2"/>
        <v>0</v>
      </c>
    </row>
    <row r="128" spans="1:15">
      <c r="A128" s="843"/>
      <c r="B128" s="844"/>
      <c r="C128" s="572" t="s">
        <v>69</v>
      </c>
      <c r="D128" s="569"/>
      <c r="E128" s="554"/>
      <c r="F128" s="562"/>
      <c r="G128" s="569"/>
      <c r="H128" s="569"/>
      <c r="I128" s="569"/>
      <c r="J128" s="569"/>
      <c r="K128" s="569"/>
      <c r="L128" s="569"/>
      <c r="M128" s="532">
        <v>1</v>
      </c>
      <c r="N128" s="533" t="s">
        <v>1</v>
      </c>
      <c r="O128" s="529">
        <f t="shared" si="2"/>
        <v>0</v>
      </c>
    </row>
    <row r="129" spans="1:15">
      <c r="A129" s="851">
        <v>20</v>
      </c>
      <c r="B129" s="813"/>
      <c r="C129" s="598" t="s">
        <v>1669</v>
      </c>
      <c r="D129" s="599">
        <v>1</v>
      </c>
      <c r="E129" s="600">
        <v>33</v>
      </c>
      <c r="F129" s="601" t="s">
        <v>1361</v>
      </c>
      <c r="G129" s="598" t="s">
        <v>1505</v>
      </c>
      <c r="H129" s="556"/>
      <c r="I129" s="602">
        <v>1835.5</v>
      </c>
      <c r="J129" s="602">
        <v>1938.74</v>
      </c>
      <c r="K129" s="602">
        <v>103.24</v>
      </c>
      <c r="L129" s="854" t="s">
        <v>1670</v>
      </c>
      <c r="M129" s="532">
        <v>1</v>
      </c>
      <c r="N129" s="533" t="s">
        <v>1</v>
      </c>
      <c r="O129" s="529">
        <f t="shared" si="2"/>
        <v>33</v>
      </c>
    </row>
    <row r="130" spans="1:15">
      <c r="A130" s="852"/>
      <c r="B130" s="814"/>
      <c r="C130" s="560" t="s">
        <v>1671</v>
      </c>
      <c r="D130" s="556">
        <v>2</v>
      </c>
      <c r="E130" s="554">
        <v>33</v>
      </c>
      <c r="F130" s="555" t="s">
        <v>1361</v>
      </c>
      <c r="G130" s="552" t="s">
        <v>1505</v>
      </c>
      <c r="H130" s="556"/>
      <c r="I130" s="552" t="s">
        <v>1672</v>
      </c>
      <c r="J130" s="552" t="s">
        <v>1673</v>
      </c>
      <c r="K130" s="569">
        <v>-5.62</v>
      </c>
      <c r="L130" s="855"/>
      <c r="M130" s="532">
        <v>1</v>
      </c>
      <c r="N130" s="533" t="s">
        <v>1</v>
      </c>
      <c r="O130" s="529">
        <f t="shared" si="2"/>
        <v>33</v>
      </c>
    </row>
    <row r="131" spans="1:15" ht="24">
      <c r="A131" s="852"/>
      <c r="B131" s="814"/>
      <c r="C131" s="563" t="s">
        <v>1674</v>
      </c>
      <c r="D131" s="556">
        <v>3</v>
      </c>
      <c r="E131" s="554">
        <v>33</v>
      </c>
      <c r="F131" s="555" t="s">
        <v>1361</v>
      </c>
      <c r="G131" s="552" t="s">
        <v>1505</v>
      </c>
      <c r="H131" s="556">
        <v>105</v>
      </c>
      <c r="I131" s="552" t="s">
        <v>1511</v>
      </c>
      <c r="J131" s="552" t="s">
        <v>1512</v>
      </c>
      <c r="K131" s="556"/>
      <c r="L131" s="855"/>
      <c r="M131" s="532">
        <v>1</v>
      </c>
      <c r="N131" s="533" t="s">
        <v>1</v>
      </c>
      <c r="O131" s="529">
        <f t="shared" si="2"/>
        <v>33</v>
      </c>
    </row>
    <row r="132" spans="1:15">
      <c r="A132" s="852"/>
      <c r="B132" s="814"/>
      <c r="C132" s="552" t="s">
        <v>1675</v>
      </c>
      <c r="D132" s="556">
        <v>4</v>
      </c>
      <c r="E132" s="554">
        <v>33</v>
      </c>
      <c r="F132" s="555" t="s">
        <v>1361</v>
      </c>
      <c r="G132" s="552" t="s">
        <v>1505</v>
      </c>
      <c r="H132" s="556"/>
      <c r="I132" s="552" t="s">
        <v>1514</v>
      </c>
      <c r="J132" s="556"/>
      <c r="K132" s="556"/>
      <c r="L132" s="855"/>
      <c r="M132" s="532">
        <v>1</v>
      </c>
      <c r="N132" s="533" t="s">
        <v>1</v>
      </c>
      <c r="O132" s="529">
        <f t="shared" si="2"/>
        <v>33</v>
      </c>
    </row>
    <row r="133" spans="1:15">
      <c r="A133" s="852"/>
      <c r="B133" s="814"/>
      <c r="C133" s="556"/>
      <c r="D133" s="556">
        <v>5</v>
      </c>
      <c r="E133" s="554">
        <v>33</v>
      </c>
      <c r="F133" s="555" t="s">
        <v>1361</v>
      </c>
      <c r="G133" s="552" t="s">
        <v>1505</v>
      </c>
      <c r="H133" s="556"/>
      <c r="I133" s="556"/>
      <c r="J133" s="556"/>
      <c r="K133" s="556"/>
      <c r="L133" s="855"/>
      <c r="M133" s="532">
        <v>1</v>
      </c>
      <c r="N133" s="533" t="s">
        <v>1</v>
      </c>
      <c r="O133" s="529">
        <f t="shared" si="2"/>
        <v>33</v>
      </c>
    </row>
    <row r="134" spans="1:15">
      <c r="A134" s="852"/>
      <c r="B134" s="814"/>
      <c r="C134" s="556"/>
      <c r="D134" s="556">
        <v>6</v>
      </c>
      <c r="E134" s="554">
        <v>33</v>
      </c>
      <c r="F134" s="555" t="s">
        <v>1361</v>
      </c>
      <c r="G134" s="552" t="s">
        <v>1505</v>
      </c>
      <c r="H134" s="556">
        <v>105</v>
      </c>
      <c r="I134" s="556"/>
      <c r="J134" s="556"/>
      <c r="K134" s="556"/>
      <c r="L134" s="855"/>
      <c r="M134" s="532">
        <v>1</v>
      </c>
      <c r="N134" s="533" t="s">
        <v>1</v>
      </c>
      <c r="O134" s="529">
        <f t="shared" si="2"/>
        <v>33</v>
      </c>
    </row>
    <row r="135" spans="1:15">
      <c r="A135" s="852"/>
      <c r="B135" s="814"/>
      <c r="C135" s="556"/>
      <c r="D135" s="556">
        <v>7</v>
      </c>
      <c r="E135" s="554">
        <v>8</v>
      </c>
      <c r="F135" s="555" t="s">
        <v>1361</v>
      </c>
      <c r="G135" s="552" t="s">
        <v>1505</v>
      </c>
      <c r="H135" s="556"/>
      <c r="I135" s="556"/>
      <c r="J135" s="556"/>
      <c r="K135" s="556"/>
      <c r="L135" s="855"/>
      <c r="M135" s="532">
        <v>1</v>
      </c>
      <c r="N135" s="533" t="s">
        <v>1</v>
      </c>
      <c r="O135" s="529">
        <f t="shared" si="2"/>
        <v>8</v>
      </c>
    </row>
    <row r="136" spans="1:15">
      <c r="A136" s="853"/>
      <c r="B136" s="815"/>
      <c r="C136" s="556"/>
      <c r="D136" s="556"/>
      <c r="E136" s="554"/>
      <c r="F136" s="564"/>
      <c r="G136" s="552" t="s">
        <v>1676</v>
      </c>
      <c r="H136" s="556"/>
      <c r="I136" s="556"/>
      <c r="J136" s="556"/>
      <c r="K136" s="556"/>
      <c r="L136" s="856"/>
      <c r="M136" s="532">
        <v>1</v>
      </c>
      <c r="N136" s="533" t="s">
        <v>1</v>
      </c>
      <c r="O136" s="529">
        <f t="shared" ref="O136:O199" si="3">M136*E136</f>
        <v>0</v>
      </c>
    </row>
    <row r="137" spans="1:15">
      <c r="A137" s="790"/>
      <c r="B137" s="791"/>
      <c r="C137" s="546" t="s">
        <v>71</v>
      </c>
      <c r="D137" s="556"/>
      <c r="E137" s="554"/>
      <c r="F137" s="564"/>
      <c r="G137" s="556"/>
      <c r="H137" s="556"/>
      <c r="I137" s="556"/>
      <c r="J137" s="556"/>
      <c r="K137" s="556"/>
      <c r="L137" s="556"/>
      <c r="M137" s="532">
        <v>1</v>
      </c>
      <c r="N137" s="533" t="s">
        <v>90</v>
      </c>
      <c r="O137" s="529">
        <f t="shared" si="3"/>
        <v>0</v>
      </c>
    </row>
    <row r="138" spans="1:15">
      <c r="A138" s="792">
        <v>21</v>
      </c>
      <c r="B138" s="793"/>
      <c r="C138" s="808" t="s">
        <v>1677</v>
      </c>
      <c r="D138" s="556">
        <v>1</v>
      </c>
      <c r="E138" s="554">
        <v>125</v>
      </c>
      <c r="F138" s="555" t="s">
        <v>1650</v>
      </c>
      <c r="G138" s="552" t="s">
        <v>834</v>
      </c>
      <c r="H138" s="813">
        <v>72</v>
      </c>
      <c r="I138" s="557">
        <v>5748.04</v>
      </c>
      <c r="J138" s="557">
        <v>5748.04</v>
      </c>
      <c r="K138" s="819" t="s">
        <v>1634</v>
      </c>
      <c r="L138" s="583" t="s">
        <v>1678</v>
      </c>
      <c r="M138" s="532">
        <v>1</v>
      </c>
      <c r="N138" s="533" t="s">
        <v>90</v>
      </c>
      <c r="O138" s="529">
        <f t="shared" si="3"/>
        <v>125</v>
      </c>
    </row>
    <row r="139" spans="1:15">
      <c r="A139" s="794"/>
      <c r="B139" s="795"/>
      <c r="C139" s="810"/>
      <c r="D139" s="556">
        <v>2</v>
      </c>
      <c r="E139" s="554">
        <v>125</v>
      </c>
      <c r="F139" s="555" t="s">
        <v>1650</v>
      </c>
      <c r="G139" s="552" t="s">
        <v>834</v>
      </c>
      <c r="H139" s="814"/>
      <c r="I139" s="552" t="s">
        <v>1679</v>
      </c>
      <c r="J139" s="552" t="s">
        <v>1679</v>
      </c>
      <c r="K139" s="820"/>
      <c r="L139" s="567" t="s">
        <v>1680</v>
      </c>
      <c r="M139" s="532">
        <v>1</v>
      </c>
      <c r="N139" s="533" t="s">
        <v>90</v>
      </c>
      <c r="O139" s="529">
        <f t="shared" si="3"/>
        <v>125</v>
      </c>
    </row>
    <row r="140" spans="1:15">
      <c r="A140" s="794"/>
      <c r="B140" s="795"/>
      <c r="C140" s="810"/>
      <c r="D140" s="556">
        <v>3</v>
      </c>
      <c r="E140" s="554">
        <v>125</v>
      </c>
      <c r="F140" s="555" t="s">
        <v>1650</v>
      </c>
      <c r="G140" s="552" t="s">
        <v>834</v>
      </c>
      <c r="H140" s="814"/>
      <c r="I140" s="556"/>
      <c r="J140" s="556"/>
      <c r="K140" s="820"/>
      <c r="L140" s="567" t="s">
        <v>1681</v>
      </c>
      <c r="M140" s="532">
        <v>1</v>
      </c>
      <c r="N140" s="533" t="s">
        <v>90</v>
      </c>
      <c r="O140" s="529">
        <f t="shared" si="3"/>
        <v>125</v>
      </c>
    </row>
    <row r="141" spans="1:15">
      <c r="A141" s="794"/>
      <c r="B141" s="795"/>
      <c r="C141" s="810"/>
      <c r="D141" s="556">
        <v>4</v>
      </c>
      <c r="E141" s="554">
        <v>125</v>
      </c>
      <c r="F141" s="555" t="s">
        <v>1650</v>
      </c>
      <c r="G141" s="552" t="s">
        <v>834</v>
      </c>
      <c r="H141" s="814"/>
      <c r="I141" s="556"/>
      <c r="J141" s="556"/>
      <c r="K141" s="820"/>
      <c r="L141" s="567" t="s">
        <v>1682</v>
      </c>
      <c r="M141" s="532">
        <v>1</v>
      </c>
      <c r="N141" s="533" t="s">
        <v>90</v>
      </c>
      <c r="O141" s="529">
        <f t="shared" si="3"/>
        <v>125</v>
      </c>
    </row>
    <row r="142" spans="1:15" ht="27.75">
      <c r="A142" s="794"/>
      <c r="B142" s="795"/>
      <c r="C142" s="810"/>
      <c r="D142" s="556"/>
      <c r="E142" s="554"/>
      <c r="F142" s="555" t="s">
        <v>1683</v>
      </c>
      <c r="G142" s="552" t="s">
        <v>1684</v>
      </c>
      <c r="H142" s="814"/>
      <c r="I142" s="556"/>
      <c r="J142" s="556"/>
      <c r="K142" s="820"/>
      <c r="L142" s="552" t="s">
        <v>1685</v>
      </c>
      <c r="M142" s="532">
        <v>1</v>
      </c>
      <c r="N142" s="533" t="s">
        <v>90</v>
      </c>
      <c r="O142" s="529">
        <f t="shared" si="3"/>
        <v>0</v>
      </c>
    </row>
    <row r="143" spans="1:15">
      <c r="A143" s="794"/>
      <c r="B143" s="795"/>
      <c r="C143" s="810"/>
      <c r="D143" s="556"/>
      <c r="E143" s="554"/>
      <c r="F143" s="564"/>
      <c r="G143" s="556"/>
      <c r="H143" s="814"/>
      <c r="I143" s="556"/>
      <c r="J143" s="556"/>
      <c r="K143" s="820"/>
      <c r="L143" s="546" t="s">
        <v>1686</v>
      </c>
      <c r="M143" s="532">
        <v>1</v>
      </c>
      <c r="N143" s="533" t="s">
        <v>90</v>
      </c>
      <c r="O143" s="529">
        <f t="shared" si="3"/>
        <v>0</v>
      </c>
    </row>
    <row r="144" spans="1:15">
      <c r="A144" s="794"/>
      <c r="B144" s="795"/>
      <c r="C144" s="810"/>
      <c r="D144" s="556"/>
      <c r="E144" s="554"/>
      <c r="F144" s="564"/>
      <c r="G144" s="556"/>
      <c r="H144" s="814"/>
      <c r="I144" s="556"/>
      <c r="J144" s="556"/>
      <c r="K144" s="820"/>
      <c r="L144" s="546" t="s">
        <v>1687</v>
      </c>
      <c r="M144" s="532">
        <v>1</v>
      </c>
      <c r="N144" s="533" t="s">
        <v>90</v>
      </c>
      <c r="O144" s="529">
        <f t="shared" si="3"/>
        <v>0</v>
      </c>
    </row>
    <row r="145" spans="1:15">
      <c r="A145" s="794"/>
      <c r="B145" s="795"/>
      <c r="C145" s="810"/>
      <c r="D145" s="556"/>
      <c r="E145" s="554"/>
      <c r="F145" s="564"/>
      <c r="G145" s="556"/>
      <c r="H145" s="814"/>
      <c r="I145" s="556"/>
      <c r="J145" s="556"/>
      <c r="K145" s="820"/>
      <c r="L145" s="546" t="s">
        <v>1688</v>
      </c>
      <c r="M145" s="532">
        <v>1</v>
      </c>
      <c r="N145" s="533" t="s">
        <v>90</v>
      </c>
      <c r="O145" s="529">
        <f t="shared" si="3"/>
        <v>0</v>
      </c>
    </row>
    <row r="146" spans="1:15" ht="36">
      <c r="A146" s="796"/>
      <c r="B146" s="797"/>
      <c r="C146" s="812"/>
      <c r="D146" s="556"/>
      <c r="E146" s="554"/>
      <c r="F146" s="564"/>
      <c r="G146" s="556"/>
      <c r="H146" s="815"/>
      <c r="I146" s="556"/>
      <c r="J146" s="556"/>
      <c r="K146" s="821"/>
      <c r="L146" s="546" t="s">
        <v>1689</v>
      </c>
      <c r="M146" s="532">
        <v>1</v>
      </c>
      <c r="N146" s="533" t="s">
        <v>90</v>
      </c>
      <c r="O146" s="529">
        <f t="shared" si="3"/>
        <v>0</v>
      </c>
    </row>
    <row r="147" spans="1:15">
      <c r="A147" s="807" t="s">
        <v>1690</v>
      </c>
      <c r="B147" s="808"/>
      <c r="C147" s="552" t="s">
        <v>1691</v>
      </c>
      <c r="D147" s="556">
        <v>1</v>
      </c>
      <c r="E147" s="554">
        <v>25.5</v>
      </c>
      <c r="F147" s="580" t="s">
        <v>1650</v>
      </c>
      <c r="G147" s="581" t="s">
        <v>1505</v>
      </c>
      <c r="H147" s="798">
        <v>153</v>
      </c>
      <c r="I147" s="557">
        <v>408.5</v>
      </c>
      <c r="J147" s="557">
        <v>746.01</v>
      </c>
      <c r="K147" s="557">
        <v>337.51</v>
      </c>
      <c r="L147" s="804" t="s">
        <v>1692</v>
      </c>
      <c r="M147" s="532">
        <v>1</v>
      </c>
      <c r="N147" s="533" t="s">
        <v>90</v>
      </c>
      <c r="O147" s="529">
        <f t="shared" si="3"/>
        <v>25.5</v>
      </c>
    </row>
    <row r="148" spans="1:15">
      <c r="A148" s="809"/>
      <c r="B148" s="810"/>
      <c r="C148" s="560" t="s">
        <v>1693</v>
      </c>
      <c r="D148" s="556">
        <v>2</v>
      </c>
      <c r="E148" s="554">
        <v>25.5</v>
      </c>
      <c r="F148" s="580" t="s">
        <v>1650</v>
      </c>
      <c r="G148" s="581" t="s">
        <v>1505</v>
      </c>
      <c r="H148" s="799"/>
      <c r="I148" s="581" t="s">
        <v>1694</v>
      </c>
      <c r="J148" s="581" t="s">
        <v>1695</v>
      </c>
      <c r="K148" s="569">
        <v>-82.62</v>
      </c>
      <c r="L148" s="805"/>
      <c r="M148" s="532">
        <v>1</v>
      </c>
      <c r="N148" s="533" t="s">
        <v>90</v>
      </c>
      <c r="O148" s="529">
        <f t="shared" si="3"/>
        <v>25.5</v>
      </c>
    </row>
    <row r="149" spans="1:15">
      <c r="A149" s="809"/>
      <c r="B149" s="810"/>
      <c r="C149" s="563" t="s">
        <v>1696</v>
      </c>
      <c r="D149" s="569"/>
      <c r="E149" s="554"/>
      <c r="F149" s="571" t="s">
        <v>1697</v>
      </c>
      <c r="G149" s="563" t="s">
        <v>1518</v>
      </c>
      <c r="H149" s="799"/>
      <c r="I149" s="569"/>
      <c r="J149" s="569"/>
      <c r="K149" s="569"/>
      <c r="L149" s="805"/>
      <c r="M149" s="532">
        <v>1</v>
      </c>
      <c r="N149" s="533" t="s">
        <v>90</v>
      </c>
      <c r="O149" s="529">
        <f t="shared" si="3"/>
        <v>0</v>
      </c>
    </row>
    <row r="150" spans="1:15">
      <c r="A150" s="809"/>
      <c r="B150" s="810"/>
      <c r="C150" s="569"/>
      <c r="D150" s="569"/>
      <c r="E150" s="554"/>
      <c r="F150" s="562"/>
      <c r="G150" s="572" t="s">
        <v>1519</v>
      </c>
      <c r="H150" s="799"/>
      <c r="I150" s="569"/>
      <c r="J150" s="569"/>
      <c r="K150" s="569"/>
      <c r="L150" s="805"/>
      <c r="M150" s="532">
        <v>1</v>
      </c>
      <c r="N150" s="533" t="s">
        <v>90</v>
      </c>
      <c r="O150" s="529">
        <f t="shared" si="3"/>
        <v>0</v>
      </c>
    </row>
    <row r="151" spans="1:15">
      <c r="A151" s="809"/>
      <c r="B151" s="810"/>
      <c r="C151" s="569"/>
      <c r="D151" s="569"/>
      <c r="E151" s="554"/>
      <c r="F151" s="562"/>
      <c r="G151" s="563" t="s">
        <v>1698</v>
      </c>
      <c r="H151" s="799"/>
      <c r="I151" s="569"/>
      <c r="J151" s="569"/>
      <c r="K151" s="569"/>
      <c r="L151" s="805"/>
      <c r="M151" s="532">
        <v>1</v>
      </c>
      <c r="N151" s="533" t="s">
        <v>90</v>
      </c>
      <c r="O151" s="529">
        <f t="shared" si="3"/>
        <v>0</v>
      </c>
    </row>
    <row r="152" spans="1:15">
      <c r="A152" s="811"/>
      <c r="B152" s="812"/>
      <c r="C152" s="569"/>
      <c r="D152" s="569"/>
      <c r="E152" s="554"/>
      <c r="F152" s="562"/>
      <c r="G152" s="563" t="s">
        <v>1581</v>
      </c>
      <c r="H152" s="800"/>
      <c r="I152" s="569"/>
      <c r="J152" s="569"/>
      <c r="K152" s="569"/>
      <c r="L152" s="806"/>
      <c r="M152" s="532">
        <v>1</v>
      </c>
      <c r="N152" s="533" t="s">
        <v>90</v>
      </c>
      <c r="O152" s="529">
        <f t="shared" si="3"/>
        <v>0</v>
      </c>
    </row>
    <row r="153" spans="1:15">
      <c r="A153" s="845" t="s">
        <v>1699</v>
      </c>
      <c r="B153" s="846"/>
      <c r="C153" s="846" t="s">
        <v>1700</v>
      </c>
      <c r="D153" s="556">
        <v>1</v>
      </c>
      <c r="E153" s="554">
        <v>40</v>
      </c>
      <c r="F153" s="555" t="s">
        <v>1565</v>
      </c>
      <c r="G153" s="552" t="s">
        <v>1505</v>
      </c>
      <c r="H153" s="813">
        <v>158</v>
      </c>
      <c r="I153" s="557">
        <v>726.17</v>
      </c>
      <c r="J153" s="557">
        <v>1692.6</v>
      </c>
      <c r="K153" s="557">
        <v>966.43</v>
      </c>
      <c r="L153" s="560" t="s">
        <v>1701</v>
      </c>
      <c r="M153" s="532">
        <v>1</v>
      </c>
      <c r="N153" s="533" t="s">
        <v>90</v>
      </c>
      <c r="O153" s="529">
        <f t="shared" si="3"/>
        <v>40</v>
      </c>
    </row>
    <row r="154" spans="1:15">
      <c r="A154" s="847"/>
      <c r="B154" s="848"/>
      <c r="C154" s="848"/>
      <c r="D154" s="556">
        <v>2</v>
      </c>
      <c r="E154" s="554">
        <v>40</v>
      </c>
      <c r="F154" s="555" t="s">
        <v>1565</v>
      </c>
      <c r="G154" s="552" t="s">
        <v>1505</v>
      </c>
      <c r="H154" s="814"/>
      <c r="I154" s="552" t="s">
        <v>1702</v>
      </c>
      <c r="J154" s="552" t="s">
        <v>1703</v>
      </c>
      <c r="K154" s="569">
        <v>-133.08000000000001</v>
      </c>
      <c r="L154" s="563" t="s">
        <v>1704</v>
      </c>
      <c r="M154" s="532">
        <v>1</v>
      </c>
      <c r="N154" s="533" t="s">
        <v>90</v>
      </c>
      <c r="O154" s="529">
        <f t="shared" si="3"/>
        <v>40</v>
      </c>
    </row>
    <row r="155" spans="1:15">
      <c r="A155" s="847"/>
      <c r="B155" s="848"/>
      <c r="C155" s="848"/>
      <c r="D155" s="556">
        <v>3</v>
      </c>
      <c r="E155" s="554">
        <v>40</v>
      </c>
      <c r="F155" s="555" t="s">
        <v>1565</v>
      </c>
      <c r="G155" s="552" t="s">
        <v>1505</v>
      </c>
      <c r="H155" s="814"/>
      <c r="I155" s="556"/>
      <c r="J155" s="556"/>
      <c r="K155" s="556"/>
      <c r="L155" s="552" t="s">
        <v>1705</v>
      </c>
      <c r="M155" s="532">
        <v>1</v>
      </c>
      <c r="N155" s="533" t="s">
        <v>90</v>
      </c>
      <c r="O155" s="529">
        <f t="shared" si="3"/>
        <v>40</v>
      </c>
    </row>
    <row r="156" spans="1:15">
      <c r="A156" s="847"/>
      <c r="B156" s="848"/>
      <c r="C156" s="848"/>
      <c r="D156" s="556"/>
      <c r="E156" s="554"/>
      <c r="F156" s="555" t="s">
        <v>1706</v>
      </c>
      <c r="G156" s="552" t="s">
        <v>1518</v>
      </c>
      <c r="H156" s="814"/>
      <c r="I156" s="556"/>
      <c r="J156" s="556"/>
      <c r="K156" s="556"/>
      <c r="L156" s="552" t="s">
        <v>1707</v>
      </c>
      <c r="M156" s="532">
        <v>1</v>
      </c>
      <c r="N156" s="533" t="s">
        <v>90</v>
      </c>
      <c r="O156" s="529">
        <f t="shared" si="3"/>
        <v>0</v>
      </c>
    </row>
    <row r="157" spans="1:15">
      <c r="A157" s="847"/>
      <c r="B157" s="848"/>
      <c r="C157" s="848"/>
      <c r="D157" s="556"/>
      <c r="E157" s="554"/>
      <c r="F157" s="564"/>
      <c r="G157" s="546" t="s">
        <v>1519</v>
      </c>
      <c r="H157" s="814"/>
      <c r="I157" s="556"/>
      <c r="J157" s="556"/>
      <c r="K157" s="556"/>
      <c r="L157" s="552" t="s">
        <v>1708</v>
      </c>
      <c r="M157" s="532">
        <v>1</v>
      </c>
      <c r="N157" s="533" t="s">
        <v>90</v>
      </c>
      <c r="O157" s="529">
        <f t="shared" si="3"/>
        <v>0</v>
      </c>
    </row>
    <row r="158" spans="1:15">
      <c r="A158" s="847"/>
      <c r="B158" s="848"/>
      <c r="C158" s="848"/>
      <c r="D158" s="556"/>
      <c r="E158" s="554"/>
      <c r="F158" s="564"/>
      <c r="G158" s="552" t="s">
        <v>1709</v>
      </c>
      <c r="H158" s="814"/>
      <c r="I158" s="556"/>
      <c r="J158" s="556"/>
      <c r="K158" s="556"/>
      <c r="L158" s="552" t="s">
        <v>1710</v>
      </c>
      <c r="M158" s="532">
        <v>1</v>
      </c>
      <c r="N158" s="533" t="s">
        <v>90</v>
      </c>
      <c r="O158" s="529">
        <f t="shared" si="3"/>
        <v>0</v>
      </c>
    </row>
    <row r="159" spans="1:15" ht="72">
      <c r="A159" s="849"/>
      <c r="B159" s="850"/>
      <c r="C159" s="850"/>
      <c r="D159" s="556"/>
      <c r="E159" s="554"/>
      <c r="F159" s="564"/>
      <c r="G159" s="552" t="s">
        <v>1711</v>
      </c>
      <c r="H159" s="815"/>
      <c r="I159" s="556"/>
      <c r="J159" s="556"/>
      <c r="K159" s="556"/>
      <c r="L159" s="552" t="s">
        <v>1712</v>
      </c>
      <c r="M159" s="532">
        <v>1</v>
      </c>
      <c r="N159" s="533" t="s">
        <v>90</v>
      </c>
      <c r="O159" s="529">
        <f t="shared" si="3"/>
        <v>0</v>
      </c>
    </row>
    <row r="160" spans="1:15" ht="36">
      <c r="A160" s="788"/>
      <c r="B160" s="789"/>
      <c r="C160" s="550"/>
      <c r="D160" s="550"/>
      <c r="E160" s="548"/>
      <c r="F160" s="549"/>
      <c r="G160" s="550"/>
      <c r="H160" s="550"/>
      <c r="I160" s="550"/>
      <c r="J160" s="550"/>
      <c r="K160" s="550"/>
      <c r="L160" s="552" t="s">
        <v>1713</v>
      </c>
      <c r="M160" s="532">
        <v>1</v>
      </c>
      <c r="N160" s="533" t="s">
        <v>90</v>
      </c>
      <c r="O160" s="529">
        <f t="shared" si="3"/>
        <v>0</v>
      </c>
    </row>
    <row r="161" spans="1:15">
      <c r="A161" s="807" t="s">
        <v>1714</v>
      </c>
      <c r="B161" s="808"/>
      <c r="C161" s="552" t="s">
        <v>1715</v>
      </c>
      <c r="D161" s="556">
        <v>1</v>
      </c>
      <c r="E161" s="554">
        <v>33</v>
      </c>
      <c r="F161" s="555" t="s">
        <v>1361</v>
      </c>
      <c r="G161" s="552" t="s">
        <v>1505</v>
      </c>
      <c r="H161" s="798">
        <v>119</v>
      </c>
      <c r="I161" s="557">
        <v>496.44</v>
      </c>
      <c r="J161" s="557">
        <v>496.44</v>
      </c>
      <c r="K161" s="819" t="s">
        <v>1549</v>
      </c>
      <c r="L161" s="583" t="s">
        <v>1716</v>
      </c>
      <c r="M161" s="532">
        <v>1</v>
      </c>
      <c r="N161" s="533" t="s">
        <v>90</v>
      </c>
      <c r="O161" s="529">
        <f t="shared" si="3"/>
        <v>33</v>
      </c>
    </row>
    <row r="162" spans="1:15">
      <c r="A162" s="809"/>
      <c r="B162" s="810"/>
      <c r="C162" s="560" t="s">
        <v>1717</v>
      </c>
      <c r="D162" s="556">
        <v>2</v>
      </c>
      <c r="E162" s="554">
        <v>33</v>
      </c>
      <c r="F162" s="555" t="s">
        <v>1361</v>
      </c>
      <c r="G162" s="552" t="s">
        <v>1505</v>
      </c>
      <c r="H162" s="799"/>
      <c r="I162" s="552" t="s">
        <v>1702</v>
      </c>
      <c r="J162" s="552" t="s">
        <v>1702</v>
      </c>
      <c r="K162" s="820"/>
      <c r="L162" s="552" t="s">
        <v>1718</v>
      </c>
      <c r="M162" s="532">
        <v>1</v>
      </c>
      <c r="N162" s="533" t="s">
        <v>90</v>
      </c>
      <c r="O162" s="529">
        <f t="shared" si="3"/>
        <v>33</v>
      </c>
    </row>
    <row r="163" spans="1:15">
      <c r="A163" s="809"/>
      <c r="B163" s="810"/>
      <c r="C163" s="552" t="s">
        <v>1719</v>
      </c>
      <c r="D163" s="556"/>
      <c r="E163" s="554"/>
      <c r="F163" s="555" t="s">
        <v>1720</v>
      </c>
      <c r="G163" s="552" t="s">
        <v>1518</v>
      </c>
      <c r="H163" s="799"/>
      <c r="I163" s="556"/>
      <c r="J163" s="556"/>
      <c r="K163" s="820"/>
      <c r="L163" s="552" t="s">
        <v>1721</v>
      </c>
      <c r="M163" s="532">
        <v>1</v>
      </c>
      <c r="N163" s="533" t="s">
        <v>90</v>
      </c>
      <c r="O163" s="529">
        <f t="shared" si="3"/>
        <v>0</v>
      </c>
    </row>
    <row r="164" spans="1:15">
      <c r="A164" s="809"/>
      <c r="B164" s="810"/>
      <c r="C164" s="552" t="s">
        <v>1722</v>
      </c>
      <c r="D164" s="556"/>
      <c r="E164" s="554"/>
      <c r="F164" s="564"/>
      <c r="G164" s="546" t="s">
        <v>1519</v>
      </c>
      <c r="H164" s="799"/>
      <c r="I164" s="556"/>
      <c r="J164" s="556"/>
      <c r="K164" s="820"/>
      <c r="L164" s="556"/>
      <c r="M164" s="532">
        <v>1</v>
      </c>
      <c r="N164" s="533" t="s">
        <v>90</v>
      </c>
      <c r="O164" s="529">
        <f t="shared" si="3"/>
        <v>0</v>
      </c>
    </row>
    <row r="165" spans="1:15">
      <c r="A165" s="809"/>
      <c r="B165" s="810"/>
      <c r="C165" s="556"/>
      <c r="D165" s="556"/>
      <c r="E165" s="554"/>
      <c r="F165" s="564"/>
      <c r="G165" s="552" t="s">
        <v>1723</v>
      </c>
      <c r="H165" s="799"/>
      <c r="I165" s="556"/>
      <c r="J165" s="556"/>
      <c r="K165" s="820"/>
      <c r="L165" s="556"/>
      <c r="M165" s="532">
        <v>1</v>
      </c>
      <c r="N165" s="533" t="s">
        <v>90</v>
      </c>
      <c r="O165" s="529">
        <f t="shared" si="3"/>
        <v>0</v>
      </c>
    </row>
    <row r="166" spans="1:15">
      <c r="A166" s="811"/>
      <c r="B166" s="812"/>
      <c r="C166" s="556"/>
      <c r="D166" s="556"/>
      <c r="E166" s="554"/>
      <c r="F166" s="564"/>
      <c r="G166" s="552" t="s">
        <v>1711</v>
      </c>
      <c r="H166" s="800"/>
      <c r="I166" s="556"/>
      <c r="J166" s="556"/>
      <c r="K166" s="821"/>
      <c r="L166" s="556"/>
      <c r="M166" s="532">
        <v>1</v>
      </c>
      <c r="N166" s="533" t="s">
        <v>90</v>
      </c>
      <c r="O166" s="529">
        <f t="shared" si="3"/>
        <v>0</v>
      </c>
    </row>
    <row r="167" spans="1:15">
      <c r="A167" s="816">
        <v>25</v>
      </c>
      <c r="B167" s="798"/>
      <c r="C167" s="552" t="s">
        <v>1724</v>
      </c>
      <c r="D167" s="556">
        <v>1</v>
      </c>
      <c r="E167" s="554">
        <v>56.5</v>
      </c>
      <c r="F167" s="580" t="s">
        <v>1360</v>
      </c>
      <c r="G167" s="581" t="s">
        <v>721</v>
      </c>
      <c r="H167" s="798">
        <v>82</v>
      </c>
      <c r="I167" s="557">
        <v>491.32</v>
      </c>
      <c r="J167" s="557">
        <v>1453.34</v>
      </c>
      <c r="K167" s="557">
        <v>962.02</v>
      </c>
      <c r="L167" s="804" t="s">
        <v>1725</v>
      </c>
      <c r="M167" s="532">
        <v>1</v>
      </c>
      <c r="N167" s="533" t="s">
        <v>90</v>
      </c>
      <c r="O167" s="529">
        <f t="shared" si="3"/>
        <v>56.5</v>
      </c>
    </row>
    <row r="168" spans="1:15">
      <c r="A168" s="817"/>
      <c r="B168" s="799"/>
      <c r="C168" s="560" t="s">
        <v>1726</v>
      </c>
      <c r="D168" s="556">
        <v>2</v>
      </c>
      <c r="E168" s="554">
        <v>56.5</v>
      </c>
      <c r="F168" s="580" t="s">
        <v>1360</v>
      </c>
      <c r="G168" s="581" t="s">
        <v>721</v>
      </c>
      <c r="H168" s="799"/>
      <c r="I168" s="570">
        <v>-2005</v>
      </c>
      <c r="J168" s="570">
        <v>-2018</v>
      </c>
      <c r="K168" s="569">
        <v>-195.8</v>
      </c>
      <c r="L168" s="805"/>
      <c r="M168" s="532">
        <v>1</v>
      </c>
      <c r="N168" s="533" t="s">
        <v>90</v>
      </c>
      <c r="O168" s="529">
        <f t="shared" si="3"/>
        <v>56.5</v>
      </c>
    </row>
    <row r="169" spans="1:15" ht="24">
      <c r="A169" s="818"/>
      <c r="B169" s="800"/>
      <c r="C169" s="563" t="s">
        <v>1727</v>
      </c>
      <c r="D169" s="569"/>
      <c r="E169" s="554"/>
      <c r="F169" s="571" t="s">
        <v>1728</v>
      </c>
      <c r="G169" s="563" t="s">
        <v>1729</v>
      </c>
      <c r="H169" s="800"/>
      <c r="I169" s="569"/>
      <c r="J169" s="569"/>
      <c r="K169" s="569"/>
      <c r="L169" s="806"/>
      <c r="M169" s="532">
        <v>1</v>
      </c>
      <c r="N169" s="533" t="s">
        <v>90</v>
      </c>
      <c r="O169" s="529">
        <f t="shared" si="3"/>
        <v>0</v>
      </c>
    </row>
    <row r="170" spans="1:15">
      <c r="A170" s="845" t="s">
        <v>1730</v>
      </c>
      <c r="B170" s="846"/>
      <c r="C170" s="563" t="s">
        <v>1731</v>
      </c>
      <c r="D170" s="556">
        <v>1</v>
      </c>
      <c r="E170" s="554">
        <v>75</v>
      </c>
      <c r="F170" s="555" t="s">
        <v>907</v>
      </c>
      <c r="G170" s="552" t="s">
        <v>849</v>
      </c>
      <c r="H170" s="813">
        <v>84</v>
      </c>
      <c r="I170" s="557">
        <v>1833.05</v>
      </c>
      <c r="J170" s="557">
        <v>2671</v>
      </c>
      <c r="K170" s="557">
        <v>837.95</v>
      </c>
      <c r="L170" s="804" t="s">
        <v>1732</v>
      </c>
      <c r="M170" s="532">
        <v>1</v>
      </c>
      <c r="N170" s="533" t="s">
        <v>90</v>
      </c>
      <c r="O170" s="529">
        <f t="shared" si="3"/>
        <v>75</v>
      </c>
    </row>
    <row r="171" spans="1:15">
      <c r="A171" s="847"/>
      <c r="B171" s="848"/>
      <c r="C171" s="560" t="s">
        <v>1733</v>
      </c>
      <c r="D171" s="556">
        <v>2</v>
      </c>
      <c r="E171" s="554">
        <v>75</v>
      </c>
      <c r="F171" s="555" t="s">
        <v>907</v>
      </c>
      <c r="G171" s="552" t="s">
        <v>849</v>
      </c>
      <c r="H171" s="814"/>
      <c r="I171" s="570">
        <v>-2009</v>
      </c>
      <c r="J171" s="570">
        <v>-2018</v>
      </c>
      <c r="K171" s="569">
        <v>-45.71</v>
      </c>
      <c r="L171" s="805"/>
      <c r="M171" s="532">
        <v>1</v>
      </c>
      <c r="N171" s="533" t="s">
        <v>90</v>
      </c>
      <c r="O171" s="529">
        <f t="shared" si="3"/>
        <v>75</v>
      </c>
    </row>
    <row r="172" spans="1:15">
      <c r="A172" s="847"/>
      <c r="B172" s="848"/>
      <c r="C172" s="563" t="s">
        <v>1734</v>
      </c>
      <c r="D172" s="556">
        <v>3</v>
      </c>
      <c r="E172" s="554">
        <v>75</v>
      </c>
      <c r="F172" s="555" t="s">
        <v>907</v>
      </c>
      <c r="G172" s="552" t="s">
        <v>849</v>
      </c>
      <c r="H172" s="814"/>
      <c r="I172" s="556"/>
      <c r="J172" s="556"/>
      <c r="K172" s="556"/>
      <c r="L172" s="805"/>
      <c r="M172" s="532">
        <v>1</v>
      </c>
      <c r="N172" s="533" t="s">
        <v>90</v>
      </c>
      <c r="O172" s="529">
        <f t="shared" si="3"/>
        <v>75</v>
      </c>
    </row>
    <row r="173" spans="1:15">
      <c r="A173" s="847"/>
      <c r="B173" s="848"/>
      <c r="C173" s="552" t="s">
        <v>1735</v>
      </c>
      <c r="D173" s="556">
        <v>4</v>
      </c>
      <c r="E173" s="554">
        <v>75</v>
      </c>
      <c r="F173" s="555" t="s">
        <v>907</v>
      </c>
      <c r="G173" s="552" t="s">
        <v>849</v>
      </c>
      <c r="H173" s="814"/>
      <c r="I173" s="556"/>
      <c r="J173" s="556"/>
      <c r="K173" s="556"/>
      <c r="L173" s="805"/>
      <c r="M173" s="532">
        <v>1</v>
      </c>
      <c r="N173" s="533" t="s">
        <v>90</v>
      </c>
      <c r="O173" s="529">
        <f t="shared" si="3"/>
        <v>75</v>
      </c>
    </row>
    <row r="174" spans="1:15">
      <c r="A174" s="847"/>
      <c r="B174" s="848"/>
      <c r="C174" s="556"/>
      <c r="D174" s="556"/>
      <c r="E174" s="554"/>
      <c r="F174" s="564"/>
      <c r="G174" s="552" t="s">
        <v>1518</v>
      </c>
      <c r="H174" s="814"/>
      <c r="I174" s="556"/>
      <c r="J174" s="556"/>
      <c r="K174" s="556"/>
      <c r="L174" s="805"/>
      <c r="M174" s="532">
        <v>1</v>
      </c>
      <c r="N174" s="533" t="s">
        <v>90</v>
      </c>
      <c r="O174" s="529">
        <f t="shared" si="3"/>
        <v>0</v>
      </c>
    </row>
    <row r="175" spans="1:15">
      <c r="A175" s="847"/>
      <c r="B175" s="848"/>
      <c r="C175" s="556"/>
      <c r="D175" s="556"/>
      <c r="E175" s="554"/>
      <c r="F175" s="564"/>
      <c r="G175" s="552" t="s">
        <v>1519</v>
      </c>
      <c r="H175" s="814"/>
      <c r="I175" s="556"/>
      <c r="J175" s="556"/>
      <c r="K175" s="556"/>
      <c r="L175" s="805"/>
      <c r="M175" s="532">
        <v>1</v>
      </c>
      <c r="N175" s="533" t="s">
        <v>90</v>
      </c>
      <c r="O175" s="529">
        <f t="shared" si="3"/>
        <v>0</v>
      </c>
    </row>
    <row r="176" spans="1:15">
      <c r="A176" s="847"/>
      <c r="B176" s="848"/>
      <c r="C176" s="556"/>
      <c r="D176" s="556"/>
      <c r="E176" s="554"/>
      <c r="F176" s="564"/>
      <c r="G176" s="552" t="s">
        <v>1736</v>
      </c>
      <c r="H176" s="814"/>
      <c r="I176" s="556"/>
      <c r="J176" s="556"/>
      <c r="K176" s="556"/>
      <c r="L176" s="805"/>
      <c r="M176" s="532">
        <v>1</v>
      </c>
      <c r="N176" s="533" t="s">
        <v>90</v>
      </c>
      <c r="O176" s="529">
        <f t="shared" si="3"/>
        <v>0</v>
      </c>
    </row>
    <row r="177" spans="1:15">
      <c r="A177" s="849"/>
      <c r="B177" s="850"/>
      <c r="C177" s="556"/>
      <c r="D177" s="556"/>
      <c r="E177" s="554"/>
      <c r="F177" s="564"/>
      <c r="G177" s="552" t="s">
        <v>1663</v>
      </c>
      <c r="H177" s="815"/>
      <c r="I177" s="556"/>
      <c r="J177" s="556"/>
      <c r="K177" s="556"/>
      <c r="L177" s="806"/>
      <c r="M177" s="532">
        <v>1</v>
      </c>
      <c r="N177" s="533" t="s">
        <v>90</v>
      </c>
      <c r="O177" s="529">
        <f t="shared" si="3"/>
        <v>0</v>
      </c>
    </row>
    <row r="178" spans="1:15">
      <c r="A178" s="790"/>
      <c r="B178" s="791"/>
      <c r="C178" s="546" t="s">
        <v>72</v>
      </c>
      <c r="D178" s="556"/>
      <c r="E178" s="554"/>
      <c r="F178" s="564"/>
      <c r="G178" s="556"/>
      <c r="H178" s="556"/>
      <c r="I178" s="556"/>
      <c r="J178" s="556"/>
      <c r="K178" s="556"/>
      <c r="L178" s="556"/>
      <c r="M178" s="532">
        <v>1</v>
      </c>
      <c r="N178" s="533" t="s">
        <v>13</v>
      </c>
      <c r="O178" s="529">
        <f t="shared" si="3"/>
        <v>0</v>
      </c>
    </row>
    <row r="179" spans="1:15">
      <c r="A179" s="869">
        <v>27</v>
      </c>
      <c r="B179" s="863"/>
      <c r="C179" s="858" t="s">
        <v>1737</v>
      </c>
      <c r="D179" s="584">
        <v>1</v>
      </c>
      <c r="E179" s="585">
        <v>125</v>
      </c>
      <c r="F179" s="586" t="s">
        <v>721</v>
      </c>
      <c r="G179" s="587" t="s">
        <v>834</v>
      </c>
      <c r="H179" s="872">
        <v>21</v>
      </c>
      <c r="I179" s="588">
        <v>1216.5899999999999</v>
      </c>
      <c r="J179" s="588">
        <v>1831.29</v>
      </c>
      <c r="K179" s="603" t="s">
        <v>1738</v>
      </c>
      <c r="L179" s="866" t="s">
        <v>1739</v>
      </c>
      <c r="M179" s="589">
        <v>0</v>
      </c>
      <c r="N179" s="590" t="s">
        <v>13</v>
      </c>
      <c r="O179" s="591">
        <f t="shared" si="3"/>
        <v>0</v>
      </c>
    </row>
    <row r="180" spans="1:15">
      <c r="A180" s="870"/>
      <c r="B180" s="864"/>
      <c r="C180" s="860"/>
      <c r="D180" s="584">
        <v>2</v>
      </c>
      <c r="E180" s="585">
        <v>125</v>
      </c>
      <c r="F180" s="586" t="s">
        <v>721</v>
      </c>
      <c r="G180" s="587" t="s">
        <v>834</v>
      </c>
      <c r="H180" s="873"/>
      <c r="I180" s="587" t="s">
        <v>1740</v>
      </c>
      <c r="J180" s="592">
        <v>-2014</v>
      </c>
      <c r="K180" s="593">
        <v>-50.52</v>
      </c>
      <c r="L180" s="867"/>
      <c r="M180" s="589">
        <v>0</v>
      </c>
      <c r="N180" s="590" t="s">
        <v>13</v>
      </c>
      <c r="O180" s="591">
        <f t="shared" si="3"/>
        <v>0</v>
      </c>
    </row>
    <row r="181" spans="1:15">
      <c r="A181" s="870"/>
      <c r="B181" s="864"/>
      <c r="C181" s="860"/>
      <c r="D181" s="584">
        <v>3</v>
      </c>
      <c r="E181" s="585">
        <v>125</v>
      </c>
      <c r="F181" s="586" t="s">
        <v>721</v>
      </c>
      <c r="G181" s="587" t="s">
        <v>834</v>
      </c>
      <c r="H181" s="873"/>
      <c r="I181" s="584"/>
      <c r="J181" s="584"/>
      <c r="K181" s="584"/>
      <c r="L181" s="867"/>
      <c r="M181" s="589">
        <v>0</v>
      </c>
      <c r="N181" s="590" t="s">
        <v>13</v>
      </c>
      <c r="O181" s="591">
        <f t="shared" si="3"/>
        <v>0</v>
      </c>
    </row>
    <row r="182" spans="1:15">
      <c r="A182" s="870"/>
      <c r="B182" s="864"/>
      <c r="C182" s="860"/>
      <c r="D182" s="584">
        <v>4</v>
      </c>
      <c r="E182" s="585">
        <v>125</v>
      </c>
      <c r="F182" s="586" t="s">
        <v>721</v>
      </c>
      <c r="G182" s="587" t="s">
        <v>834</v>
      </c>
      <c r="H182" s="873"/>
      <c r="I182" s="584"/>
      <c r="J182" s="584"/>
      <c r="K182" s="584"/>
      <c r="L182" s="867"/>
      <c r="M182" s="589">
        <v>0</v>
      </c>
      <c r="N182" s="590" t="s">
        <v>13</v>
      </c>
      <c r="O182" s="591">
        <f t="shared" si="3"/>
        <v>0</v>
      </c>
    </row>
    <row r="183" spans="1:15">
      <c r="A183" s="871"/>
      <c r="B183" s="865"/>
      <c r="C183" s="862"/>
      <c r="D183" s="584"/>
      <c r="E183" s="585"/>
      <c r="F183" s="586" t="s">
        <v>1741</v>
      </c>
      <c r="G183" s="587" t="s">
        <v>1742</v>
      </c>
      <c r="H183" s="874"/>
      <c r="I183" s="584"/>
      <c r="J183" s="584"/>
      <c r="K183" s="584"/>
      <c r="L183" s="868"/>
      <c r="M183" s="589">
        <v>1</v>
      </c>
      <c r="N183" s="590" t="s">
        <v>13</v>
      </c>
      <c r="O183" s="591">
        <f t="shared" si="3"/>
        <v>0</v>
      </c>
    </row>
    <row r="184" spans="1:15">
      <c r="A184" s="790"/>
      <c r="B184" s="791"/>
      <c r="C184" s="546" t="s">
        <v>1743</v>
      </c>
      <c r="D184" s="556"/>
      <c r="E184" s="554"/>
      <c r="F184" s="564"/>
      <c r="G184" s="556"/>
      <c r="H184" s="556"/>
      <c r="I184" s="556"/>
      <c r="J184" s="556"/>
      <c r="K184" s="556"/>
      <c r="L184" s="556"/>
      <c r="M184" s="532">
        <v>1</v>
      </c>
      <c r="N184" s="533" t="s">
        <v>4</v>
      </c>
      <c r="O184" s="529">
        <f t="shared" si="3"/>
        <v>0</v>
      </c>
    </row>
    <row r="185" spans="1:15">
      <c r="A185" s="807" t="s">
        <v>1744</v>
      </c>
      <c r="B185" s="808"/>
      <c r="C185" s="552" t="s">
        <v>1745</v>
      </c>
      <c r="D185" s="556">
        <v>1</v>
      </c>
      <c r="E185" s="554">
        <v>57</v>
      </c>
      <c r="F185" s="555" t="s">
        <v>687</v>
      </c>
      <c r="G185" s="552" t="s">
        <v>849</v>
      </c>
      <c r="H185" s="813">
        <v>103</v>
      </c>
      <c r="I185" s="557">
        <v>1527</v>
      </c>
      <c r="J185" s="819" t="s">
        <v>1746</v>
      </c>
      <c r="K185" s="819" t="s">
        <v>434</v>
      </c>
      <c r="L185" s="819" t="s">
        <v>1747</v>
      </c>
      <c r="M185" s="532">
        <v>1</v>
      </c>
      <c r="N185" s="533" t="s">
        <v>4</v>
      </c>
      <c r="O185" s="529">
        <f t="shared" si="3"/>
        <v>57</v>
      </c>
    </row>
    <row r="186" spans="1:15">
      <c r="A186" s="809"/>
      <c r="B186" s="810"/>
      <c r="C186" s="560" t="s">
        <v>1748</v>
      </c>
      <c r="D186" s="556">
        <v>2</v>
      </c>
      <c r="E186" s="554">
        <v>57</v>
      </c>
      <c r="F186" s="555" t="s">
        <v>687</v>
      </c>
      <c r="G186" s="552" t="s">
        <v>849</v>
      </c>
      <c r="H186" s="814"/>
      <c r="I186" s="552" t="s">
        <v>1749</v>
      </c>
      <c r="J186" s="820"/>
      <c r="K186" s="820"/>
      <c r="L186" s="820"/>
      <c r="M186" s="532">
        <v>1</v>
      </c>
      <c r="N186" s="533" t="s">
        <v>4</v>
      </c>
      <c r="O186" s="529">
        <f t="shared" si="3"/>
        <v>57</v>
      </c>
    </row>
    <row r="187" spans="1:15">
      <c r="A187" s="809"/>
      <c r="B187" s="810"/>
      <c r="C187" s="552" t="s">
        <v>187</v>
      </c>
      <c r="D187" s="556">
        <v>3</v>
      </c>
      <c r="E187" s="554">
        <v>57</v>
      </c>
      <c r="F187" s="555" t="s">
        <v>687</v>
      </c>
      <c r="G187" s="552" t="s">
        <v>849</v>
      </c>
      <c r="H187" s="814"/>
      <c r="I187" s="556"/>
      <c r="J187" s="820"/>
      <c r="K187" s="820"/>
      <c r="L187" s="820"/>
      <c r="M187" s="532">
        <v>1</v>
      </c>
      <c r="N187" s="533" t="s">
        <v>4</v>
      </c>
      <c r="O187" s="529">
        <f t="shared" si="3"/>
        <v>57</v>
      </c>
    </row>
    <row r="188" spans="1:15">
      <c r="A188" s="809"/>
      <c r="B188" s="810"/>
      <c r="C188" s="556"/>
      <c r="D188" s="556"/>
      <c r="E188" s="554"/>
      <c r="F188" s="555" t="s">
        <v>1750</v>
      </c>
      <c r="G188" s="552" t="s">
        <v>1518</v>
      </c>
      <c r="H188" s="814"/>
      <c r="I188" s="556"/>
      <c r="J188" s="820"/>
      <c r="K188" s="820"/>
      <c r="L188" s="820"/>
      <c r="M188" s="532">
        <v>1</v>
      </c>
      <c r="N188" s="533" t="s">
        <v>4</v>
      </c>
      <c r="O188" s="529">
        <f t="shared" si="3"/>
        <v>0</v>
      </c>
    </row>
    <row r="189" spans="1:15">
      <c r="A189" s="809"/>
      <c r="B189" s="810"/>
      <c r="C189" s="556"/>
      <c r="D189" s="556"/>
      <c r="E189" s="554"/>
      <c r="F189" s="564"/>
      <c r="G189" s="552" t="s">
        <v>1519</v>
      </c>
      <c r="H189" s="814"/>
      <c r="I189" s="556"/>
      <c r="J189" s="820"/>
      <c r="K189" s="820"/>
      <c r="L189" s="820"/>
      <c r="M189" s="532">
        <v>1</v>
      </c>
      <c r="N189" s="533" t="s">
        <v>4</v>
      </c>
      <c r="O189" s="529">
        <f t="shared" si="3"/>
        <v>0</v>
      </c>
    </row>
    <row r="190" spans="1:15">
      <c r="A190" s="809"/>
      <c r="B190" s="810"/>
      <c r="C190" s="556"/>
      <c r="D190" s="556"/>
      <c r="E190" s="554"/>
      <c r="F190" s="564"/>
      <c r="G190" s="552" t="s">
        <v>1580</v>
      </c>
      <c r="H190" s="814"/>
      <c r="I190" s="556"/>
      <c r="J190" s="820"/>
      <c r="K190" s="820"/>
      <c r="L190" s="820"/>
      <c r="M190" s="532">
        <v>1</v>
      </c>
      <c r="N190" s="533" t="s">
        <v>4</v>
      </c>
      <c r="O190" s="529">
        <f t="shared" si="3"/>
        <v>0</v>
      </c>
    </row>
    <row r="191" spans="1:15">
      <c r="A191" s="811"/>
      <c r="B191" s="812"/>
      <c r="C191" s="556"/>
      <c r="D191" s="556"/>
      <c r="E191" s="554"/>
      <c r="F191" s="564"/>
      <c r="G191" s="552" t="s">
        <v>1581</v>
      </c>
      <c r="H191" s="815"/>
      <c r="I191" s="556"/>
      <c r="J191" s="821"/>
      <c r="K191" s="821"/>
      <c r="L191" s="821"/>
      <c r="M191" s="532">
        <v>1</v>
      </c>
      <c r="N191" s="533" t="s">
        <v>4</v>
      </c>
      <c r="O191" s="529">
        <f t="shared" si="3"/>
        <v>0</v>
      </c>
    </row>
    <row r="192" spans="1:15">
      <c r="A192" s="788">
        <v>29</v>
      </c>
      <c r="B192" s="789"/>
      <c r="C192" s="552" t="s">
        <v>1751</v>
      </c>
      <c r="D192" s="556">
        <v>1</v>
      </c>
      <c r="E192" s="554">
        <v>130</v>
      </c>
      <c r="F192" s="555" t="s">
        <v>1650</v>
      </c>
      <c r="G192" s="552" t="s">
        <v>863</v>
      </c>
      <c r="H192" s="556"/>
      <c r="I192" s="557">
        <v>2978.48</v>
      </c>
      <c r="J192" s="557">
        <v>5867.38</v>
      </c>
      <c r="K192" s="557">
        <v>2888.9</v>
      </c>
      <c r="L192" s="583" t="s">
        <v>1752</v>
      </c>
      <c r="M192" s="532">
        <v>1</v>
      </c>
      <c r="N192" s="533" t="s">
        <v>4</v>
      </c>
      <c r="O192" s="529">
        <f t="shared" si="3"/>
        <v>130</v>
      </c>
    </row>
    <row r="193" spans="1:15">
      <c r="A193" s="788"/>
      <c r="B193" s="789"/>
      <c r="C193" s="552" t="s">
        <v>1753</v>
      </c>
      <c r="D193" s="556">
        <v>2</v>
      </c>
      <c r="E193" s="554">
        <v>130</v>
      </c>
      <c r="F193" s="555" t="s">
        <v>1650</v>
      </c>
      <c r="G193" s="552" t="s">
        <v>863</v>
      </c>
      <c r="H193" s="798">
        <v>129</v>
      </c>
      <c r="I193" s="808" t="s">
        <v>1754</v>
      </c>
      <c r="J193" s="808" t="s">
        <v>1755</v>
      </c>
      <c r="K193" s="875">
        <v>-96.99</v>
      </c>
      <c r="L193" s="846" t="s">
        <v>1756</v>
      </c>
      <c r="M193" s="532">
        <v>1</v>
      </c>
      <c r="N193" s="533" t="s">
        <v>4</v>
      </c>
      <c r="O193" s="529">
        <f t="shared" si="3"/>
        <v>130</v>
      </c>
    </row>
    <row r="194" spans="1:15">
      <c r="A194" s="843"/>
      <c r="B194" s="844"/>
      <c r="C194" s="563" t="s">
        <v>187</v>
      </c>
      <c r="D194" s="556">
        <v>3</v>
      </c>
      <c r="E194" s="554">
        <v>130</v>
      </c>
      <c r="F194" s="555" t="s">
        <v>1650</v>
      </c>
      <c r="G194" s="552" t="s">
        <v>863</v>
      </c>
      <c r="H194" s="799"/>
      <c r="I194" s="810"/>
      <c r="J194" s="810"/>
      <c r="K194" s="876"/>
      <c r="L194" s="848"/>
      <c r="M194" s="532">
        <v>1</v>
      </c>
      <c r="N194" s="533" t="s">
        <v>4</v>
      </c>
      <c r="O194" s="529">
        <f t="shared" si="3"/>
        <v>130</v>
      </c>
    </row>
    <row r="195" spans="1:15">
      <c r="A195" s="790"/>
      <c r="B195" s="791"/>
      <c r="C195" s="556"/>
      <c r="D195" s="556">
        <v>4</v>
      </c>
      <c r="E195" s="554">
        <v>130</v>
      </c>
      <c r="F195" s="555" t="s">
        <v>1650</v>
      </c>
      <c r="G195" s="552" t="s">
        <v>863</v>
      </c>
      <c r="H195" s="799"/>
      <c r="I195" s="810"/>
      <c r="J195" s="810"/>
      <c r="K195" s="876"/>
      <c r="L195" s="848"/>
      <c r="M195" s="532">
        <v>1</v>
      </c>
      <c r="N195" s="533" t="s">
        <v>4</v>
      </c>
      <c r="O195" s="529">
        <f t="shared" si="3"/>
        <v>130</v>
      </c>
    </row>
    <row r="196" spans="1:15">
      <c r="A196" s="790"/>
      <c r="B196" s="791"/>
      <c r="C196" s="556"/>
      <c r="D196" s="556"/>
      <c r="E196" s="554"/>
      <c r="F196" s="555" t="s">
        <v>1757</v>
      </c>
      <c r="G196" s="552" t="s">
        <v>1758</v>
      </c>
      <c r="H196" s="800"/>
      <c r="I196" s="812"/>
      <c r="J196" s="812"/>
      <c r="K196" s="877"/>
      <c r="L196" s="850"/>
      <c r="M196" s="532">
        <v>1</v>
      </c>
      <c r="N196" s="533" t="s">
        <v>4</v>
      </c>
      <c r="O196" s="529">
        <f t="shared" si="3"/>
        <v>0</v>
      </c>
    </row>
    <row r="197" spans="1:15">
      <c r="A197" s="878">
        <v>30</v>
      </c>
      <c r="B197" s="879"/>
      <c r="C197" s="587" t="s">
        <v>1759</v>
      </c>
      <c r="D197" s="584">
        <v>1</v>
      </c>
      <c r="E197" s="585">
        <v>250</v>
      </c>
      <c r="F197" s="586" t="s">
        <v>1643</v>
      </c>
      <c r="G197" s="587" t="s">
        <v>863</v>
      </c>
      <c r="H197" s="584">
        <v>143</v>
      </c>
      <c r="I197" s="588">
        <v>1657.6</v>
      </c>
      <c r="J197" s="588">
        <v>5024.3500000000004</v>
      </c>
      <c r="K197" s="588">
        <v>3366.75</v>
      </c>
      <c r="L197" s="866" t="s">
        <v>1760</v>
      </c>
      <c r="M197" s="589">
        <v>0</v>
      </c>
      <c r="N197" s="590" t="s">
        <v>4</v>
      </c>
      <c r="O197" s="591">
        <f t="shared" si="3"/>
        <v>0</v>
      </c>
    </row>
    <row r="198" spans="1:15">
      <c r="A198" s="880"/>
      <c r="B198" s="881"/>
      <c r="C198" s="603" t="s">
        <v>1761</v>
      </c>
      <c r="D198" s="584">
        <v>2</v>
      </c>
      <c r="E198" s="585">
        <v>250</v>
      </c>
      <c r="F198" s="586" t="s">
        <v>1643</v>
      </c>
      <c r="G198" s="587" t="s">
        <v>863</v>
      </c>
      <c r="H198" s="584">
        <v>145</v>
      </c>
      <c r="I198" s="587" t="s">
        <v>1762</v>
      </c>
      <c r="J198" s="587" t="s">
        <v>1763</v>
      </c>
      <c r="K198" s="593">
        <v>-203.1</v>
      </c>
      <c r="L198" s="867"/>
      <c r="M198" s="589">
        <v>0</v>
      </c>
      <c r="N198" s="590" t="s">
        <v>4</v>
      </c>
      <c r="O198" s="591">
        <f t="shared" si="3"/>
        <v>0</v>
      </c>
    </row>
    <row r="199" spans="1:15">
      <c r="A199" s="880"/>
      <c r="B199" s="881"/>
      <c r="C199" s="597" t="s">
        <v>1764</v>
      </c>
      <c r="D199" s="584">
        <v>3</v>
      </c>
      <c r="E199" s="585">
        <v>250</v>
      </c>
      <c r="F199" s="586" t="s">
        <v>1643</v>
      </c>
      <c r="G199" s="587" t="s">
        <v>863</v>
      </c>
      <c r="H199" s="584">
        <v>147</v>
      </c>
      <c r="I199" s="584"/>
      <c r="J199" s="584"/>
      <c r="K199" s="584"/>
      <c r="L199" s="867"/>
      <c r="M199" s="589">
        <v>0</v>
      </c>
      <c r="N199" s="590" t="s">
        <v>4</v>
      </c>
      <c r="O199" s="591">
        <f t="shared" si="3"/>
        <v>0</v>
      </c>
    </row>
    <row r="200" spans="1:15">
      <c r="A200" s="880"/>
      <c r="B200" s="881"/>
      <c r="C200" s="584"/>
      <c r="D200" s="584">
        <v>4</v>
      </c>
      <c r="E200" s="585">
        <v>250</v>
      </c>
      <c r="F200" s="586" t="s">
        <v>1643</v>
      </c>
      <c r="G200" s="587" t="s">
        <v>863</v>
      </c>
      <c r="H200" s="584">
        <v>149</v>
      </c>
      <c r="I200" s="584"/>
      <c r="J200" s="584"/>
      <c r="K200" s="584"/>
      <c r="L200" s="867"/>
      <c r="M200" s="589">
        <v>0</v>
      </c>
      <c r="N200" s="590" t="s">
        <v>4</v>
      </c>
      <c r="O200" s="591">
        <f t="shared" ref="O200:O224" si="4">M200*E200</f>
        <v>0</v>
      </c>
    </row>
    <row r="201" spans="1:15">
      <c r="A201" s="882"/>
      <c r="B201" s="883"/>
      <c r="C201" s="584"/>
      <c r="D201" s="584"/>
      <c r="E201" s="585"/>
      <c r="F201" s="586" t="s">
        <v>1765</v>
      </c>
      <c r="G201" s="587" t="s">
        <v>1766</v>
      </c>
      <c r="H201" s="584"/>
      <c r="I201" s="584"/>
      <c r="J201" s="584"/>
      <c r="K201" s="584"/>
      <c r="L201" s="868"/>
      <c r="M201" s="589">
        <v>0</v>
      </c>
      <c r="N201" s="590" t="s">
        <v>4</v>
      </c>
      <c r="O201" s="591">
        <f t="shared" si="4"/>
        <v>0</v>
      </c>
    </row>
    <row r="202" spans="1:15">
      <c r="A202" s="792">
        <v>31</v>
      </c>
      <c r="B202" s="793"/>
      <c r="C202" s="552" t="s">
        <v>1767</v>
      </c>
      <c r="D202" s="556">
        <v>1</v>
      </c>
      <c r="E202" s="554">
        <v>111</v>
      </c>
      <c r="F202" s="555" t="s">
        <v>1359</v>
      </c>
      <c r="G202" s="552" t="s">
        <v>834</v>
      </c>
      <c r="H202" s="813">
        <v>126</v>
      </c>
      <c r="I202" s="557">
        <v>2491.58</v>
      </c>
      <c r="J202" s="557">
        <v>4397.8</v>
      </c>
      <c r="K202" s="557">
        <v>1906.22</v>
      </c>
      <c r="L202" s="804" t="s">
        <v>1768</v>
      </c>
      <c r="M202" s="532">
        <v>1</v>
      </c>
      <c r="N202" s="533" t="s">
        <v>4</v>
      </c>
      <c r="O202" s="529">
        <f t="shared" si="4"/>
        <v>111</v>
      </c>
    </row>
    <row r="203" spans="1:15">
      <c r="A203" s="794"/>
      <c r="B203" s="795"/>
      <c r="C203" s="560" t="s">
        <v>1769</v>
      </c>
      <c r="D203" s="556">
        <v>2</v>
      </c>
      <c r="E203" s="554">
        <v>111</v>
      </c>
      <c r="F203" s="555" t="s">
        <v>1359</v>
      </c>
      <c r="G203" s="552" t="s">
        <v>834</v>
      </c>
      <c r="H203" s="814"/>
      <c r="I203" s="552" t="s">
        <v>1770</v>
      </c>
      <c r="J203" s="552" t="s">
        <v>1763</v>
      </c>
      <c r="K203" s="569">
        <v>-76.5</v>
      </c>
      <c r="L203" s="805"/>
      <c r="M203" s="532">
        <v>1</v>
      </c>
      <c r="N203" s="533" t="s">
        <v>4</v>
      </c>
      <c r="O203" s="529">
        <f t="shared" si="4"/>
        <v>111</v>
      </c>
    </row>
    <row r="204" spans="1:15">
      <c r="A204" s="794"/>
      <c r="B204" s="795"/>
      <c r="C204" s="563" t="s">
        <v>1764</v>
      </c>
      <c r="D204" s="556">
        <v>3</v>
      </c>
      <c r="E204" s="554">
        <v>111</v>
      </c>
      <c r="F204" s="555" t="s">
        <v>1359</v>
      </c>
      <c r="G204" s="552" t="s">
        <v>834</v>
      </c>
      <c r="H204" s="814"/>
      <c r="I204" s="556"/>
      <c r="J204" s="556"/>
      <c r="K204" s="556"/>
      <c r="L204" s="805"/>
      <c r="M204" s="532">
        <v>1</v>
      </c>
      <c r="N204" s="533" t="s">
        <v>4</v>
      </c>
      <c r="O204" s="529">
        <f t="shared" si="4"/>
        <v>111</v>
      </c>
    </row>
    <row r="205" spans="1:15">
      <c r="A205" s="794"/>
      <c r="B205" s="795"/>
      <c r="C205" s="556"/>
      <c r="D205" s="556">
        <v>4</v>
      </c>
      <c r="E205" s="554">
        <v>111</v>
      </c>
      <c r="F205" s="555" t="s">
        <v>1359</v>
      </c>
      <c r="G205" s="552" t="s">
        <v>834</v>
      </c>
      <c r="H205" s="814"/>
      <c r="I205" s="556"/>
      <c r="J205" s="556"/>
      <c r="K205" s="556"/>
      <c r="L205" s="805"/>
      <c r="M205" s="532">
        <v>1</v>
      </c>
      <c r="N205" s="533" t="s">
        <v>4</v>
      </c>
      <c r="O205" s="529">
        <f t="shared" si="4"/>
        <v>111</v>
      </c>
    </row>
    <row r="206" spans="1:15">
      <c r="A206" s="796"/>
      <c r="B206" s="797"/>
      <c r="C206" s="556"/>
      <c r="D206" s="556"/>
      <c r="E206" s="554"/>
      <c r="F206" s="555" t="s">
        <v>1771</v>
      </c>
      <c r="G206" s="552" t="s">
        <v>1758</v>
      </c>
      <c r="H206" s="815"/>
      <c r="I206" s="556"/>
      <c r="J206" s="556"/>
      <c r="K206" s="556"/>
      <c r="L206" s="806"/>
      <c r="M206" s="532">
        <v>1</v>
      </c>
      <c r="N206" s="533" t="s">
        <v>4</v>
      </c>
      <c r="O206" s="529">
        <f t="shared" si="4"/>
        <v>0</v>
      </c>
    </row>
    <row r="207" spans="1:15">
      <c r="A207" s="816">
        <v>32</v>
      </c>
      <c r="B207" s="798"/>
      <c r="C207" s="808" t="s">
        <v>1772</v>
      </c>
      <c r="D207" s="556">
        <v>1</v>
      </c>
      <c r="E207" s="554">
        <v>30</v>
      </c>
      <c r="F207" s="555" t="s">
        <v>721</v>
      </c>
      <c r="G207" s="552" t="s">
        <v>863</v>
      </c>
      <c r="H207" s="798">
        <v>6</v>
      </c>
      <c r="I207" s="557">
        <v>648.33000000000004</v>
      </c>
      <c r="J207" s="557">
        <v>648.33000000000004</v>
      </c>
      <c r="K207" s="819" t="s">
        <v>1549</v>
      </c>
      <c r="L207" s="804" t="s">
        <v>1773</v>
      </c>
      <c r="M207" s="532">
        <v>1</v>
      </c>
      <c r="N207" s="533" t="s">
        <v>4</v>
      </c>
      <c r="O207" s="529">
        <f t="shared" si="4"/>
        <v>30</v>
      </c>
    </row>
    <row r="208" spans="1:15">
      <c r="A208" s="817"/>
      <c r="B208" s="799"/>
      <c r="C208" s="810"/>
      <c r="D208" s="556">
        <v>2</v>
      </c>
      <c r="E208" s="554">
        <v>30</v>
      </c>
      <c r="F208" s="555" t="s">
        <v>721</v>
      </c>
      <c r="G208" s="552" t="s">
        <v>863</v>
      </c>
      <c r="H208" s="799"/>
      <c r="I208" s="552" t="s">
        <v>1774</v>
      </c>
      <c r="J208" s="552" t="s">
        <v>1774</v>
      </c>
      <c r="K208" s="820"/>
      <c r="L208" s="805"/>
      <c r="M208" s="532">
        <v>1</v>
      </c>
      <c r="N208" s="533" t="s">
        <v>4</v>
      </c>
      <c r="O208" s="529">
        <f t="shared" si="4"/>
        <v>30</v>
      </c>
    </row>
    <row r="209" spans="1:15">
      <c r="A209" s="818"/>
      <c r="B209" s="800"/>
      <c r="C209" s="812"/>
      <c r="D209" s="556"/>
      <c r="E209" s="554"/>
      <c r="F209" s="555" t="s">
        <v>1775</v>
      </c>
      <c r="G209" s="552" t="s">
        <v>1776</v>
      </c>
      <c r="H209" s="800"/>
      <c r="I209" s="556"/>
      <c r="J209" s="556"/>
      <c r="K209" s="821"/>
      <c r="L209" s="806"/>
      <c r="M209" s="532">
        <v>1</v>
      </c>
      <c r="N209" s="533" t="s">
        <v>4</v>
      </c>
      <c r="O209" s="529">
        <f t="shared" si="4"/>
        <v>0</v>
      </c>
    </row>
    <row r="210" spans="1:15">
      <c r="A210" s="790"/>
      <c r="B210" s="791"/>
      <c r="C210" s="556"/>
      <c r="D210" s="556"/>
      <c r="E210" s="554"/>
      <c r="F210" s="564"/>
      <c r="G210" s="556"/>
      <c r="H210" s="556"/>
      <c r="I210" s="556"/>
      <c r="J210" s="556"/>
      <c r="K210" s="556"/>
      <c r="L210" s="567" t="s">
        <v>1777</v>
      </c>
      <c r="M210" s="532">
        <v>1</v>
      </c>
      <c r="N210" s="533" t="s">
        <v>4</v>
      </c>
      <c r="O210" s="529">
        <f t="shared" si="4"/>
        <v>0</v>
      </c>
    </row>
    <row r="211" spans="1:15">
      <c r="A211" s="816">
        <v>33</v>
      </c>
      <c r="B211" s="798"/>
      <c r="C211" s="552" t="s">
        <v>1778</v>
      </c>
      <c r="D211" s="556">
        <v>1</v>
      </c>
      <c r="E211" s="554">
        <v>60</v>
      </c>
      <c r="F211" s="555" t="s">
        <v>1360</v>
      </c>
      <c r="G211" s="552" t="s">
        <v>863</v>
      </c>
      <c r="H211" s="798">
        <v>88</v>
      </c>
      <c r="I211" s="557">
        <v>936.23</v>
      </c>
      <c r="J211" s="557">
        <v>1581.01</v>
      </c>
      <c r="K211" s="557">
        <v>644.78</v>
      </c>
      <c r="L211" s="804" t="s">
        <v>1779</v>
      </c>
      <c r="M211" s="532">
        <v>1</v>
      </c>
      <c r="N211" s="533" t="s">
        <v>4</v>
      </c>
      <c r="O211" s="529">
        <f t="shared" si="4"/>
        <v>60</v>
      </c>
    </row>
    <row r="212" spans="1:15">
      <c r="A212" s="817"/>
      <c r="B212" s="799"/>
      <c r="C212" s="560" t="s">
        <v>1780</v>
      </c>
      <c r="D212" s="556">
        <v>2</v>
      </c>
      <c r="E212" s="554">
        <v>60</v>
      </c>
      <c r="F212" s="555" t="s">
        <v>1360</v>
      </c>
      <c r="G212" s="552" t="s">
        <v>863</v>
      </c>
      <c r="H212" s="799"/>
      <c r="I212" s="552" t="s">
        <v>1781</v>
      </c>
      <c r="J212" s="570">
        <v>-2019</v>
      </c>
      <c r="K212" s="569">
        <v>-68.86</v>
      </c>
      <c r="L212" s="805"/>
      <c r="M212" s="532">
        <v>1</v>
      </c>
      <c r="N212" s="533" t="s">
        <v>4</v>
      </c>
      <c r="O212" s="529">
        <f t="shared" si="4"/>
        <v>60</v>
      </c>
    </row>
    <row r="213" spans="1:15">
      <c r="A213" s="818"/>
      <c r="B213" s="800"/>
      <c r="C213" s="563" t="s">
        <v>1782</v>
      </c>
      <c r="D213" s="569"/>
      <c r="E213" s="554"/>
      <c r="F213" s="571" t="s">
        <v>1783</v>
      </c>
      <c r="G213" s="563" t="s">
        <v>1784</v>
      </c>
      <c r="H213" s="800"/>
      <c r="I213" s="569"/>
      <c r="J213" s="569"/>
      <c r="K213" s="569"/>
      <c r="L213" s="806"/>
      <c r="M213" s="532">
        <v>1</v>
      </c>
      <c r="N213" s="533" t="s">
        <v>4</v>
      </c>
      <c r="O213" s="529">
        <f t="shared" si="4"/>
        <v>0</v>
      </c>
    </row>
    <row r="214" spans="1:15">
      <c r="A214" s="845" t="s">
        <v>1785</v>
      </c>
      <c r="B214" s="846"/>
      <c r="C214" s="563" t="s">
        <v>1786</v>
      </c>
      <c r="D214" s="556">
        <v>1</v>
      </c>
      <c r="E214" s="554">
        <v>38</v>
      </c>
      <c r="F214" s="555" t="s">
        <v>1650</v>
      </c>
      <c r="G214" s="552" t="s">
        <v>1505</v>
      </c>
      <c r="H214" s="798">
        <v>153</v>
      </c>
      <c r="I214" s="557">
        <v>520</v>
      </c>
      <c r="J214" s="556">
        <v>1132</v>
      </c>
      <c r="K214" s="556">
        <v>612</v>
      </c>
      <c r="L214" s="801" t="s">
        <v>1787</v>
      </c>
      <c r="M214" s="532">
        <v>1</v>
      </c>
      <c r="N214" s="533" t="s">
        <v>4</v>
      </c>
      <c r="O214" s="529">
        <f t="shared" si="4"/>
        <v>38</v>
      </c>
    </row>
    <row r="215" spans="1:15">
      <c r="A215" s="847"/>
      <c r="B215" s="848"/>
      <c r="C215" s="552" t="s">
        <v>1788</v>
      </c>
      <c r="D215" s="556">
        <v>2</v>
      </c>
      <c r="E215" s="554">
        <v>38</v>
      </c>
      <c r="F215" s="555" t="s">
        <v>1650</v>
      </c>
      <c r="G215" s="552" t="s">
        <v>1505</v>
      </c>
      <c r="H215" s="799"/>
      <c r="I215" s="552" t="s">
        <v>1789</v>
      </c>
      <c r="J215" s="552" t="s">
        <v>1790</v>
      </c>
      <c r="K215" s="569">
        <v>-117.69</v>
      </c>
      <c r="L215" s="802"/>
      <c r="M215" s="532">
        <v>1</v>
      </c>
      <c r="N215" s="533" t="s">
        <v>4</v>
      </c>
      <c r="O215" s="529">
        <f t="shared" si="4"/>
        <v>38</v>
      </c>
    </row>
    <row r="216" spans="1:15">
      <c r="A216" s="847"/>
      <c r="B216" s="848"/>
      <c r="C216" s="563" t="s">
        <v>1791</v>
      </c>
      <c r="D216" s="569"/>
      <c r="E216" s="554"/>
      <c r="F216" s="571" t="s">
        <v>1697</v>
      </c>
      <c r="G216" s="563" t="s">
        <v>1518</v>
      </c>
      <c r="H216" s="799"/>
      <c r="I216" s="569"/>
      <c r="J216" s="569"/>
      <c r="K216" s="569"/>
      <c r="L216" s="802"/>
      <c r="M216" s="532">
        <v>1</v>
      </c>
      <c r="N216" s="533" t="s">
        <v>4</v>
      </c>
      <c r="O216" s="529">
        <f t="shared" si="4"/>
        <v>0</v>
      </c>
    </row>
    <row r="217" spans="1:15">
      <c r="A217" s="847"/>
      <c r="B217" s="848"/>
      <c r="C217" s="569"/>
      <c r="D217" s="569"/>
      <c r="E217" s="554"/>
      <c r="F217" s="562"/>
      <c r="G217" s="572" t="s">
        <v>1519</v>
      </c>
      <c r="H217" s="799"/>
      <c r="I217" s="569"/>
      <c r="J217" s="569"/>
      <c r="K217" s="569"/>
      <c r="L217" s="802"/>
      <c r="M217" s="532">
        <v>1</v>
      </c>
      <c r="N217" s="533" t="s">
        <v>4</v>
      </c>
      <c r="O217" s="529">
        <f t="shared" si="4"/>
        <v>0</v>
      </c>
    </row>
    <row r="218" spans="1:15">
      <c r="A218" s="847"/>
      <c r="B218" s="848"/>
      <c r="C218" s="569"/>
      <c r="D218" s="569"/>
      <c r="E218" s="554"/>
      <c r="F218" s="562"/>
      <c r="G218" s="563" t="s">
        <v>1698</v>
      </c>
      <c r="H218" s="799"/>
      <c r="I218" s="569"/>
      <c r="J218" s="569"/>
      <c r="K218" s="569"/>
      <c r="L218" s="802"/>
      <c r="M218" s="532">
        <v>1</v>
      </c>
      <c r="N218" s="533" t="s">
        <v>4</v>
      </c>
      <c r="O218" s="529">
        <f t="shared" si="4"/>
        <v>0</v>
      </c>
    </row>
    <row r="219" spans="1:15">
      <c r="A219" s="849"/>
      <c r="B219" s="850"/>
      <c r="C219" s="569"/>
      <c r="D219" s="569"/>
      <c r="E219" s="554"/>
      <c r="F219" s="562"/>
      <c r="G219" s="563" t="s">
        <v>1581</v>
      </c>
      <c r="H219" s="800"/>
      <c r="I219" s="569"/>
      <c r="J219" s="569"/>
      <c r="K219" s="569"/>
      <c r="L219" s="803"/>
      <c r="M219" s="532">
        <v>1</v>
      </c>
      <c r="N219" s="533" t="s">
        <v>4</v>
      </c>
      <c r="O219" s="529">
        <f t="shared" si="4"/>
        <v>0</v>
      </c>
    </row>
    <row r="220" spans="1:15">
      <c r="A220" s="843"/>
      <c r="B220" s="844"/>
      <c r="C220" s="572" t="s">
        <v>628</v>
      </c>
      <c r="D220" s="569"/>
      <c r="E220" s="554"/>
      <c r="F220" s="562"/>
      <c r="G220" s="569"/>
      <c r="H220" s="569"/>
      <c r="I220" s="569"/>
      <c r="J220" s="569"/>
      <c r="K220" s="569"/>
      <c r="L220" s="569"/>
      <c r="M220" s="532">
        <v>1</v>
      </c>
      <c r="N220" s="533" t="s">
        <v>17</v>
      </c>
      <c r="O220" s="529">
        <f t="shared" si="4"/>
        <v>0</v>
      </c>
    </row>
    <row r="221" spans="1:15" ht="12.75" customHeight="1">
      <c r="A221" s="884">
        <v>35</v>
      </c>
      <c r="B221" s="885"/>
      <c r="C221" s="573" t="s">
        <v>1792</v>
      </c>
      <c r="D221" s="574">
        <v>1</v>
      </c>
      <c r="E221" s="566">
        <v>40</v>
      </c>
      <c r="F221" s="575" t="s">
        <v>694</v>
      </c>
      <c r="G221" s="573" t="s">
        <v>863</v>
      </c>
      <c r="H221" s="828">
        <v>38</v>
      </c>
      <c r="I221" s="576">
        <v>1381.84</v>
      </c>
      <c r="J221" s="576">
        <v>1381.84</v>
      </c>
      <c r="K221" s="890" t="s">
        <v>1549</v>
      </c>
      <c r="L221" s="893" t="s">
        <v>1793</v>
      </c>
      <c r="M221" s="532">
        <v>1</v>
      </c>
      <c r="N221" s="533" t="s">
        <v>17</v>
      </c>
      <c r="O221" s="529">
        <f t="shared" si="4"/>
        <v>40</v>
      </c>
    </row>
    <row r="222" spans="1:15">
      <c r="A222" s="886"/>
      <c r="B222" s="887"/>
      <c r="C222" s="577" t="s">
        <v>1794</v>
      </c>
      <c r="D222" s="574">
        <v>2</v>
      </c>
      <c r="E222" s="566">
        <v>40</v>
      </c>
      <c r="F222" s="575" t="s">
        <v>694</v>
      </c>
      <c r="G222" s="573" t="s">
        <v>863</v>
      </c>
      <c r="H222" s="829"/>
      <c r="I222" s="573" t="s">
        <v>1629</v>
      </c>
      <c r="J222" s="573" t="s">
        <v>1629</v>
      </c>
      <c r="K222" s="891"/>
      <c r="L222" s="894"/>
      <c r="M222" s="532">
        <v>1</v>
      </c>
      <c r="N222" s="533" t="s">
        <v>17</v>
      </c>
      <c r="O222" s="529">
        <f t="shared" si="4"/>
        <v>40</v>
      </c>
    </row>
    <row r="223" spans="1:15">
      <c r="A223" s="886"/>
      <c r="B223" s="887"/>
      <c r="C223" s="556"/>
      <c r="D223" s="556">
        <v>3</v>
      </c>
      <c r="E223" s="554">
        <v>40</v>
      </c>
      <c r="F223" s="555" t="s">
        <v>694</v>
      </c>
      <c r="G223" s="552" t="s">
        <v>863</v>
      </c>
      <c r="H223" s="829"/>
      <c r="I223" s="556"/>
      <c r="J223" s="556"/>
      <c r="K223" s="891"/>
      <c r="L223" s="894"/>
      <c r="M223" s="532">
        <v>1</v>
      </c>
      <c r="N223" s="533" t="s">
        <v>17</v>
      </c>
      <c r="O223" s="529">
        <f t="shared" si="4"/>
        <v>40</v>
      </c>
    </row>
    <row r="224" spans="1:15">
      <c r="A224" s="888"/>
      <c r="B224" s="889"/>
      <c r="C224" s="556"/>
      <c r="D224" s="556"/>
      <c r="E224" s="554"/>
      <c r="F224" s="555" t="s">
        <v>1795</v>
      </c>
      <c r="G224" s="552" t="s">
        <v>1796</v>
      </c>
      <c r="H224" s="830"/>
      <c r="I224" s="556"/>
      <c r="J224" s="556"/>
      <c r="K224" s="892"/>
      <c r="L224" s="895"/>
      <c r="M224" s="532">
        <v>1</v>
      </c>
      <c r="N224" s="533" t="s">
        <v>17</v>
      </c>
      <c r="O224" s="529">
        <f t="shared" si="4"/>
        <v>0</v>
      </c>
    </row>
    <row r="226" spans="5:5">
      <c r="E226" s="530">
        <f>SUM(E8:E224)</f>
        <v>12480.49</v>
      </c>
    </row>
    <row r="227" spans="5:5" ht="15">
      <c r="E227"/>
    </row>
    <row r="236" spans="5:5" ht="12.75" customHeight="1"/>
    <row r="237" spans="5:5" ht="12.75" customHeight="1"/>
    <row r="238" spans="5:5" ht="12.75" customHeight="1"/>
    <row r="239" spans="5:5" ht="12.75" customHeight="1"/>
    <row r="240" spans="5:5"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sheetData>
  <mergeCells count="150">
    <mergeCell ref="A220:B220"/>
    <mergeCell ref="A221:B224"/>
    <mergeCell ref="H221:H224"/>
    <mergeCell ref="K221:K224"/>
    <mergeCell ref="L221:L224"/>
    <mergeCell ref="A210:B210"/>
    <mergeCell ref="A211:B213"/>
    <mergeCell ref="H211:H213"/>
    <mergeCell ref="L211:L213"/>
    <mergeCell ref="A214:B219"/>
    <mergeCell ref="H214:H219"/>
    <mergeCell ref="L214:L219"/>
    <mergeCell ref="A202:B206"/>
    <mergeCell ref="H202:H206"/>
    <mergeCell ref="L202:L206"/>
    <mergeCell ref="A207:B209"/>
    <mergeCell ref="C207:C209"/>
    <mergeCell ref="H207:H209"/>
    <mergeCell ref="K207:K209"/>
    <mergeCell ref="L207:L209"/>
    <mergeCell ref="L193:L196"/>
    <mergeCell ref="A194:B194"/>
    <mergeCell ref="A195:B195"/>
    <mergeCell ref="A196:B196"/>
    <mergeCell ref="A197:B201"/>
    <mergeCell ref="L197:L201"/>
    <mergeCell ref="A192:B192"/>
    <mergeCell ref="A193:B193"/>
    <mergeCell ref="H193:H196"/>
    <mergeCell ref="I193:I196"/>
    <mergeCell ref="J193:J196"/>
    <mergeCell ref="K193:K196"/>
    <mergeCell ref="A184:B184"/>
    <mergeCell ref="A185:B191"/>
    <mergeCell ref="H185:H191"/>
    <mergeCell ref="J185:J191"/>
    <mergeCell ref="K185:K191"/>
    <mergeCell ref="L185:L191"/>
    <mergeCell ref="L167:L169"/>
    <mergeCell ref="A170:B177"/>
    <mergeCell ref="H170:H177"/>
    <mergeCell ref="L170:L177"/>
    <mergeCell ref="A178:B178"/>
    <mergeCell ref="A179:B183"/>
    <mergeCell ref="C179:C183"/>
    <mergeCell ref="H179:H183"/>
    <mergeCell ref="L179:L183"/>
    <mergeCell ref="A160:B160"/>
    <mergeCell ref="A161:B166"/>
    <mergeCell ref="H161:H166"/>
    <mergeCell ref="K161:K166"/>
    <mergeCell ref="A167:B169"/>
    <mergeCell ref="H167:H169"/>
    <mergeCell ref="A147:B152"/>
    <mergeCell ref="H147:H152"/>
    <mergeCell ref="L147:L152"/>
    <mergeCell ref="A153:B159"/>
    <mergeCell ref="C153:C159"/>
    <mergeCell ref="H153:H159"/>
    <mergeCell ref="A129:B136"/>
    <mergeCell ref="L129:L136"/>
    <mergeCell ref="A137:B137"/>
    <mergeCell ref="A138:B146"/>
    <mergeCell ref="C138:C146"/>
    <mergeCell ref="H138:H146"/>
    <mergeCell ref="K138:K146"/>
    <mergeCell ref="A122:B122"/>
    <mergeCell ref="A123:B127"/>
    <mergeCell ref="C123:C127"/>
    <mergeCell ref="H123:H127"/>
    <mergeCell ref="L123:L127"/>
    <mergeCell ref="A128:B128"/>
    <mergeCell ref="A107:B109"/>
    <mergeCell ref="H107:H109"/>
    <mergeCell ref="L107:L109"/>
    <mergeCell ref="A110:B110"/>
    <mergeCell ref="A111:B121"/>
    <mergeCell ref="H111:H121"/>
    <mergeCell ref="L111:L121"/>
    <mergeCell ref="A101:B101"/>
    <mergeCell ref="A102:B102"/>
    <mergeCell ref="A103:B103"/>
    <mergeCell ref="A104:B106"/>
    <mergeCell ref="H104:H106"/>
    <mergeCell ref="L104:L106"/>
    <mergeCell ref="A94:B96"/>
    <mergeCell ref="H94:H96"/>
    <mergeCell ref="K94:K96"/>
    <mergeCell ref="L94:L96"/>
    <mergeCell ref="A97:B97"/>
    <mergeCell ref="C97:C102"/>
    <mergeCell ref="L97:L102"/>
    <mergeCell ref="A98:B98"/>
    <mergeCell ref="A99:B99"/>
    <mergeCell ref="A100:B100"/>
    <mergeCell ref="A83:B88"/>
    <mergeCell ref="H83:H88"/>
    <mergeCell ref="K83:K88"/>
    <mergeCell ref="A89:B93"/>
    <mergeCell ref="H89:H93"/>
    <mergeCell ref="K89:K93"/>
    <mergeCell ref="A73:B73"/>
    <mergeCell ref="A74:B78"/>
    <mergeCell ref="H74:H78"/>
    <mergeCell ref="K74:K78"/>
    <mergeCell ref="L74:L78"/>
    <mergeCell ref="A79:B82"/>
    <mergeCell ref="H79:H82"/>
    <mergeCell ref="K79:K82"/>
    <mergeCell ref="L79:L82"/>
    <mergeCell ref="A64:B68"/>
    <mergeCell ref="H64:H68"/>
    <mergeCell ref="J64:J68"/>
    <mergeCell ref="L64:L68"/>
    <mergeCell ref="A69:B72"/>
    <mergeCell ref="H69:H72"/>
    <mergeCell ref="K69:K72"/>
    <mergeCell ref="L69:L72"/>
    <mergeCell ref="A55:B57"/>
    <mergeCell ref="H55:H57"/>
    <mergeCell ref="K55:K57"/>
    <mergeCell ref="L55:L57"/>
    <mergeCell ref="A58:B63"/>
    <mergeCell ref="H58:H63"/>
    <mergeCell ref="L58:L63"/>
    <mergeCell ref="A45:B48"/>
    <mergeCell ref="K45:K48"/>
    <mergeCell ref="L45:L48"/>
    <mergeCell ref="A49:B54"/>
    <mergeCell ref="H49:H54"/>
    <mergeCell ref="L49:L54"/>
    <mergeCell ref="L35:L39"/>
    <mergeCell ref="A40:B40"/>
    <mergeCell ref="A41:B44"/>
    <mergeCell ref="L41:L44"/>
    <mergeCell ref="A8:B23"/>
    <mergeCell ref="L8:L23"/>
    <mergeCell ref="A24:B24"/>
    <mergeCell ref="A25:B33"/>
    <mergeCell ref="H25:H33"/>
    <mergeCell ref="L25:L33"/>
    <mergeCell ref="A2:J2"/>
    <mergeCell ref="A3:J3"/>
    <mergeCell ref="A4:J4"/>
    <mergeCell ref="A5:B5"/>
    <mergeCell ref="A6:B6"/>
    <mergeCell ref="A7:B7"/>
    <mergeCell ref="A34:B34"/>
    <mergeCell ref="A35:B39"/>
    <mergeCell ref="H35:H3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Normal="100" workbookViewId="0"/>
  </sheetViews>
  <sheetFormatPr defaultRowHeight="15"/>
  <cols>
    <col min="1" max="1" width="2.85546875" style="608" customWidth="1"/>
    <col min="2" max="2" width="35.7109375" style="608" bestFit="1" customWidth="1"/>
    <col min="3" max="3" width="10.85546875" style="608" customWidth="1"/>
    <col min="4" max="4" width="11.42578125" style="608" bestFit="1" customWidth="1"/>
    <col min="5" max="5" width="9.85546875" style="608" customWidth="1"/>
    <col min="6" max="6" width="14" style="608" bestFit="1" customWidth="1"/>
    <col min="7" max="7" width="27.140625" style="608" bestFit="1" customWidth="1"/>
    <col min="8" max="16384" width="9.140625" style="608"/>
  </cols>
  <sheetData>
    <row r="1" spans="1:12" ht="15.75" thickBot="1">
      <c r="A1" s="608" t="s">
        <v>1915</v>
      </c>
    </row>
    <row r="2" spans="1:12">
      <c r="A2" s="605" t="s">
        <v>1809</v>
      </c>
      <c r="B2" s="606"/>
      <c r="C2" s="606"/>
      <c r="D2" s="606"/>
      <c r="E2" s="606"/>
      <c r="F2" s="606"/>
      <c r="G2" s="607"/>
    </row>
    <row r="3" spans="1:12" ht="120">
      <c r="A3" s="625" t="s">
        <v>120</v>
      </c>
      <c r="B3" s="626" t="s">
        <v>1810</v>
      </c>
      <c r="C3" s="626" t="s">
        <v>122</v>
      </c>
      <c r="D3" s="627" t="s">
        <v>1811</v>
      </c>
      <c r="E3" s="626" t="s">
        <v>1812</v>
      </c>
      <c r="F3" s="626" t="s">
        <v>1813</v>
      </c>
      <c r="G3" s="628" t="s">
        <v>1814</v>
      </c>
      <c r="H3" s="624" t="s">
        <v>982</v>
      </c>
      <c r="I3" s="623" t="s">
        <v>1815</v>
      </c>
    </row>
    <row r="4" spans="1:12" ht="12.4" customHeight="1">
      <c r="A4" s="609" t="s">
        <v>121</v>
      </c>
      <c r="B4" s="612"/>
      <c r="C4" s="612"/>
      <c r="D4" s="610" t="s">
        <v>1816</v>
      </c>
      <c r="E4" s="610" t="s">
        <v>48</v>
      </c>
      <c r="F4" s="610"/>
      <c r="G4" s="611"/>
      <c r="H4" s="613"/>
    </row>
    <row r="5" spans="1:12" ht="12.95" customHeight="1">
      <c r="A5" s="614"/>
      <c r="B5" s="615" t="s">
        <v>1817</v>
      </c>
      <c r="C5" s="616"/>
      <c r="D5" s="616"/>
      <c r="E5" s="616"/>
      <c r="F5" s="616"/>
      <c r="G5" s="617"/>
      <c r="H5" s="618"/>
    </row>
    <row r="6" spans="1:12" ht="13.15" customHeight="1">
      <c r="A6" s="619">
        <v>1</v>
      </c>
      <c r="B6" s="620" t="s">
        <v>1818</v>
      </c>
      <c r="C6" s="620" t="s">
        <v>1819</v>
      </c>
      <c r="D6" s="620" t="s">
        <v>1820</v>
      </c>
      <c r="E6" s="620">
        <v>1000</v>
      </c>
      <c r="F6" s="620" t="s">
        <v>1821</v>
      </c>
      <c r="G6" s="621" t="s">
        <v>849</v>
      </c>
      <c r="H6" s="622" t="s">
        <v>89</v>
      </c>
      <c r="I6" s="608">
        <v>1</v>
      </c>
      <c r="K6" s="540" t="s">
        <v>14</v>
      </c>
      <c r="L6" s="530">
        <f>SUMPRODUCT(--($H$6:$H$43=K6),$E$6:$E$43,$I$6:$I$43)</f>
        <v>960</v>
      </c>
    </row>
    <row r="7" spans="1:12" ht="13.35" customHeight="1">
      <c r="A7" s="619">
        <v>2</v>
      </c>
      <c r="B7" s="620" t="s">
        <v>1797</v>
      </c>
      <c r="C7" s="620" t="s">
        <v>1822</v>
      </c>
      <c r="D7" s="620" t="s">
        <v>1823</v>
      </c>
      <c r="E7" s="620">
        <v>800</v>
      </c>
      <c r="F7" s="620" t="s">
        <v>1824</v>
      </c>
      <c r="G7" s="621" t="s">
        <v>863</v>
      </c>
      <c r="H7" s="622" t="s">
        <v>88</v>
      </c>
      <c r="I7" s="608">
        <v>1</v>
      </c>
      <c r="K7" s="545" t="s">
        <v>90</v>
      </c>
      <c r="L7" s="530">
        <f t="shared" ref="L7:L30" si="0">SUMPRODUCT(--($H$6:$H$43=K7),$E$6:$E$43,$I$6:$I$43)</f>
        <v>1150</v>
      </c>
    </row>
    <row r="8" spans="1:12" ht="13.15" customHeight="1">
      <c r="A8" s="619">
        <v>3</v>
      </c>
      <c r="B8" s="620" t="s">
        <v>1798</v>
      </c>
      <c r="C8" s="620" t="s">
        <v>76</v>
      </c>
      <c r="D8" s="620" t="s">
        <v>1825</v>
      </c>
      <c r="E8" s="620">
        <v>520</v>
      </c>
      <c r="F8" s="620" t="s">
        <v>1826</v>
      </c>
      <c r="G8" s="621" t="s">
        <v>834</v>
      </c>
      <c r="H8" s="622" t="s">
        <v>4</v>
      </c>
      <c r="I8" s="608">
        <v>1</v>
      </c>
      <c r="K8" s="540" t="s">
        <v>29</v>
      </c>
      <c r="L8" s="530">
        <f t="shared" si="0"/>
        <v>2000</v>
      </c>
    </row>
    <row r="9" spans="1:12" ht="13.15" customHeight="1">
      <c r="A9" s="619">
        <v>4</v>
      </c>
      <c r="B9" s="620" t="s">
        <v>1799</v>
      </c>
      <c r="C9" s="620" t="s">
        <v>1827</v>
      </c>
      <c r="D9" s="620" t="s">
        <v>1828</v>
      </c>
      <c r="E9" s="620">
        <v>2000</v>
      </c>
      <c r="F9" s="620" t="s">
        <v>1829</v>
      </c>
      <c r="G9" s="621" t="s">
        <v>834</v>
      </c>
      <c r="H9" s="622" t="s">
        <v>29</v>
      </c>
      <c r="I9" s="608">
        <v>1</v>
      </c>
      <c r="K9" s="545" t="s">
        <v>19</v>
      </c>
      <c r="L9" s="530">
        <f t="shared" si="0"/>
        <v>0</v>
      </c>
    </row>
    <row r="10" spans="1:12" ht="13.35" customHeight="1">
      <c r="A10" s="691">
        <v>5</v>
      </c>
      <c r="B10" s="692" t="s">
        <v>1800</v>
      </c>
      <c r="C10" s="692" t="s">
        <v>76</v>
      </c>
      <c r="D10" s="692" t="s">
        <v>1820</v>
      </c>
      <c r="E10" s="692">
        <v>1000</v>
      </c>
      <c r="F10" s="692" t="s">
        <v>1830</v>
      </c>
      <c r="G10" s="693" t="s">
        <v>863</v>
      </c>
      <c r="H10" s="694" t="s">
        <v>4</v>
      </c>
      <c r="I10" s="695">
        <v>0</v>
      </c>
      <c r="K10" s="540" t="s">
        <v>18</v>
      </c>
      <c r="L10" s="530">
        <f t="shared" si="0"/>
        <v>0</v>
      </c>
    </row>
    <row r="11" spans="1:12" ht="13.15" customHeight="1">
      <c r="A11" s="691">
        <v>6</v>
      </c>
      <c r="B11" s="692" t="s">
        <v>1831</v>
      </c>
      <c r="C11" s="692" t="s">
        <v>76</v>
      </c>
      <c r="D11" s="692" t="s">
        <v>1832</v>
      </c>
      <c r="E11" s="692">
        <v>171</v>
      </c>
      <c r="F11" s="692" t="s">
        <v>1833</v>
      </c>
      <c r="G11" s="693" t="s">
        <v>1834</v>
      </c>
      <c r="H11" s="694" t="s">
        <v>4</v>
      </c>
      <c r="I11" s="695">
        <v>1</v>
      </c>
      <c r="K11" s="545" t="s">
        <v>91</v>
      </c>
      <c r="L11" s="530">
        <f t="shared" si="0"/>
        <v>0</v>
      </c>
    </row>
    <row r="12" spans="1:12" ht="13.15" customHeight="1">
      <c r="A12" s="691">
        <v>7</v>
      </c>
      <c r="B12" s="692" t="s">
        <v>1801</v>
      </c>
      <c r="C12" s="692" t="s">
        <v>76</v>
      </c>
      <c r="D12" s="692" t="s">
        <v>1835</v>
      </c>
      <c r="E12" s="692">
        <v>444</v>
      </c>
      <c r="F12" s="692" t="s">
        <v>1836</v>
      </c>
      <c r="G12" s="693" t="s">
        <v>834</v>
      </c>
      <c r="H12" s="694" t="s">
        <v>4</v>
      </c>
      <c r="I12" s="695">
        <v>1</v>
      </c>
      <c r="K12" s="540" t="s">
        <v>8</v>
      </c>
      <c r="L12" s="530">
        <f t="shared" si="0"/>
        <v>0</v>
      </c>
    </row>
    <row r="13" spans="1:12" ht="14.45" customHeight="1">
      <c r="A13" s="691">
        <v>8</v>
      </c>
      <c r="B13" s="692" t="s">
        <v>1802</v>
      </c>
      <c r="C13" s="692" t="s">
        <v>76</v>
      </c>
      <c r="D13" s="692" t="s">
        <v>774</v>
      </c>
      <c r="E13" s="692">
        <v>60</v>
      </c>
      <c r="F13" s="692" t="s">
        <v>1837</v>
      </c>
      <c r="G13" s="693" t="s">
        <v>863</v>
      </c>
      <c r="H13" s="694" t="s">
        <v>4</v>
      </c>
      <c r="I13" s="695">
        <v>1</v>
      </c>
      <c r="K13" s="545" t="s">
        <v>5</v>
      </c>
      <c r="L13" s="530">
        <f t="shared" si="0"/>
        <v>0</v>
      </c>
    </row>
    <row r="14" spans="1:12" ht="14.45" customHeight="1">
      <c r="A14" s="691">
        <v>9</v>
      </c>
      <c r="B14" s="692" t="s">
        <v>1803</v>
      </c>
      <c r="C14" s="692" t="s">
        <v>628</v>
      </c>
      <c r="D14" s="692" t="s">
        <v>709</v>
      </c>
      <c r="E14" s="692">
        <v>120</v>
      </c>
      <c r="F14" s="692" t="s">
        <v>1838</v>
      </c>
      <c r="G14" s="693" t="s">
        <v>863</v>
      </c>
      <c r="H14" s="694" t="s">
        <v>17</v>
      </c>
      <c r="I14" s="695">
        <v>1</v>
      </c>
      <c r="K14" s="540" t="s">
        <v>88</v>
      </c>
      <c r="L14" s="530">
        <f t="shared" si="0"/>
        <v>2224</v>
      </c>
    </row>
    <row r="15" spans="1:12" ht="14.45" customHeight="1">
      <c r="A15" s="691">
        <v>10</v>
      </c>
      <c r="B15" s="692" t="s">
        <v>1804</v>
      </c>
      <c r="C15" s="692" t="s">
        <v>71</v>
      </c>
      <c r="D15" s="692" t="s">
        <v>1839</v>
      </c>
      <c r="E15" s="692">
        <v>500</v>
      </c>
      <c r="F15" s="692" t="s">
        <v>1840</v>
      </c>
      <c r="G15" s="693" t="s">
        <v>834</v>
      </c>
      <c r="H15" s="694" t="s">
        <v>90</v>
      </c>
      <c r="I15" s="695">
        <v>1</v>
      </c>
      <c r="K15" s="545" t="s">
        <v>89</v>
      </c>
      <c r="L15" s="530">
        <f t="shared" si="0"/>
        <v>2559.5</v>
      </c>
    </row>
    <row r="16" spans="1:12" ht="14.45" customHeight="1">
      <c r="A16" s="691">
        <v>11</v>
      </c>
      <c r="B16" s="692" t="s">
        <v>1805</v>
      </c>
      <c r="C16" s="692" t="s">
        <v>1819</v>
      </c>
      <c r="D16" s="692" t="s">
        <v>1841</v>
      </c>
      <c r="E16" s="692">
        <v>850</v>
      </c>
      <c r="F16" s="692" t="s">
        <v>1842</v>
      </c>
      <c r="G16" s="693" t="s">
        <v>1834</v>
      </c>
      <c r="H16" s="694" t="s">
        <v>89</v>
      </c>
      <c r="I16" s="695">
        <v>1</v>
      </c>
      <c r="K16" s="540" t="s">
        <v>20</v>
      </c>
      <c r="L16" s="530">
        <f t="shared" si="0"/>
        <v>0</v>
      </c>
    </row>
    <row r="17" spans="1:12" ht="14.45" customHeight="1">
      <c r="A17" s="691">
        <v>12</v>
      </c>
      <c r="B17" s="692" t="s">
        <v>1806</v>
      </c>
      <c r="C17" s="692" t="s">
        <v>1819</v>
      </c>
      <c r="D17" s="692" t="s">
        <v>1843</v>
      </c>
      <c r="E17" s="692">
        <v>624</v>
      </c>
      <c r="F17" s="692" t="s">
        <v>1840</v>
      </c>
      <c r="G17" s="693" t="s">
        <v>1505</v>
      </c>
      <c r="H17" s="694" t="s">
        <v>89</v>
      </c>
      <c r="I17" s="695">
        <v>1</v>
      </c>
      <c r="K17" s="545" t="s">
        <v>11</v>
      </c>
      <c r="L17" s="530">
        <f t="shared" si="0"/>
        <v>0</v>
      </c>
    </row>
    <row r="18" spans="1:12" ht="14.45" customHeight="1">
      <c r="A18" s="691">
        <v>13</v>
      </c>
      <c r="B18" s="692" t="s">
        <v>1807</v>
      </c>
      <c r="C18" s="692" t="s">
        <v>918</v>
      </c>
      <c r="D18" s="692" t="s">
        <v>709</v>
      </c>
      <c r="E18" s="692">
        <v>120</v>
      </c>
      <c r="F18" s="692" t="s">
        <v>1844</v>
      </c>
      <c r="G18" s="693" t="s">
        <v>1845</v>
      </c>
      <c r="H18" s="694" t="s">
        <v>90</v>
      </c>
      <c r="I18" s="695">
        <v>1</v>
      </c>
      <c r="K18" s="540" t="s">
        <v>12</v>
      </c>
      <c r="L18" s="530">
        <f t="shared" si="0"/>
        <v>100</v>
      </c>
    </row>
    <row r="19" spans="1:12" ht="14.45" customHeight="1">
      <c r="A19" s="691">
        <v>14</v>
      </c>
      <c r="B19" s="692" t="s">
        <v>1808</v>
      </c>
      <c r="C19" s="692" t="s">
        <v>1822</v>
      </c>
      <c r="D19" s="692" t="s">
        <v>1846</v>
      </c>
      <c r="E19" s="692">
        <v>210</v>
      </c>
      <c r="F19" s="692" t="s">
        <v>1847</v>
      </c>
      <c r="G19" s="693" t="s">
        <v>849</v>
      </c>
      <c r="H19" s="694" t="s">
        <v>88</v>
      </c>
      <c r="I19" s="695">
        <v>1</v>
      </c>
      <c r="K19" s="545" t="s">
        <v>9</v>
      </c>
      <c r="L19" s="530">
        <f t="shared" si="0"/>
        <v>400</v>
      </c>
    </row>
    <row r="20" spans="1:12" ht="12.95" customHeight="1">
      <c r="A20" s="691"/>
      <c r="B20" s="696" t="s">
        <v>1848</v>
      </c>
      <c r="C20" s="692"/>
      <c r="D20" s="692"/>
      <c r="E20" s="692"/>
      <c r="F20" s="692"/>
      <c r="G20" s="693"/>
      <c r="H20" s="694"/>
      <c r="I20" s="695">
        <v>1</v>
      </c>
      <c r="K20" s="540" t="s">
        <v>10</v>
      </c>
      <c r="L20" s="530">
        <f t="shared" si="0"/>
        <v>0</v>
      </c>
    </row>
    <row r="21" spans="1:12" ht="14.1" customHeight="1">
      <c r="A21" s="691">
        <v>15</v>
      </c>
      <c r="B21" s="692" t="s">
        <v>1849</v>
      </c>
      <c r="C21" s="692" t="s">
        <v>1819</v>
      </c>
      <c r="D21" s="692" t="s">
        <v>1850</v>
      </c>
      <c r="E21" s="692">
        <v>37.5</v>
      </c>
      <c r="F21" s="692" t="s">
        <v>1851</v>
      </c>
      <c r="G21" s="693" t="s">
        <v>863</v>
      </c>
      <c r="H21" s="694" t="s">
        <v>89</v>
      </c>
      <c r="I21" s="695">
        <v>1</v>
      </c>
      <c r="K21" s="545" t="s">
        <v>16</v>
      </c>
      <c r="L21" s="530">
        <f t="shared" si="0"/>
        <v>0</v>
      </c>
    </row>
    <row r="22" spans="1:12" ht="14.65" customHeight="1">
      <c r="A22" s="691">
        <v>16</v>
      </c>
      <c r="B22" s="692" t="s">
        <v>1852</v>
      </c>
      <c r="C22" s="692" t="s">
        <v>1819</v>
      </c>
      <c r="D22" s="692" t="s">
        <v>1853</v>
      </c>
      <c r="E22" s="692">
        <v>48</v>
      </c>
      <c r="F22" s="692" t="s">
        <v>1854</v>
      </c>
      <c r="G22" s="693" t="s">
        <v>1834</v>
      </c>
      <c r="H22" s="694" t="s">
        <v>89</v>
      </c>
      <c r="I22" s="695">
        <v>1</v>
      </c>
      <c r="K22" s="540" t="s">
        <v>1</v>
      </c>
      <c r="L22" s="530">
        <f t="shared" si="0"/>
        <v>206</v>
      </c>
    </row>
    <row r="23" spans="1:12" ht="12.95" customHeight="1">
      <c r="A23" s="691">
        <v>17</v>
      </c>
      <c r="B23" s="692" t="s">
        <v>1855</v>
      </c>
      <c r="C23" s="692" t="s">
        <v>1822</v>
      </c>
      <c r="D23" s="692" t="s">
        <v>1856</v>
      </c>
      <c r="E23" s="692">
        <v>100</v>
      </c>
      <c r="F23" s="692" t="s">
        <v>1857</v>
      </c>
      <c r="G23" s="693" t="s">
        <v>863</v>
      </c>
      <c r="H23" s="694" t="s">
        <v>88</v>
      </c>
      <c r="I23" s="695">
        <v>1</v>
      </c>
      <c r="K23" s="545" t="s">
        <v>6</v>
      </c>
      <c r="L23" s="530">
        <f t="shared" si="0"/>
        <v>0</v>
      </c>
    </row>
    <row r="24" spans="1:12" ht="13.15" customHeight="1">
      <c r="A24" s="691">
        <v>18</v>
      </c>
      <c r="B24" s="692" t="s">
        <v>1858</v>
      </c>
      <c r="C24" s="692" t="s">
        <v>1822</v>
      </c>
      <c r="D24" s="692" t="s">
        <v>1859</v>
      </c>
      <c r="E24" s="692">
        <v>450</v>
      </c>
      <c r="F24" s="692" t="s">
        <v>1860</v>
      </c>
      <c r="G24" s="693" t="s">
        <v>1505</v>
      </c>
      <c r="H24" s="694" t="s">
        <v>88</v>
      </c>
      <c r="I24" s="695">
        <v>1</v>
      </c>
      <c r="K24" s="540" t="s">
        <v>13</v>
      </c>
      <c r="L24" s="530">
        <f t="shared" si="0"/>
        <v>0</v>
      </c>
    </row>
    <row r="25" spans="1:12" ht="13.15" customHeight="1">
      <c r="A25" s="691">
        <v>19</v>
      </c>
      <c r="B25" s="692" t="s">
        <v>1861</v>
      </c>
      <c r="C25" s="692" t="s">
        <v>76</v>
      </c>
      <c r="D25" s="692" t="s">
        <v>1862</v>
      </c>
      <c r="E25" s="692">
        <v>120</v>
      </c>
      <c r="F25" s="692" t="s">
        <v>1863</v>
      </c>
      <c r="G25" s="693" t="s">
        <v>863</v>
      </c>
      <c r="H25" s="694" t="s">
        <v>4</v>
      </c>
      <c r="I25" s="695">
        <v>1</v>
      </c>
      <c r="K25" s="545" t="s">
        <v>15</v>
      </c>
      <c r="L25" s="530">
        <f t="shared" si="0"/>
        <v>0</v>
      </c>
    </row>
    <row r="26" spans="1:12" ht="13.15" customHeight="1">
      <c r="A26" s="691">
        <v>20</v>
      </c>
      <c r="B26" s="692" t="s">
        <v>1864</v>
      </c>
      <c r="C26" s="692" t="s">
        <v>69</v>
      </c>
      <c r="D26" s="692" t="s">
        <v>1671</v>
      </c>
      <c r="E26" s="692">
        <v>206</v>
      </c>
      <c r="F26" s="692" t="s">
        <v>1865</v>
      </c>
      <c r="G26" s="693" t="s">
        <v>1505</v>
      </c>
      <c r="H26" s="694" t="s">
        <v>1</v>
      </c>
      <c r="I26" s="695">
        <v>1</v>
      </c>
      <c r="K26" s="540" t="s">
        <v>0</v>
      </c>
      <c r="L26" s="530">
        <f t="shared" si="0"/>
        <v>0</v>
      </c>
    </row>
    <row r="27" spans="1:12" ht="13.35" customHeight="1">
      <c r="A27" s="691">
        <v>21</v>
      </c>
      <c r="B27" s="692" t="s">
        <v>1866</v>
      </c>
      <c r="C27" s="692" t="s">
        <v>63</v>
      </c>
      <c r="D27" s="692" t="s">
        <v>1867</v>
      </c>
      <c r="E27" s="692">
        <v>80</v>
      </c>
      <c r="F27" s="692" t="s">
        <v>1868</v>
      </c>
      <c r="G27" s="693" t="s">
        <v>1834</v>
      </c>
      <c r="H27" s="694" t="s">
        <v>10</v>
      </c>
      <c r="I27" s="695">
        <v>0</v>
      </c>
      <c r="K27" s="545" t="s">
        <v>4</v>
      </c>
      <c r="L27" s="530">
        <f t="shared" si="0"/>
        <v>1391</v>
      </c>
    </row>
    <row r="28" spans="1:12" ht="15.75" customHeight="1">
      <c r="A28" s="691">
        <v>22</v>
      </c>
      <c r="B28" s="692" t="s">
        <v>1869</v>
      </c>
      <c r="C28" s="692" t="s">
        <v>49</v>
      </c>
      <c r="D28" s="692" t="s">
        <v>1870</v>
      </c>
      <c r="E28" s="692">
        <v>960</v>
      </c>
      <c r="F28" s="692" t="s">
        <v>1871</v>
      </c>
      <c r="G28" s="693" t="s">
        <v>1872</v>
      </c>
      <c r="H28" s="694" t="s">
        <v>14</v>
      </c>
      <c r="I28" s="695">
        <v>1</v>
      </c>
      <c r="K28" s="540" t="s">
        <v>17</v>
      </c>
      <c r="L28" s="530">
        <f t="shared" si="0"/>
        <v>120</v>
      </c>
    </row>
    <row r="29" spans="1:12" ht="14.25" customHeight="1">
      <c r="A29" s="691">
        <v>23</v>
      </c>
      <c r="B29" s="692" t="s">
        <v>1873</v>
      </c>
      <c r="C29" s="692" t="s">
        <v>61</v>
      </c>
      <c r="D29" s="692" t="s">
        <v>774</v>
      </c>
      <c r="E29" s="692">
        <v>60</v>
      </c>
      <c r="F29" s="692" t="s">
        <v>1874</v>
      </c>
      <c r="G29" s="693" t="s">
        <v>721</v>
      </c>
      <c r="H29" s="694" t="s">
        <v>12</v>
      </c>
      <c r="I29" s="695">
        <v>1</v>
      </c>
      <c r="K29" s="545" t="s">
        <v>92</v>
      </c>
      <c r="L29" s="530">
        <f t="shared" si="0"/>
        <v>0</v>
      </c>
    </row>
    <row r="30" spans="1:12" ht="13.35" customHeight="1">
      <c r="A30" s="691">
        <v>24</v>
      </c>
      <c r="B30" s="692" t="s">
        <v>1875</v>
      </c>
      <c r="C30" s="692" t="s">
        <v>61</v>
      </c>
      <c r="D30" s="692" t="s">
        <v>1876</v>
      </c>
      <c r="E30" s="692">
        <v>40</v>
      </c>
      <c r="F30" s="692" t="s">
        <v>1877</v>
      </c>
      <c r="G30" s="693" t="s">
        <v>721</v>
      </c>
      <c r="H30" s="694" t="s">
        <v>12</v>
      </c>
      <c r="I30" s="695">
        <v>1</v>
      </c>
      <c r="K30" s="540" t="s">
        <v>93</v>
      </c>
      <c r="L30" s="530">
        <f t="shared" si="0"/>
        <v>0</v>
      </c>
    </row>
    <row r="31" spans="1:12" ht="12.75" customHeight="1">
      <c r="A31" s="691">
        <v>25</v>
      </c>
      <c r="B31" s="692" t="s">
        <v>1878</v>
      </c>
      <c r="C31" s="692" t="s">
        <v>72</v>
      </c>
      <c r="D31" s="692" t="s">
        <v>1839</v>
      </c>
      <c r="E31" s="692">
        <v>500</v>
      </c>
      <c r="F31" s="692" t="s">
        <v>1879</v>
      </c>
      <c r="G31" s="693" t="s">
        <v>834</v>
      </c>
      <c r="H31" s="694" t="s">
        <v>13</v>
      </c>
      <c r="I31" s="695">
        <v>0</v>
      </c>
    </row>
    <row r="32" spans="1:12" ht="12.75" customHeight="1">
      <c r="A32" s="691"/>
      <c r="B32" s="696" t="s">
        <v>1880</v>
      </c>
      <c r="C32" s="692"/>
      <c r="D32" s="692"/>
      <c r="E32" s="692"/>
      <c r="F32" s="692"/>
      <c r="G32" s="693"/>
      <c r="H32" s="694"/>
      <c r="I32" s="695">
        <v>1</v>
      </c>
    </row>
    <row r="33" spans="1:9" ht="13.9" customHeight="1">
      <c r="A33" s="619">
        <v>26</v>
      </c>
      <c r="B33" s="620" t="s">
        <v>1881</v>
      </c>
      <c r="C33" s="620" t="s">
        <v>1822</v>
      </c>
      <c r="D33" s="620" t="s">
        <v>819</v>
      </c>
      <c r="E33" s="620">
        <v>100</v>
      </c>
      <c r="F33" s="620" t="s">
        <v>1882</v>
      </c>
      <c r="G33" s="621" t="s">
        <v>721</v>
      </c>
      <c r="H33" s="622" t="s">
        <v>88</v>
      </c>
      <c r="I33" s="608">
        <v>1</v>
      </c>
    </row>
    <row r="34" spans="1:9" ht="14.45" customHeight="1">
      <c r="A34" s="619">
        <v>27</v>
      </c>
      <c r="B34" s="620" t="s">
        <v>1883</v>
      </c>
      <c r="C34" s="620" t="s">
        <v>1822</v>
      </c>
      <c r="D34" s="620" t="s">
        <v>819</v>
      </c>
      <c r="E34" s="620">
        <v>100</v>
      </c>
      <c r="F34" s="620" t="s">
        <v>1884</v>
      </c>
      <c r="G34" s="621" t="s">
        <v>863</v>
      </c>
      <c r="H34" s="622" t="s">
        <v>88</v>
      </c>
      <c r="I34" s="608">
        <v>1</v>
      </c>
    </row>
    <row r="35" spans="1:9" ht="13.9" customHeight="1">
      <c r="A35" s="619">
        <v>28</v>
      </c>
      <c r="B35" s="620" t="s">
        <v>1885</v>
      </c>
      <c r="C35" s="620" t="s">
        <v>1822</v>
      </c>
      <c r="D35" s="620" t="s">
        <v>1886</v>
      </c>
      <c r="E35" s="620">
        <v>44</v>
      </c>
      <c r="F35" s="620" t="s">
        <v>1887</v>
      </c>
      <c r="G35" s="621" t="s">
        <v>1845</v>
      </c>
      <c r="H35" s="622" t="s">
        <v>88</v>
      </c>
      <c r="I35" s="608">
        <v>1</v>
      </c>
    </row>
    <row r="36" spans="1:9" ht="13.9" customHeight="1">
      <c r="A36" s="619">
        <v>29</v>
      </c>
      <c r="B36" s="620" t="s">
        <v>1888</v>
      </c>
      <c r="C36" s="620" t="s">
        <v>1822</v>
      </c>
      <c r="D36" s="620" t="s">
        <v>702</v>
      </c>
      <c r="E36" s="620">
        <v>180</v>
      </c>
      <c r="F36" s="620" t="s">
        <v>1889</v>
      </c>
      <c r="G36" s="621" t="s">
        <v>721</v>
      </c>
      <c r="H36" s="622" t="s">
        <v>88</v>
      </c>
      <c r="I36" s="608">
        <v>1</v>
      </c>
    </row>
    <row r="37" spans="1:9" ht="16.149999999999999" customHeight="1">
      <c r="A37" s="619">
        <v>30</v>
      </c>
      <c r="B37" s="620" t="s">
        <v>1890</v>
      </c>
      <c r="C37" s="620" t="s">
        <v>76</v>
      </c>
      <c r="D37" s="620" t="s">
        <v>1891</v>
      </c>
      <c r="E37" s="620">
        <v>76</v>
      </c>
      <c r="F37" s="620" t="s">
        <v>1892</v>
      </c>
      <c r="G37" s="621" t="s">
        <v>1845</v>
      </c>
      <c r="H37" s="622" t="s">
        <v>4</v>
      </c>
      <c r="I37" s="608">
        <v>1</v>
      </c>
    </row>
    <row r="38" spans="1:9" ht="15.95" customHeight="1">
      <c r="A38" s="619">
        <v>31</v>
      </c>
      <c r="B38" s="620" t="s">
        <v>1893</v>
      </c>
      <c r="C38" s="620" t="s">
        <v>1894</v>
      </c>
      <c r="D38" s="620" t="s">
        <v>1895</v>
      </c>
      <c r="E38" s="620">
        <v>400</v>
      </c>
      <c r="F38" s="620" t="s">
        <v>1896</v>
      </c>
      <c r="G38" s="621" t="s">
        <v>1897</v>
      </c>
      <c r="H38" s="622" t="s">
        <v>9</v>
      </c>
      <c r="I38" s="608">
        <v>1</v>
      </c>
    </row>
    <row r="39" spans="1:9" ht="14.1" customHeight="1">
      <c r="A39" s="619">
        <v>32</v>
      </c>
      <c r="B39" s="620" t="s">
        <v>1898</v>
      </c>
      <c r="C39" s="620" t="s">
        <v>71</v>
      </c>
      <c r="D39" s="620" t="s">
        <v>1899</v>
      </c>
      <c r="E39" s="620">
        <v>51</v>
      </c>
      <c r="F39" s="620" t="s">
        <v>1900</v>
      </c>
      <c r="G39" s="621" t="s">
        <v>1845</v>
      </c>
      <c r="H39" s="622" t="s">
        <v>90</v>
      </c>
      <c r="I39" s="608">
        <v>1</v>
      </c>
    </row>
    <row r="40" spans="1:9" ht="14.85" customHeight="1">
      <c r="A40" s="619">
        <v>33</v>
      </c>
      <c r="B40" s="620" t="s">
        <v>1901</v>
      </c>
      <c r="C40" s="620" t="s">
        <v>71</v>
      </c>
      <c r="D40" s="620" t="s">
        <v>1902</v>
      </c>
      <c r="E40" s="620">
        <v>66</v>
      </c>
      <c r="F40" s="620" t="s">
        <v>1903</v>
      </c>
      <c r="G40" s="621" t="s">
        <v>1845</v>
      </c>
      <c r="H40" s="622" t="s">
        <v>90</v>
      </c>
      <c r="I40" s="608">
        <v>1</v>
      </c>
    </row>
    <row r="41" spans="1:9" ht="14.65" customHeight="1">
      <c r="A41" s="619">
        <v>34</v>
      </c>
      <c r="B41" s="620" t="s">
        <v>1904</v>
      </c>
      <c r="C41" s="620" t="s">
        <v>71</v>
      </c>
      <c r="D41" s="620" t="s">
        <v>1905</v>
      </c>
      <c r="E41" s="620">
        <v>113</v>
      </c>
      <c r="F41" s="620" t="s">
        <v>1906</v>
      </c>
      <c r="G41" s="621" t="s">
        <v>721</v>
      </c>
      <c r="H41" s="622" t="s">
        <v>90</v>
      </c>
      <c r="I41" s="608">
        <v>1</v>
      </c>
    </row>
    <row r="42" spans="1:9" ht="13.5" customHeight="1">
      <c r="A42" s="619">
        <v>35</v>
      </c>
      <c r="B42" s="620" t="s">
        <v>1907</v>
      </c>
      <c r="C42" s="620" t="s">
        <v>71</v>
      </c>
      <c r="D42" s="620" t="s">
        <v>1908</v>
      </c>
      <c r="E42" s="620">
        <v>300</v>
      </c>
      <c r="F42" s="620" t="s">
        <v>1909</v>
      </c>
      <c r="G42" s="621" t="s">
        <v>1834</v>
      </c>
      <c r="H42" s="622" t="s">
        <v>90</v>
      </c>
      <c r="I42" s="608">
        <v>1</v>
      </c>
    </row>
    <row r="43" spans="1:9" ht="13.35" customHeight="1">
      <c r="A43" s="619">
        <v>36</v>
      </c>
      <c r="B43" s="620" t="s">
        <v>1910</v>
      </c>
      <c r="C43" s="620" t="s">
        <v>1822</v>
      </c>
      <c r="D43" s="620" t="s">
        <v>1911</v>
      </c>
      <c r="E43" s="620">
        <v>240</v>
      </c>
      <c r="F43" s="620" t="s">
        <v>1912</v>
      </c>
      <c r="G43" s="621" t="s">
        <v>1505</v>
      </c>
      <c r="H43" s="622" t="s">
        <v>88</v>
      </c>
      <c r="I43" s="608">
        <v>1</v>
      </c>
    </row>
    <row r="44" spans="1:9" ht="49.35" customHeight="1" thickBot="1">
      <c r="A44" s="896" t="s">
        <v>1913</v>
      </c>
      <c r="B44" s="897"/>
      <c r="C44" s="897"/>
      <c r="D44" s="897"/>
      <c r="E44" s="897"/>
      <c r="F44" s="897"/>
      <c r="G44" s="898"/>
      <c r="I44" s="608">
        <v>1</v>
      </c>
    </row>
  </sheetData>
  <mergeCells count="1">
    <mergeCell ref="A44:G4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U74"/>
  <sheetViews>
    <sheetView zoomScaleNormal="100" workbookViewId="0"/>
  </sheetViews>
  <sheetFormatPr defaultRowHeight="15"/>
  <cols>
    <col min="1" max="2" width="9.140625" style="416"/>
    <col min="3" max="3" width="17.7109375" style="416" bestFit="1" customWidth="1"/>
    <col min="4" max="4" width="16" style="416" bestFit="1" customWidth="1"/>
    <col min="5" max="14" width="9.140625" style="416"/>
    <col min="15" max="15" width="13.7109375" style="416" bestFit="1" customWidth="1"/>
    <col min="16" max="16" width="20.140625" style="416" bestFit="1" customWidth="1"/>
    <col min="17" max="17" width="14.7109375" style="416" customWidth="1"/>
    <col min="18" max="19" width="20.85546875" style="416" customWidth="1"/>
    <col min="20" max="16384" width="9.140625" style="416"/>
  </cols>
  <sheetData>
    <row r="1" spans="1:47">
      <c r="A1" s="39" t="s">
        <v>905</v>
      </c>
    </row>
    <row r="2" spans="1:47">
      <c r="A2" s="237" t="s">
        <v>623</v>
      </c>
    </row>
    <row r="3" spans="1:47" ht="71.25" customHeight="1">
      <c r="D3" s="899" t="s">
        <v>634</v>
      </c>
      <c r="E3" s="900"/>
      <c r="F3" s="899" t="s">
        <v>635</v>
      </c>
      <c r="G3" s="900"/>
      <c r="H3" s="899" t="s">
        <v>636</v>
      </c>
      <c r="I3" s="900"/>
      <c r="J3" s="899" t="s">
        <v>637</v>
      </c>
      <c r="K3" s="900"/>
      <c r="P3" s="39" t="s">
        <v>639</v>
      </c>
      <c r="T3" s="39" t="s">
        <v>1248</v>
      </c>
      <c r="U3" s="242"/>
      <c r="V3" s="39"/>
      <c r="W3" s="39"/>
      <c r="X3" s="39"/>
      <c r="Y3" s="39"/>
      <c r="Z3" s="39"/>
      <c r="AA3" s="39"/>
      <c r="AB3" s="39"/>
      <c r="AC3" s="39"/>
      <c r="AD3" s="39"/>
      <c r="AE3" s="39"/>
      <c r="AF3" s="39"/>
      <c r="AG3" s="39"/>
      <c r="AH3" s="39"/>
      <c r="AI3" s="39"/>
      <c r="AJ3" s="335" t="s">
        <v>1247</v>
      </c>
      <c r="AK3" s="39"/>
    </row>
    <row r="4" spans="1:47" ht="60">
      <c r="D4" s="39" t="s">
        <v>631</v>
      </c>
      <c r="E4" s="227" t="s">
        <v>632</v>
      </c>
      <c r="F4" s="39" t="s">
        <v>48</v>
      </c>
      <c r="G4" s="39" t="s">
        <v>633</v>
      </c>
      <c r="H4" s="39" t="s">
        <v>48</v>
      </c>
      <c r="I4" s="39" t="s">
        <v>633</v>
      </c>
      <c r="J4" s="39" t="s">
        <v>48</v>
      </c>
      <c r="K4" s="39" t="s">
        <v>633</v>
      </c>
      <c r="O4" s="39" t="s">
        <v>943</v>
      </c>
      <c r="P4" s="227" t="s">
        <v>1914</v>
      </c>
      <c r="Q4" s="227" t="s">
        <v>941</v>
      </c>
      <c r="R4" s="227" t="s">
        <v>944</v>
      </c>
      <c r="S4" s="227" t="s">
        <v>1236</v>
      </c>
      <c r="T4" s="416" t="s">
        <v>621</v>
      </c>
      <c r="U4" s="416" t="s">
        <v>618</v>
      </c>
      <c r="V4" s="416" t="s">
        <v>619</v>
      </c>
      <c r="W4" s="416" t="s">
        <v>620</v>
      </c>
      <c r="X4" s="416" t="s">
        <v>660</v>
      </c>
      <c r="Y4" s="416" t="s">
        <v>661</v>
      </c>
      <c r="Z4" s="416" t="s">
        <v>662</v>
      </c>
      <c r="AA4" s="416" t="s">
        <v>663</v>
      </c>
      <c r="AB4" s="416" t="s">
        <v>664</v>
      </c>
      <c r="AC4" s="416" t="s">
        <v>665</v>
      </c>
      <c r="AD4" s="416" t="s">
        <v>666</v>
      </c>
      <c r="AE4" s="416" t="s">
        <v>667</v>
      </c>
      <c r="AH4" s="636" t="s">
        <v>1939</v>
      </c>
      <c r="AJ4" s="416" t="s">
        <v>621</v>
      </c>
      <c r="AK4" s="416" t="s">
        <v>618</v>
      </c>
      <c r="AL4" s="416" t="s">
        <v>619</v>
      </c>
      <c r="AM4" s="416" t="s">
        <v>620</v>
      </c>
      <c r="AN4" s="416" t="s">
        <v>660</v>
      </c>
      <c r="AO4" s="416" t="s">
        <v>661</v>
      </c>
      <c r="AP4" s="416" t="s">
        <v>662</v>
      </c>
      <c r="AQ4" s="416" t="s">
        <v>663</v>
      </c>
      <c r="AR4" s="416" t="s">
        <v>664</v>
      </c>
      <c r="AS4" s="416" t="s">
        <v>665</v>
      </c>
      <c r="AT4" s="416" t="s">
        <v>666</v>
      </c>
      <c r="AU4" s="416" t="s">
        <v>667</v>
      </c>
    </row>
    <row r="5" spans="1:47">
      <c r="A5" s="416" t="s">
        <v>625</v>
      </c>
      <c r="B5" s="416" t="s">
        <v>89</v>
      </c>
      <c r="C5" s="416" t="s">
        <v>58</v>
      </c>
      <c r="D5" s="416">
        <v>14146</v>
      </c>
      <c r="E5" s="416">
        <v>13543</v>
      </c>
      <c r="F5" s="416">
        <v>3449</v>
      </c>
      <c r="G5" s="416">
        <v>25.47</v>
      </c>
      <c r="H5" s="416">
        <v>1935.5</v>
      </c>
      <c r="I5" s="416">
        <v>14.29</v>
      </c>
      <c r="J5" s="416">
        <v>8158.5</v>
      </c>
      <c r="K5" s="416">
        <v>60.24</v>
      </c>
      <c r="N5" s="231" t="s">
        <v>14</v>
      </c>
      <c r="O5" s="349">
        <f>SUMIF($B$5:$B$36,N5,$J$5:$J$36)</f>
        <v>0</v>
      </c>
      <c r="P5" s="327">
        <f>HPM_QTR_revP31!L6</f>
        <v>960</v>
      </c>
      <c r="Q5" s="349">
        <f>SUMIF($C$52:$C$74,$N5,$H$52:$H$74)</f>
        <v>0</v>
      </c>
      <c r="R5" s="349">
        <f t="shared" ref="R5:R29" si="0">MAX(O5-P5,0)</f>
        <v>0</v>
      </c>
      <c r="S5" s="327">
        <f>R5/$R$30</f>
        <v>0</v>
      </c>
      <c r="T5" s="416" t="s">
        <v>14</v>
      </c>
      <c r="U5" s="327">
        <f t="shared" ref="U5:U29" si="1">Q5</f>
        <v>0</v>
      </c>
      <c r="V5" s="416">
        <f t="shared" ref="V5:V29" si="2">P5/6</f>
        <v>160</v>
      </c>
      <c r="W5" s="416">
        <f>EG_LH_min[[#This Row],[2022]]</f>
        <v>160</v>
      </c>
      <c r="X5" s="416">
        <f>EG_LH_min[[#This Row],[2023]]</f>
        <v>160</v>
      </c>
      <c r="Y5" s="416">
        <f>EG_LH_min[[#This Row],[2023]]</f>
        <v>160</v>
      </c>
      <c r="Z5" s="416">
        <f>EG_LH_min[[#This Row],[2024]]</f>
        <v>160</v>
      </c>
      <c r="AA5" s="416">
        <f>EG_LH_min[[#This Row],[2025]]</f>
        <v>160</v>
      </c>
      <c r="AB5" s="416">
        <v>0</v>
      </c>
      <c r="AC5" s="416">
        <v>0</v>
      </c>
      <c r="AD5" s="416">
        <v>0</v>
      </c>
      <c r="AE5" s="416">
        <v>0</v>
      </c>
      <c r="AH5" s="634">
        <f>VLOOKUP(EG_LH_max[[#This Row],[SubGeography2]],'MaxCapacity-Input'!$G$65:$L$90,3,FALSE)</f>
        <v>1.1645962732919255E-3</v>
      </c>
      <c r="AJ5" s="416" t="s">
        <v>14</v>
      </c>
      <c r="AK5" s="416">
        <f>EG_LH_min[[#This Row],[2021]]*(1+$AH5)</f>
        <v>0</v>
      </c>
      <c r="AL5" s="416">
        <f>EG_LH_min[[#This Row],[2022]]*(1+$AH5)</f>
        <v>160.18633540372673</v>
      </c>
      <c r="AM5" s="416">
        <f>EG_LH_min[[#This Row],[2023]]*(1+$AH5)</f>
        <v>160.18633540372673</v>
      </c>
      <c r="AN5" s="416">
        <f>EG_LH_min[[#This Row],[2024]]*(1+$AH5)</f>
        <v>160.18633540372673</v>
      </c>
      <c r="AO5" s="416">
        <f>EG_LH_min[[#This Row],[2025]]*(1+$AH5)</f>
        <v>160.18633540372673</v>
      </c>
      <c r="AP5" s="416">
        <f>EG_LH_min[[#This Row],[2026]]*(1+$AH5)</f>
        <v>160.18633540372673</v>
      </c>
      <c r="AQ5" s="327">
        <f>MAX(EG_LH_min[[#This Row],[2027]]*(1+$AH5),AQ$31*$S5)</f>
        <v>160.18633540372673</v>
      </c>
      <c r="AR5" s="327">
        <f t="shared" ref="AR5:AU14" si="3">AR$31*$S5</f>
        <v>0</v>
      </c>
      <c r="AS5" s="327">
        <f t="shared" si="3"/>
        <v>0</v>
      </c>
      <c r="AT5" s="327">
        <f t="shared" si="3"/>
        <v>0</v>
      </c>
      <c r="AU5" s="327">
        <f t="shared" si="3"/>
        <v>0</v>
      </c>
    </row>
    <row r="6" spans="1:47">
      <c r="A6" s="416" t="s">
        <v>625</v>
      </c>
      <c r="B6" s="416" t="s">
        <v>88</v>
      </c>
      <c r="C6" s="416" t="s">
        <v>57</v>
      </c>
      <c r="D6" s="416">
        <v>18820</v>
      </c>
      <c r="E6" s="416">
        <v>18540</v>
      </c>
      <c r="F6" s="416">
        <v>9809</v>
      </c>
      <c r="G6" s="416">
        <v>52.91</v>
      </c>
      <c r="H6" s="416">
        <v>1885</v>
      </c>
      <c r="I6" s="416">
        <v>10.17</v>
      </c>
      <c r="J6" s="416">
        <v>6846</v>
      </c>
      <c r="K6" s="416">
        <v>36.93</v>
      </c>
      <c r="N6" s="232" t="s">
        <v>90</v>
      </c>
      <c r="O6" s="349">
        <f t="shared" ref="O6:O29" si="4">SUMIF($B$5:$B$36,N6,$J$5:$J$36)</f>
        <v>52999</v>
      </c>
      <c r="P6" s="327">
        <f>HPM_QTR_revP31!L7</f>
        <v>1150</v>
      </c>
      <c r="Q6" s="349">
        <f t="shared" ref="Q6:Q29" si="5">SUMIF($C$52:$C$74,$N6,$H$52:$H$74)</f>
        <v>431</v>
      </c>
      <c r="R6" s="349">
        <f t="shared" si="0"/>
        <v>51849</v>
      </c>
      <c r="S6" s="327">
        <f t="shared" ref="S6:S29" si="6">R6/$R$30</f>
        <v>0.61186702698875373</v>
      </c>
      <c r="T6" s="416" t="s">
        <v>90</v>
      </c>
      <c r="U6" s="327">
        <f t="shared" si="1"/>
        <v>431</v>
      </c>
      <c r="V6" s="416">
        <f t="shared" si="2"/>
        <v>191.66666666666666</v>
      </c>
      <c r="W6" s="416">
        <f>EG_LH_min[[#This Row],[2022]]</f>
        <v>191.66666666666666</v>
      </c>
      <c r="X6" s="416">
        <f>EG_LH_min[[#This Row],[2023]]</f>
        <v>191.66666666666666</v>
      </c>
      <c r="Y6" s="416">
        <f>EG_LH_min[[#This Row],[2023]]</f>
        <v>191.66666666666666</v>
      </c>
      <c r="Z6" s="416">
        <f>EG_LH_min[[#This Row],[2024]]</f>
        <v>191.66666666666666</v>
      </c>
      <c r="AA6" s="416">
        <f>EG_LH_min[[#This Row],[2025]]</f>
        <v>191.66666666666666</v>
      </c>
      <c r="AB6" s="416">
        <v>0</v>
      </c>
      <c r="AC6" s="416">
        <v>0</v>
      </c>
      <c r="AD6" s="416">
        <v>0</v>
      </c>
      <c r="AE6" s="416">
        <v>0</v>
      </c>
      <c r="AH6" s="634">
        <f>VLOOKUP(EG_LH_max[[#This Row],[SubGeography2]],'MaxCapacity-Input'!$G$65:$L$90,3,FALSE)</f>
        <v>0</v>
      </c>
      <c r="AJ6" s="416" t="s">
        <v>90</v>
      </c>
      <c r="AK6" s="416">
        <f>EG_LH_min[[#This Row],[2021]]*(1+$AH6)</f>
        <v>431</v>
      </c>
      <c r="AL6" s="416">
        <f>EG_LH_min[[#This Row],[2022]]*(1+$AH6)</f>
        <v>191.66666666666666</v>
      </c>
      <c r="AM6" s="416">
        <f>EG_LH_min[[#This Row],[2023]]*(1+$AH6)</f>
        <v>191.66666666666666</v>
      </c>
      <c r="AN6" s="416">
        <f>EG_LH_min[[#This Row],[2024]]*(1+$AH6)</f>
        <v>191.66666666666666</v>
      </c>
      <c r="AO6" s="416">
        <f>EG_LH_min[[#This Row],[2025]]*(1+$AH6)</f>
        <v>191.66666666666666</v>
      </c>
      <c r="AP6" s="416">
        <f>EG_LH_min[[#This Row],[2026]]*(1+$AH6)</f>
        <v>191.66666666666666</v>
      </c>
      <c r="AQ6" s="327">
        <f>MAX(EG_LH_min[[#This Row],[2027]]*(1+$AH6),AQ$31*$S6)</f>
        <v>917.80054048313059</v>
      </c>
      <c r="AR6" s="327">
        <f t="shared" si="3"/>
        <v>917.80054048313059</v>
      </c>
      <c r="AS6" s="327">
        <f t="shared" si="3"/>
        <v>917.80054048313059</v>
      </c>
      <c r="AT6" s="327">
        <f t="shared" si="3"/>
        <v>917.80054048313059</v>
      </c>
      <c r="AU6" s="327">
        <f t="shared" si="3"/>
        <v>917.80054048313059</v>
      </c>
    </row>
    <row r="7" spans="1:47">
      <c r="A7" s="416" t="s">
        <v>625</v>
      </c>
      <c r="B7" s="416" t="s">
        <v>1</v>
      </c>
      <c r="C7" s="416" t="s">
        <v>69</v>
      </c>
      <c r="D7" s="416">
        <v>971</v>
      </c>
      <c r="E7" s="416">
        <v>971</v>
      </c>
      <c r="F7" s="416">
        <v>1096.3</v>
      </c>
      <c r="G7" s="416">
        <v>100</v>
      </c>
      <c r="H7" s="416">
        <v>206</v>
      </c>
      <c r="I7" s="416">
        <v>21.22</v>
      </c>
      <c r="J7" s="416">
        <v>0</v>
      </c>
      <c r="K7" s="416">
        <v>0</v>
      </c>
      <c r="N7" s="231" t="s">
        <v>29</v>
      </c>
      <c r="O7" s="349">
        <f t="shared" si="4"/>
        <v>300</v>
      </c>
      <c r="P7" s="327">
        <f>HPM_QTR_revP31!L8</f>
        <v>2000</v>
      </c>
      <c r="Q7" s="349">
        <f t="shared" si="5"/>
        <v>0</v>
      </c>
      <c r="R7" s="349">
        <f t="shared" si="0"/>
        <v>0</v>
      </c>
      <c r="S7" s="327">
        <f t="shared" si="6"/>
        <v>0</v>
      </c>
      <c r="T7" s="416" t="s">
        <v>29</v>
      </c>
      <c r="U7" s="327">
        <f t="shared" si="1"/>
        <v>0</v>
      </c>
      <c r="V7" s="416">
        <f t="shared" si="2"/>
        <v>333.33333333333331</v>
      </c>
      <c r="W7" s="416">
        <f>EG_LH_min[[#This Row],[2022]]</f>
        <v>333.33333333333331</v>
      </c>
      <c r="X7" s="416">
        <f>EG_LH_min[[#This Row],[2023]]</f>
        <v>333.33333333333331</v>
      </c>
      <c r="Y7" s="416">
        <f>EG_LH_min[[#This Row],[2023]]</f>
        <v>333.33333333333331</v>
      </c>
      <c r="Z7" s="416">
        <f>EG_LH_min[[#This Row],[2024]]</f>
        <v>333.33333333333331</v>
      </c>
      <c r="AA7" s="416">
        <f>EG_LH_min[[#This Row],[2025]]</f>
        <v>333.33333333333331</v>
      </c>
      <c r="AB7" s="416">
        <v>0</v>
      </c>
      <c r="AC7" s="416">
        <v>0</v>
      </c>
      <c r="AD7" s="416">
        <v>0</v>
      </c>
      <c r="AE7" s="416">
        <v>0</v>
      </c>
      <c r="AH7" s="634">
        <f>VLOOKUP(EG_LH_max[[#This Row],[SubGeography2]],'MaxCapacity-Input'!$G$65:$L$90,3,FALSE)</f>
        <v>0</v>
      </c>
      <c r="AJ7" s="416" t="s">
        <v>29</v>
      </c>
      <c r="AK7" s="416">
        <f>EG_LH_min[[#This Row],[2021]]*(1+$AH7)</f>
        <v>0</v>
      </c>
      <c r="AL7" s="416">
        <f>EG_LH_min[[#This Row],[2022]]*(1+$AH7)</f>
        <v>333.33333333333331</v>
      </c>
      <c r="AM7" s="416">
        <f>EG_LH_min[[#This Row],[2023]]*(1+$AH7)</f>
        <v>333.33333333333331</v>
      </c>
      <c r="AN7" s="416">
        <f>EG_LH_min[[#This Row],[2024]]*(1+$AH7)</f>
        <v>333.33333333333331</v>
      </c>
      <c r="AO7" s="416">
        <f>EG_LH_min[[#This Row],[2025]]*(1+$AH7)</f>
        <v>333.33333333333331</v>
      </c>
      <c r="AP7" s="416">
        <f>EG_LH_min[[#This Row],[2026]]*(1+$AH7)</f>
        <v>333.33333333333331</v>
      </c>
      <c r="AQ7" s="327">
        <f>MAX(EG_LH_min[[#This Row],[2027]]*(1+$AH7),AQ$31*$S7)</f>
        <v>333.33333333333331</v>
      </c>
      <c r="AR7" s="327">
        <f t="shared" si="3"/>
        <v>0</v>
      </c>
      <c r="AS7" s="327">
        <f t="shared" si="3"/>
        <v>0</v>
      </c>
      <c r="AT7" s="327">
        <f t="shared" si="3"/>
        <v>0</v>
      </c>
      <c r="AU7" s="327">
        <f t="shared" si="3"/>
        <v>0</v>
      </c>
    </row>
    <row r="8" spans="1:47">
      <c r="A8" s="416" t="s">
        <v>625</v>
      </c>
      <c r="B8" s="416" t="s">
        <v>5</v>
      </c>
      <c r="C8" s="416" t="s">
        <v>56</v>
      </c>
      <c r="D8" s="416">
        <v>64</v>
      </c>
      <c r="E8" s="416">
        <v>64</v>
      </c>
      <c r="F8" s="416">
        <v>0</v>
      </c>
      <c r="G8" s="416">
        <v>0</v>
      </c>
      <c r="H8" s="416">
        <v>0</v>
      </c>
      <c r="I8" s="416">
        <v>0</v>
      </c>
      <c r="J8" s="416">
        <v>0</v>
      </c>
      <c r="K8" s="416">
        <v>0</v>
      </c>
      <c r="N8" s="232" t="s">
        <v>19</v>
      </c>
      <c r="O8" s="349">
        <f t="shared" si="4"/>
        <v>0</v>
      </c>
      <c r="P8" s="327">
        <f>HPM_QTR_revP31!L9</f>
        <v>0</v>
      </c>
      <c r="Q8" s="349">
        <f t="shared" si="5"/>
        <v>0</v>
      </c>
      <c r="R8" s="349">
        <f t="shared" si="0"/>
        <v>0</v>
      </c>
      <c r="S8" s="327">
        <f t="shared" si="6"/>
        <v>0</v>
      </c>
      <c r="T8" s="416" t="s">
        <v>19</v>
      </c>
      <c r="U8" s="327">
        <f t="shared" si="1"/>
        <v>0</v>
      </c>
      <c r="V8" s="416">
        <f t="shared" si="2"/>
        <v>0</v>
      </c>
      <c r="W8" s="416">
        <f>EG_LH_min[[#This Row],[2022]]</f>
        <v>0</v>
      </c>
      <c r="X8" s="416">
        <f>EG_LH_min[[#This Row],[2023]]</f>
        <v>0</v>
      </c>
      <c r="Y8" s="416">
        <f>EG_LH_min[[#This Row],[2023]]</f>
        <v>0</v>
      </c>
      <c r="Z8" s="416">
        <f>EG_LH_min[[#This Row],[2024]]</f>
        <v>0</v>
      </c>
      <c r="AA8" s="416">
        <f>EG_LH_min[[#This Row],[2025]]</f>
        <v>0</v>
      </c>
      <c r="AB8" s="416">
        <v>0</v>
      </c>
      <c r="AC8" s="416">
        <v>0</v>
      </c>
      <c r="AD8" s="416">
        <v>0</v>
      </c>
      <c r="AE8" s="416">
        <v>0</v>
      </c>
      <c r="AH8" s="634">
        <f>VLOOKUP(EG_LH_max[[#This Row],[SubGeography2]],'MaxCapacity-Input'!$G$65:$L$90,3,FALSE)</f>
        <v>0</v>
      </c>
      <c r="AJ8" s="416" t="s">
        <v>19</v>
      </c>
      <c r="AK8" s="416">
        <f>EG_LH_min[[#This Row],[2021]]*(1+$AH8)</f>
        <v>0</v>
      </c>
      <c r="AL8" s="416">
        <f>EG_LH_min[[#This Row],[2022]]*(1+$AH8)</f>
        <v>0</v>
      </c>
      <c r="AM8" s="416">
        <f>EG_LH_min[[#This Row],[2023]]*(1+$AH8)</f>
        <v>0</v>
      </c>
      <c r="AN8" s="416">
        <f>EG_LH_min[[#This Row],[2024]]*(1+$AH8)</f>
        <v>0</v>
      </c>
      <c r="AO8" s="416">
        <f>EG_LH_min[[#This Row],[2025]]*(1+$AH8)</f>
        <v>0</v>
      </c>
      <c r="AP8" s="416">
        <f>EG_LH_min[[#This Row],[2026]]*(1+$AH8)</f>
        <v>0</v>
      </c>
      <c r="AQ8" s="327">
        <f>MAX(EG_LH_min[[#This Row],[2027]]*(1+$AH8),AQ$31*$S8)</f>
        <v>0</v>
      </c>
      <c r="AR8" s="327">
        <f t="shared" si="3"/>
        <v>0</v>
      </c>
      <c r="AS8" s="327">
        <f t="shared" si="3"/>
        <v>0</v>
      </c>
      <c r="AT8" s="327">
        <f t="shared" si="3"/>
        <v>0</v>
      </c>
      <c r="AU8" s="327">
        <f t="shared" si="3"/>
        <v>0</v>
      </c>
    </row>
    <row r="9" spans="1:47">
      <c r="A9" s="416" t="s">
        <v>625</v>
      </c>
      <c r="B9" s="416" t="s">
        <v>6</v>
      </c>
      <c r="C9" s="416" t="s">
        <v>70</v>
      </c>
      <c r="D9" s="416">
        <v>496</v>
      </c>
      <c r="E9" s="416">
        <v>483</v>
      </c>
      <c r="F9" s="416">
        <v>411</v>
      </c>
      <c r="G9" s="416">
        <v>85.09</v>
      </c>
      <c r="H9" s="416">
        <v>0</v>
      </c>
      <c r="I9" s="416">
        <v>0</v>
      </c>
      <c r="J9" s="416">
        <v>0</v>
      </c>
      <c r="K9" s="416">
        <v>0</v>
      </c>
      <c r="N9" s="231" t="s">
        <v>18</v>
      </c>
      <c r="O9" s="349">
        <f t="shared" si="4"/>
        <v>2082</v>
      </c>
      <c r="P9" s="327">
        <f>HPM_QTR_revP31!L10</f>
        <v>0</v>
      </c>
      <c r="Q9" s="349">
        <f t="shared" si="5"/>
        <v>0</v>
      </c>
      <c r="R9" s="349">
        <f t="shared" si="0"/>
        <v>2082</v>
      </c>
      <c r="S9" s="327">
        <f t="shared" si="6"/>
        <v>2.4569560650939945E-2</v>
      </c>
      <c r="T9" s="416" t="s">
        <v>18</v>
      </c>
      <c r="U9" s="327">
        <f t="shared" si="1"/>
        <v>0</v>
      </c>
      <c r="V9" s="416">
        <f t="shared" si="2"/>
        <v>0</v>
      </c>
      <c r="W9" s="416">
        <f>EG_LH_min[[#This Row],[2022]]</f>
        <v>0</v>
      </c>
      <c r="X9" s="416">
        <f>EG_LH_min[[#This Row],[2023]]</f>
        <v>0</v>
      </c>
      <c r="Y9" s="416">
        <f>EG_LH_min[[#This Row],[2023]]</f>
        <v>0</v>
      </c>
      <c r="Z9" s="416">
        <f>EG_LH_min[[#This Row],[2024]]</f>
        <v>0</v>
      </c>
      <c r="AA9" s="416">
        <f>EG_LH_min[[#This Row],[2025]]</f>
        <v>0</v>
      </c>
      <c r="AB9" s="416">
        <v>0</v>
      </c>
      <c r="AC9" s="416">
        <v>0</v>
      </c>
      <c r="AD9" s="416">
        <v>0</v>
      </c>
      <c r="AE9" s="416">
        <v>0</v>
      </c>
      <c r="AH9" s="634">
        <f>VLOOKUP(EG_LH_max[[#This Row],[SubGeography2]],'MaxCapacity-Input'!$G$65:$L$90,3,FALSE)</f>
        <v>0.18559999999999999</v>
      </c>
      <c r="AJ9" s="416" t="s">
        <v>18</v>
      </c>
      <c r="AK9" s="416">
        <f>EG_LH_min[[#This Row],[2021]]*(1+$AH9)</f>
        <v>0</v>
      </c>
      <c r="AL9" s="416">
        <f>EG_LH_min[[#This Row],[2022]]*(1+$AH9)</f>
        <v>0</v>
      </c>
      <c r="AM9" s="416">
        <f>EG_LH_min[[#This Row],[2023]]*(1+$AH9)</f>
        <v>0</v>
      </c>
      <c r="AN9" s="416">
        <f>EG_LH_min[[#This Row],[2024]]*(1+$AH9)</f>
        <v>0</v>
      </c>
      <c r="AO9" s="416">
        <f>EG_LH_min[[#This Row],[2025]]*(1+$AH9)</f>
        <v>0</v>
      </c>
      <c r="AP9" s="416">
        <f>EG_LH_min[[#This Row],[2026]]*(1+$AH9)</f>
        <v>0</v>
      </c>
      <c r="AQ9" s="327">
        <f>MAX(EG_LH_min[[#This Row],[2027]]*(1+$AH9),AQ$31*$S9)</f>
        <v>36.854340976409915</v>
      </c>
      <c r="AR9" s="327">
        <f t="shared" si="3"/>
        <v>36.854340976409915</v>
      </c>
      <c r="AS9" s="327">
        <f t="shared" si="3"/>
        <v>36.854340976409915</v>
      </c>
      <c r="AT9" s="327">
        <f t="shared" si="3"/>
        <v>36.854340976409915</v>
      </c>
      <c r="AU9" s="327">
        <f t="shared" si="3"/>
        <v>36.854340976409915</v>
      </c>
    </row>
    <row r="10" spans="1:47">
      <c r="A10" s="416" t="s">
        <v>625</v>
      </c>
      <c r="B10" s="416" t="s">
        <v>4</v>
      </c>
      <c r="C10" s="416" t="s">
        <v>76</v>
      </c>
      <c r="D10" s="416">
        <v>18175</v>
      </c>
      <c r="E10" s="416">
        <v>17998</v>
      </c>
      <c r="F10" s="416">
        <v>3756.4</v>
      </c>
      <c r="G10" s="416">
        <v>20.87</v>
      </c>
      <c r="H10" s="416">
        <v>1490</v>
      </c>
      <c r="I10" s="416">
        <v>8.2799999999999994</v>
      </c>
      <c r="J10" s="416">
        <v>12751.7</v>
      </c>
      <c r="K10" s="416">
        <v>70.849999999999994</v>
      </c>
      <c r="N10" s="232" t="s">
        <v>91</v>
      </c>
      <c r="O10" s="349">
        <f t="shared" si="4"/>
        <v>55</v>
      </c>
      <c r="P10" s="327">
        <f>HPM_QTR_revP31!L11</f>
        <v>0</v>
      </c>
      <c r="Q10" s="349">
        <f t="shared" si="5"/>
        <v>6.5</v>
      </c>
      <c r="R10" s="349">
        <f t="shared" si="0"/>
        <v>55</v>
      </c>
      <c r="S10" s="327">
        <f t="shared" si="6"/>
        <v>6.4905179433318776E-4</v>
      </c>
      <c r="T10" s="416" t="s">
        <v>91</v>
      </c>
      <c r="U10" s="327">
        <f t="shared" si="1"/>
        <v>6.5</v>
      </c>
      <c r="V10" s="416">
        <f t="shared" si="2"/>
        <v>0</v>
      </c>
      <c r="W10" s="416">
        <f>EG_LH_min[[#This Row],[2022]]</f>
        <v>0</v>
      </c>
      <c r="X10" s="416">
        <f>EG_LH_min[[#This Row],[2023]]</f>
        <v>0</v>
      </c>
      <c r="Y10" s="416">
        <f>EG_LH_min[[#This Row],[2023]]</f>
        <v>0</v>
      </c>
      <c r="Z10" s="416">
        <f>EG_LH_min[[#This Row],[2024]]</f>
        <v>0</v>
      </c>
      <c r="AA10" s="416">
        <f>EG_LH_min[[#This Row],[2025]]</f>
        <v>0</v>
      </c>
      <c r="AB10" s="416">
        <v>0</v>
      </c>
      <c r="AC10" s="416">
        <v>0</v>
      </c>
      <c r="AD10" s="416">
        <v>0</v>
      </c>
      <c r="AE10" s="416">
        <v>0</v>
      </c>
      <c r="AH10" s="634">
        <f>VLOOKUP(EG_LH_max[[#This Row],[SubGeography2]],'MaxCapacity-Input'!$G$65:$L$90,3,FALSE)</f>
        <v>0</v>
      </c>
      <c r="AJ10" s="416" t="s">
        <v>91</v>
      </c>
      <c r="AK10" s="416">
        <f>EG_LH_min[[#This Row],[2021]]*(1+$AH10)</f>
        <v>6.5</v>
      </c>
      <c r="AL10" s="416">
        <f>EG_LH_min[[#This Row],[2022]]*(1+$AH10)</f>
        <v>0</v>
      </c>
      <c r="AM10" s="416">
        <f>EG_LH_min[[#This Row],[2023]]*(1+$AH10)</f>
        <v>0</v>
      </c>
      <c r="AN10" s="416">
        <f>EG_LH_min[[#This Row],[2024]]*(1+$AH10)</f>
        <v>0</v>
      </c>
      <c r="AO10" s="416">
        <f>EG_LH_min[[#This Row],[2025]]*(1+$AH10)</f>
        <v>0</v>
      </c>
      <c r="AP10" s="416">
        <f>EG_LH_min[[#This Row],[2026]]*(1+$AH10)</f>
        <v>0</v>
      </c>
      <c r="AQ10" s="327">
        <f>MAX(EG_LH_min[[#This Row],[2027]]*(1+$AH10),AQ$31*$S10)</f>
        <v>0.97357769149978168</v>
      </c>
      <c r="AR10" s="327">
        <f t="shared" si="3"/>
        <v>0.97357769149978168</v>
      </c>
      <c r="AS10" s="327">
        <f t="shared" si="3"/>
        <v>0.97357769149978168</v>
      </c>
      <c r="AT10" s="327">
        <f t="shared" si="3"/>
        <v>0.97357769149978168</v>
      </c>
      <c r="AU10" s="327">
        <f t="shared" si="3"/>
        <v>0.97357769149978168</v>
      </c>
    </row>
    <row r="11" spans="1:47">
      <c r="A11" s="416" t="s">
        <v>625</v>
      </c>
      <c r="B11" s="416" t="s">
        <v>0</v>
      </c>
      <c r="C11" s="416" t="s">
        <v>75</v>
      </c>
      <c r="D11" s="416">
        <v>723</v>
      </c>
      <c r="E11" s="416">
        <v>664</v>
      </c>
      <c r="F11" s="416">
        <v>501.6</v>
      </c>
      <c r="G11" s="416">
        <v>75.540000000000006</v>
      </c>
      <c r="H11" s="416">
        <v>0</v>
      </c>
      <c r="I11" s="416">
        <v>0</v>
      </c>
      <c r="J11" s="416">
        <v>162.4</v>
      </c>
      <c r="K11" s="416">
        <v>24.46</v>
      </c>
      <c r="N11" s="231" t="s">
        <v>8</v>
      </c>
      <c r="O11" s="349">
        <f t="shared" si="4"/>
        <v>0</v>
      </c>
      <c r="P11" s="327">
        <f>HPM_QTR_revP31!L12</f>
        <v>0</v>
      </c>
      <c r="Q11" s="349">
        <f t="shared" si="5"/>
        <v>0</v>
      </c>
      <c r="R11" s="349">
        <f t="shared" si="0"/>
        <v>0</v>
      </c>
      <c r="S11" s="327">
        <f t="shared" si="6"/>
        <v>0</v>
      </c>
      <c r="T11" s="416" t="s">
        <v>8</v>
      </c>
      <c r="U11" s="327">
        <f t="shared" si="1"/>
        <v>0</v>
      </c>
      <c r="V11" s="416">
        <f t="shared" si="2"/>
        <v>0</v>
      </c>
      <c r="W11" s="416">
        <f>EG_LH_min[[#This Row],[2022]]</f>
        <v>0</v>
      </c>
      <c r="X11" s="416">
        <f>EG_LH_min[[#This Row],[2023]]</f>
        <v>0</v>
      </c>
      <c r="Y11" s="416">
        <f>EG_LH_min[[#This Row],[2023]]</f>
        <v>0</v>
      </c>
      <c r="Z11" s="416">
        <f>EG_LH_min[[#This Row],[2024]]</f>
        <v>0</v>
      </c>
      <c r="AA11" s="416">
        <f>EG_LH_min[[#This Row],[2025]]</f>
        <v>0</v>
      </c>
      <c r="AB11" s="416">
        <v>0</v>
      </c>
      <c r="AC11" s="416">
        <v>0</v>
      </c>
      <c r="AD11" s="416">
        <v>0</v>
      </c>
      <c r="AE11" s="416">
        <v>0</v>
      </c>
      <c r="AH11" s="634">
        <f>VLOOKUP(EG_LH_max[[#This Row],[SubGeography2]],'MaxCapacity-Input'!$G$65:$L$90,3,FALSE)</f>
        <v>1.2814070351758794E-3</v>
      </c>
      <c r="AJ11" s="416" t="s">
        <v>8</v>
      </c>
      <c r="AK11" s="416">
        <f>EG_LH_min[[#This Row],[2021]]*(1+$AH11)</f>
        <v>0</v>
      </c>
      <c r="AL11" s="416">
        <f>EG_LH_min[[#This Row],[2022]]*(1+$AH11)</f>
        <v>0</v>
      </c>
      <c r="AM11" s="416">
        <f>EG_LH_min[[#This Row],[2023]]*(1+$AH11)</f>
        <v>0</v>
      </c>
      <c r="AN11" s="416">
        <f>EG_LH_min[[#This Row],[2024]]*(1+$AH11)</f>
        <v>0</v>
      </c>
      <c r="AO11" s="416">
        <f>EG_LH_min[[#This Row],[2025]]*(1+$AH11)</f>
        <v>0</v>
      </c>
      <c r="AP11" s="416">
        <f>EG_LH_min[[#This Row],[2026]]*(1+$AH11)</f>
        <v>0</v>
      </c>
      <c r="AQ11" s="327">
        <f>MAX(EG_LH_min[[#This Row],[2027]]*(1+$AH11),AQ$31*$S11)</f>
        <v>0</v>
      </c>
      <c r="AR11" s="327">
        <f t="shared" si="3"/>
        <v>0</v>
      </c>
      <c r="AS11" s="327">
        <f t="shared" si="3"/>
        <v>0</v>
      </c>
      <c r="AT11" s="327">
        <f t="shared" si="3"/>
        <v>0</v>
      </c>
      <c r="AU11" s="327">
        <f t="shared" si="3"/>
        <v>0</v>
      </c>
    </row>
    <row r="12" spans="1:47">
      <c r="F12" s="39">
        <f>SUM(F5:F11)</f>
        <v>19023.3</v>
      </c>
      <c r="H12" s="39">
        <f>SUM(H5:H11)</f>
        <v>5516.5</v>
      </c>
      <c r="N12" s="232" t="s">
        <v>5</v>
      </c>
      <c r="O12" s="349">
        <f t="shared" si="4"/>
        <v>0</v>
      </c>
      <c r="P12" s="327">
        <f>HPM_QTR_revP31!L13</f>
        <v>0</v>
      </c>
      <c r="Q12" s="349">
        <f t="shared" si="5"/>
        <v>0</v>
      </c>
      <c r="R12" s="349">
        <f t="shared" si="0"/>
        <v>0</v>
      </c>
      <c r="S12" s="327">
        <f t="shared" si="6"/>
        <v>0</v>
      </c>
      <c r="T12" s="416" t="s">
        <v>5</v>
      </c>
      <c r="U12" s="327">
        <f t="shared" si="1"/>
        <v>0</v>
      </c>
      <c r="V12" s="416">
        <f t="shared" si="2"/>
        <v>0</v>
      </c>
      <c r="W12" s="416">
        <f>EG_LH_min[[#This Row],[2022]]</f>
        <v>0</v>
      </c>
      <c r="X12" s="416">
        <f>EG_LH_min[[#This Row],[2023]]</f>
        <v>0</v>
      </c>
      <c r="Y12" s="416">
        <f>EG_LH_min[[#This Row],[2023]]</f>
        <v>0</v>
      </c>
      <c r="Z12" s="416">
        <f>EG_LH_min[[#This Row],[2024]]</f>
        <v>0</v>
      </c>
      <c r="AA12" s="416">
        <f>EG_LH_min[[#This Row],[2025]]</f>
        <v>0</v>
      </c>
      <c r="AB12" s="416">
        <v>0</v>
      </c>
      <c r="AC12" s="416">
        <v>0</v>
      </c>
      <c r="AD12" s="416">
        <v>0</v>
      </c>
      <c r="AE12" s="416">
        <v>0</v>
      </c>
      <c r="AH12" s="634">
        <f>VLOOKUP(EG_LH_max[[#This Row],[SubGeography2]],'MaxCapacity-Input'!$G$65:$L$90,3,FALSE)</f>
        <v>0</v>
      </c>
      <c r="AJ12" s="416" t="s">
        <v>5</v>
      </c>
      <c r="AK12" s="416">
        <f>EG_LH_min[[#This Row],[2021]]*(1+$AH12)</f>
        <v>0</v>
      </c>
      <c r="AL12" s="416">
        <f>EG_LH_min[[#This Row],[2022]]*(1+$AH12)</f>
        <v>0</v>
      </c>
      <c r="AM12" s="416">
        <f>EG_LH_min[[#This Row],[2023]]*(1+$AH12)</f>
        <v>0</v>
      </c>
      <c r="AN12" s="416">
        <f>EG_LH_min[[#This Row],[2024]]*(1+$AH12)</f>
        <v>0</v>
      </c>
      <c r="AO12" s="416">
        <f>EG_LH_min[[#This Row],[2025]]*(1+$AH12)</f>
        <v>0</v>
      </c>
      <c r="AP12" s="416">
        <f>EG_LH_min[[#This Row],[2026]]*(1+$AH12)</f>
        <v>0</v>
      </c>
      <c r="AQ12" s="327">
        <f>MAX(EG_LH_min[[#This Row],[2027]]*(1+$AH12),AQ$31*$S12)</f>
        <v>0</v>
      </c>
      <c r="AR12" s="327">
        <f t="shared" si="3"/>
        <v>0</v>
      </c>
      <c r="AS12" s="327">
        <f t="shared" si="3"/>
        <v>0</v>
      </c>
      <c r="AT12" s="327">
        <f t="shared" si="3"/>
        <v>0</v>
      </c>
      <c r="AU12" s="327">
        <f t="shared" si="3"/>
        <v>0</v>
      </c>
    </row>
    <row r="13" spans="1:47">
      <c r="A13" s="416" t="s">
        <v>626</v>
      </c>
      <c r="B13" s="416" t="s">
        <v>9</v>
      </c>
      <c r="C13" s="416" t="s">
        <v>169</v>
      </c>
      <c r="D13" s="416">
        <v>2243</v>
      </c>
      <c r="E13" s="416">
        <v>1970</v>
      </c>
      <c r="F13" s="416">
        <v>2235</v>
      </c>
      <c r="G13" s="416">
        <v>100</v>
      </c>
      <c r="H13" s="416">
        <v>400</v>
      </c>
      <c r="I13" s="416">
        <v>20.3</v>
      </c>
      <c r="J13" s="416">
        <v>0</v>
      </c>
      <c r="K13" s="416">
        <v>0</v>
      </c>
      <c r="N13" s="231" t="s">
        <v>88</v>
      </c>
      <c r="O13" s="349">
        <f t="shared" si="4"/>
        <v>6846</v>
      </c>
      <c r="P13" s="327">
        <f>HPM_QTR_revP31!L14</f>
        <v>2224</v>
      </c>
      <c r="Q13" s="349">
        <f t="shared" si="5"/>
        <v>0</v>
      </c>
      <c r="R13" s="349">
        <f t="shared" si="0"/>
        <v>4622</v>
      </c>
      <c r="S13" s="327">
        <f t="shared" si="6"/>
        <v>5.4543952607418074E-2</v>
      </c>
      <c r="T13" s="416" t="s">
        <v>88</v>
      </c>
      <c r="U13" s="327">
        <f t="shared" si="1"/>
        <v>0</v>
      </c>
      <c r="V13" s="416">
        <f t="shared" si="2"/>
        <v>370.66666666666669</v>
      </c>
      <c r="W13" s="416">
        <f>EG_LH_min[[#This Row],[2022]]</f>
        <v>370.66666666666669</v>
      </c>
      <c r="X13" s="416">
        <f>EG_LH_min[[#This Row],[2023]]</f>
        <v>370.66666666666669</v>
      </c>
      <c r="Y13" s="416">
        <f>EG_LH_min[[#This Row],[2023]]</f>
        <v>370.66666666666669</v>
      </c>
      <c r="Z13" s="416">
        <f>EG_LH_min[[#This Row],[2024]]</f>
        <v>370.66666666666669</v>
      </c>
      <c r="AA13" s="416">
        <f>EG_LH_min[[#This Row],[2025]]</f>
        <v>370.66666666666669</v>
      </c>
      <c r="AB13" s="416">
        <v>0</v>
      </c>
      <c r="AC13" s="416">
        <v>0</v>
      </c>
      <c r="AD13" s="416">
        <v>0</v>
      </c>
      <c r="AE13" s="416">
        <v>0</v>
      </c>
      <c r="AH13" s="634">
        <f>VLOOKUP(EG_LH_max[[#This Row],[SubGeography2]],'MaxCapacity-Input'!$G$65:$L$90,3,FALSE)</f>
        <v>3.5681444221746919E-4</v>
      </c>
      <c r="AJ13" s="416" t="s">
        <v>88</v>
      </c>
      <c r="AK13" s="416">
        <f>EG_LH_min[[#This Row],[2021]]*(1+$AH13)</f>
        <v>0</v>
      </c>
      <c r="AL13" s="416">
        <f>EG_LH_min[[#This Row],[2022]]*(1+$AH13)</f>
        <v>370.79892588658197</v>
      </c>
      <c r="AM13" s="416">
        <f>EG_LH_min[[#This Row],[2023]]*(1+$AH13)</f>
        <v>370.79892588658197</v>
      </c>
      <c r="AN13" s="416">
        <f>EG_LH_min[[#This Row],[2024]]*(1+$AH13)</f>
        <v>370.79892588658197</v>
      </c>
      <c r="AO13" s="416">
        <f>EG_LH_min[[#This Row],[2025]]*(1+$AH13)</f>
        <v>370.79892588658197</v>
      </c>
      <c r="AP13" s="416">
        <f>EG_LH_min[[#This Row],[2026]]*(1+$AH13)</f>
        <v>370.79892588658197</v>
      </c>
      <c r="AQ13" s="327">
        <f>MAX(EG_LH_min[[#This Row],[2027]]*(1+$AH13),AQ$31*$S13)</f>
        <v>370.79892588658197</v>
      </c>
      <c r="AR13" s="327">
        <f t="shared" si="3"/>
        <v>81.815928911127116</v>
      </c>
      <c r="AS13" s="327">
        <f t="shared" si="3"/>
        <v>81.815928911127116</v>
      </c>
      <c r="AT13" s="327">
        <f t="shared" si="3"/>
        <v>81.815928911127116</v>
      </c>
      <c r="AU13" s="327">
        <f t="shared" si="3"/>
        <v>81.815928911127116</v>
      </c>
    </row>
    <row r="14" spans="1:47">
      <c r="A14" s="416" t="s">
        <v>626</v>
      </c>
      <c r="B14" s="416" t="s">
        <v>18</v>
      </c>
      <c r="C14" s="416" t="s">
        <v>624</v>
      </c>
      <c r="D14" s="416">
        <v>2242</v>
      </c>
      <c r="E14" s="416">
        <v>2202</v>
      </c>
      <c r="F14" s="416">
        <v>120</v>
      </c>
      <c r="G14" s="416">
        <v>5.45</v>
      </c>
      <c r="H14" s="416">
        <v>0</v>
      </c>
      <c r="I14" s="416">
        <v>0</v>
      </c>
      <c r="J14" s="416">
        <v>2082</v>
      </c>
      <c r="K14" s="416">
        <v>94.55</v>
      </c>
      <c r="N14" s="232" t="s">
        <v>89</v>
      </c>
      <c r="O14" s="349">
        <f t="shared" si="4"/>
        <v>8158.5</v>
      </c>
      <c r="P14" s="327">
        <f>HPM_QTR_revP31!L15</f>
        <v>2559.5</v>
      </c>
      <c r="Q14" s="349">
        <f t="shared" si="5"/>
        <v>27.5</v>
      </c>
      <c r="R14" s="349">
        <f t="shared" si="0"/>
        <v>5599</v>
      </c>
      <c r="S14" s="327">
        <f t="shared" si="6"/>
        <v>6.6073472663118513E-2</v>
      </c>
      <c r="T14" s="416" t="s">
        <v>89</v>
      </c>
      <c r="U14" s="327">
        <f t="shared" si="1"/>
        <v>27.5</v>
      </c>
      <c r="V14" s="416">
        <f t="shared" si="2"/>
        <v>426.58333333333331</v>
      </c>
      <c r="W14" s="416">
        <f>EG_LH_min[[#This Row],[2022]]</f>
        <v>426.58333333333331</v>
      </c>
      <c r="X14" s="416">
        <f>EG_LH_min[[#This Row],[2023]]</f>
        <v>426.58333333333331</v>
      </c>
      <c r="Y14" s="416">
        <f>EG_LH_min[[#This Row],[2023]]</f>
        <v>426.58333333333331</v>
      </c>
      <c r="Z14" s="416">
        <f>EG_LH_min[[#This Row],[2024]]</f>
        <v>426.58333333333331</v>
      </c>
      <c r="AA14" s="416">
        <f>EG_LH_min[[#This Row],[2025]]</f>
        <v>426.58333333333331</v>
      </c>
      <c r="AB14" s="416">
        <v>0</v>
      </c>
      <c r="AC14" s="416">
        <v>0</v>
      </c>
      <c r="AD14" s="416">
        <v>0</v>
      </c>
      <c r="AE14" s="416">
        <v>0</v>
      </c>
      <c r="AH14" s="634">
        <f>VLOOKUP(EG_LH_max[[#This Row],[SubGeography2]],'MaxCapacity-Input'!$G$65:$L$90,3,FALSE)</f>
        <v>0</v>
      </c>
      <c r="AJ14" s="416" t="s">
        <v>89</v>
      </c>
      <c r="AK14" s="416">
        <f>EG_LH_min[[#This Row],[2021]]*(1+$AH14)</f>
        <v>27.5</v>
      </c>
      <c r="AL14" s="416">
        <f>EG_LH_min[[#This Row],[2022]]*(1+$AH14)</f>
        <v>426.58333333333331</v>
      </c>
      <c r="AM14" s="416">
        <f>EG_LH_min[[#This Row],[2023]]*(1+$AH14)</f>
        <v>426.58333333333331</v>
      </c>
      <c r="AN14" s="416">
        <f>EG_LH_min[[#This Row],[2024]]*(1+$AH14)</f>
        <v>426.58333333333331</v>
      </c>
      <c r="AO14" s="416">
        <f>EG_LH_min[[#This Row],[2025]]*(1+$AH14)</f>
        <v>426.58333333333331</v>
      </c>
      <c r="AP14" s="416">
        <f>EG_LH_min[[#This Row],[2026]]*(1+$AH14)</f>
        <v>426.58333333333331</v>
      </c>
      <c r="AQ14" s="327">
        <f>MAX(EG_LH_min[[#This Row],[2027]]*(1+$AH14),AQ$31*$S14)</f>
        <v>426.58333333333331</v>
      </c>
      <c r="AR14" s="327">
        <f t="shared" si="3"/>
        <v>99.110208994677762</v>
      </c>
      <c r="AS14" s="327">
        <f t="shared" si="3"/>
        <v>99.110208994677762</v>
      </c>
      <c r="AT14" s="327">
        <f t="shared" si="3"/>
        <v>99.110208994677762</v>
      </c>
      <c r="AU14" s="327">
        <f t="shared" si="3"/>
        <v>99.110208994677762</v>
      </c>
    </row>
    <row r="15" spans="1:47">
      <c r="A15" s="416" t="s">
        <v>626</v>
      </c>
      <c r="B15" s="416" t="s">
        <v>8</v>
      </c>
      <c r="C15" s="416" t="s">
        <v>55</v>
      </c>
      <c r="D15" s="416">
        <v>619</v>
      </c>
      <c r="E15" s="416">
        <v>590</v>
      </c>
      <c r="F15" s="416">
        <v>550</v>
      </c>
      <c r="G15" s="416">
        <v>100</v>
      </c>
      <c r="H15" s="416">
        <v>0</v>
      </c>
      <c r="I15" s="416">
        <v>0</v>
      </c>
      <c r="J15" s="416">
        <v>0</v>
      </c>
      <c r="K15" s="416">
        <v>0</v>
      </c>
      <c r="N15" s="231" t="s">
        <v>20</v>
      </c>
      <c r="O15" s="349">
        <f t="shared" si="4"/>
        <v>0</v>
      </c>
      <c r="P15" s="327">
        <f>HPM_QTR_revP31!L16</f>
        <v>0</v>
      </c>
      <c r="Q15" s="349">
        <f t="shared" si="5"/>
        <v>0</v>
      </c>
      <c r="R15" s="349">
        <f t="shared" si="0"/>
        <v>0</v>
      </c>
      <c r="S15" s="327">
        <f t="shared" si="6"/>
        <v>0</v>
      </c>
      <c r="T15" s="416" t="s">
        <v>20</v>
      </c>
      <c r="U15" s="327">
        <f t="shared" si="1"/>
        <v>0</v>
      </c>
      <c r="V15" s="416">
        <f t="shared" si="2"/>
        <v>0</v>
      </c>
      <c r="W15" s="416">
        <f>EG_LH_min[[#This Row],[2022]]</f>
        <v>0</v>
      </c>
      <c r="X15" s="416">
        <f>EG_LH_min[[#This Row],[2023]]</f>
        <v>0</v>
      </c>
      <c r="Y15" s="416">
        <f>EG_LH_min[[#This Row],[2023]]</f>
        <v>0</v>
      </c>
      <c r="Z15" s="416">
        <f>EG_LH_min[[#This Row],[2024]]</f>
        <v>0</v>
      </c>
      <c r="AA15" s="416">
        <f>EG_LH_min[[#This Row],[2025]]</f>
        <v>0</v>
      </c>
      <c r="AB15" s="416">
        <v>0</v>
      </c>
      <c r="AC15" s="416">
        <v>0</v>
      </c>
      <c r="AD15" s="416">
        <v>0</v>
      </c>
      <c r="AE15" s="416">
        <v>0</v>
      </c>
      <c r="AH15" s="634">
        <f>VLOOKUP(EG_LH_max[[#This Row],[SubGeography2]],'MaxCapacity-Input'!$G$65:$L$90,3,FALSE)</f>
        <v>0</v>
      </c>
      <c r="AJ15" s="416" t="s">
        <v>20</v>
      </c>
      <c r="AK15" s="416">
        <f>EG_LH_min[[#This Row],[2021]]*(1+$AH15)</f>
        <v>0</v>
      </c>
      <c r="AL15" s="416">
        <f>EG_LH_min[[#This Row],[2022]]*(1+$AH15)</f>
        <v>0</v>
      </c>
      <c r="AM15" s="416">
        <f>EG_LH_min[[#This Row],[2023]]*(1+$AH15)</f>
        <v>0</v>
      </c>
      <c r="AN15" s="416">
        <f>EG_LH_min[[#This Row],[2024]]*(1+$AH15)</f>
        <v>0</v>
      </c>
      <c r="AO15" s="416">
        <f>EG_LH_min[[#This Row],[2025]]*(1+$AH15)</f>
        <v>0</v>
      </c>
      <c r="AP15" s="416">
        <f>EG_LH_min[[#This Row],[2026]]*(1+$AH15)</f>
        <v>0</v>
      </c>
      <c r="AQ15" s="327">
        <f>MAX(EG_LH_min[[#This Row],[2027]]*(1+$AH15),AQ$31*$S15)</f>
        <v>0</v>
      </c>
      <c r="AR15" s="327">
        <f t="shared" ref="AR15:AU29" si="7">AR$31*$S15</f>
        <v>0</v>
      </c>
      <c r="AS15" s="327">
        <f t="shared" si="7"/>
        <v>0</v>
      </c>
      <c r="AT15" s="327">
        <f t="shared" si="7"/>
        <v>0</v>
      </c>
      <c r="AU15" s="327">
        <f t="shared" si="7"/>
        <v>0</v>
      </c>
    </row>
    <row r="16" spans="1:47">
      <c r="A16" s="416" t="s">
        <v>626</v>
      </c>
      <c r="B16" s="416" t="s">
        <v>10</v>
      </c>
      <c r="C16" s="416" t="s">
        <v>63</v>
      </c>
      <c r="D16" s="416">
        <v>3769</v>
      </c>
      <c r="E16" s="416">
        <v>3314</v>
      </c>
      <c r="F16" s="416">
        <v>2647</v>
      </c>
      <c r="G16" s="416">
        <v>79.87</v>
      </c>
      <c r="H16" s="416">
        <v>0</v>
      </c>
      <c r="I16" s="416">
        <v>0</v>
      </c>
      <c r="J16" s="416">
        <v>667</v>
      </c>
      <c r="K16" s="416">
        <v>20.13</v>
      </c>
      <c r="N16" s="232" t="s">
        <v>11</v>
      </c>
      <c r="O16" s="349">
        <f t="shared" si="4"/>
        <v>2814.8</v>
      </c>
      <c r="P16" s="327">
        <f>HPM_QTR_revP31!L17</f>
        <v>0</v>
      </c>
      <c r="Q16" s="349">
        <f t="shared" si="5"/>
        <v>0</v>
      </c>
      <c r="R16" s="349">
        <f t="shared" si="0"/>
        <v>2814.8</v>
      </c>
      <c r="S16" s="327">
        <f t="shared" si="6"/>
        <v>3.3217290739801036E-2</v>
      </c>
      <c r="T16" s="416" t="s">
        <v>11</v>
      </c>
      <c r="U16" s="327">
        <f t="shared" si="1"/>
        <v>0</v>
      </c>
      <c r="V16" s="416">
        <f t="shared" si="2"/>
        <v>0</v>
      </c>
      <c r="W16" s="416">
        <f>EG_LH_min[[#This Row],[2022]]</f>
        <v>0</v>
      </c>
      <c r="X16" s="416">
        <f>EG_LH_min[[#This Row],[2023]]</f>
        <v>0</v>
      </c>
      <c r="Y16" s="416">
        <f>EG_LH_min[[#This Row],[2023]]</f>
        <v>0</v>
      </c>
      <c r="Z16" s="416">
        <f>EG_LH_min[[#This Row],[2024]]</f>
        <v>0</v>
      </c>
      <c r="AA16" s="416">
        <f>EG_LH_min[[#This Row],[2025]]</f>
        <v>0</v>
      </c>
      <c r="AB16" s="416">
        <v>0</v>
      </c>
      <c r="AC16" s="416">
        <v>0</v>
      </c>
      <c r="AD16" s="416">
        <v>0</v>
      </c>
      <c r="AE16" s="416">
        <v>0</v>
      </c>
      <c r="AH16" s="634">
        <f>VLOOKUP(EG_LH_max[[#This Row],[SubGeography2]],'MaxCapacity-Input'!$G$65:$L$90,3,FALSE)</f>
        <v>7.0180012073980573E-3</v>
      </c>
      <c r="AJ16" s="416" t="s">
        <v>11</v>
      </c>
      <c r="AK16" s="416">
        <f>EG_LH_min[[#This Row],[2021]]*(1+$AH16)</f>
        <v>0</v>
      </c>
      <c r="AL16" s="416">
        <f>EG_LH_min[[#This Row],[2022]]*(1+$AH16)</f>
        <v>0</v>
      </c>
      <c r="AM16" s="416">
        <f>EG_LH_min[[#This Row],[2023]]*(1+$AH16)</f>
        <v>0</v>
      </c>
      <c r="AN16" s="416">
        <f>EG_LH_min[[#This Row],[2024]]*(1+$AH16)</f>
        <v>0</v>
      </c>
      <c r="AO16" s="416">
        <f>EG_LH_min[[#This Row],[2025]]*(1+$AH16)</f>
        <v>0</v>
      </c>
      <c r="AP16" s="416">
        <f>EG_LH_min[[#This Row],[2026]]*(1+$AH16)</f>
        <v>0</v>
      </c>
      <c r="AQ16" s="327">
        <f>MAX(EG_LH_min[[#This Row],[2027]]*(1+$AH16),AQ$31*$S16)</f>
        <v>49.825936109701551</v>
      </c>
      <c r="AR16" s="327">
        <f t="shared" si="7"/>
        <v>49.825936109701551</v>
      </c>
      <c r="AS16" s="327">
        <f t="shared" si="7"/>
        <v>49.825936109701551</v>
      </c>
      <c r="AT16" s="327">
        <f t="shared" si="7"/>
        <v>49.825936109701551</v>
      </c>
      <c r="AU16" s="327">
        <f t="shared" si="7"/>
        <v>49.825936109701551</v>
      </c>
    </row>
    <row r="17" spans="1:47">
      <c r="A17" s="416" t="s">
        <v>626</v>
      </c>
      <c r="B17" s="416" t="s">
        <v>91</v>
      </c>
      <c r="C17" s="416" t="s">
        <v>54</v>
      </c>
      <c r="D17" s="416">
        <v>55</v>
      </c>
      <c r="E17" s="416">
        <v>55</v>
      </c>
      <c r="F17" s="416">
        <v>0</v>
      </c>
      <c r="G17" s="416">
        <v>0</v>
      </c>
      <c r="H17" s="416">
        <v>0</v>
      </c>
      <c r="I17" s="416">
        <v>0</v>
      </c>
      <c r="J17" s="416">
        <v>55</v>
      </c>
      <c r="K17" s="416">
        <v>100</v>
      </c>
      <c r="N17" s="231" t="s">
        <v>12</v>
      </c>
      <c r="O17" s="349">
        <f t="shared" si="4"/>
        <v>1421.5</v>
      </c>
      <c r="P17" s="327">
        <f>HPM_QTR_revP31!L18</f>
        <v>100</v>
      </c>
      <c r="Q17" s="349">
        <f t="shared" si="5"/>
        <v>0</v>
      </c>
      <c r="R17" s="349">
        <f t="shared" si="0"/>
        <v>1321.5</v>
      </c>
      <c r="S17" s="327">
        <f t="shared" si="6"/>
        <v>1.559494447656923E-2</v>
      </c>
      <c r="T17" s="416" t="s">
        <v>12</v>
      </c>
      <c r="U17" s="327">
        <f t="shared" si="1"/>
        <v>0</v>
      </c>
      <c r="V17" s="416">
        <f t="shared" si="2"/>
        <v>16.666666666666668</v>
      </c>
      <c r="W17" s="416">
        <f>EG_LH_min[[#This Row],[2022]]</f>
        <v>16.666666666666668</v>
      </c>
      <c r="X17" s="416">
        <f>EG_LH_min[[#This Row],[2023]]</f>
        <v>16.666666666666668</v>
      </c>
      <c r="Y17" s="416">
        <f>EG_LH_min[[#This Row],[2023]]</f>
        <v>16.666666666666668</v>
      </c>
      <c r="Z17" s="416">
        <f>EG_LH_min[[#This Row],[2024]]</f>
        <v>16.666666666666668</v>
      </c>
      <c r="AA17" s="416">
        <f>EG_LH_min[[#This Row],[2025]]</f>
        <v>16.666666666666668</v>
      </c>
      <c r="AB17" s="416">
        <v>0</v>
      </c>
      <c r="AC17" s="416">
        <v>0</v>
      </c>
      <c r="AD17" s="416">
        <v>0</v>
      </c>
      <c r="AE17" s="416">
        <v>0</v>
      </c>
      <c r="AH17" s="634">
        <f>VLOOKUP(EG_LH_max[[#This Row],[SubGeography2]],'MaxCapacity-Input'!$G$65:$L$90,3,FALSE)</f>
        <v>2.9086991650956101E-2</v>
      </c>
      <c r="AJ17" s="416" t="s">
        <v>12</v>
      </c>
      <c r="AK17" s="416">
        <f>EG_LH_min[[#This Row],[2021]]*(1+$AH17)</f>
        <v>0</v>
      </c>
      <c r="AL17" s="416">
        <f>EG_LH_min[[#This Row],[2022]]*(1+$AH17)</f>
        <v>17.151449860849272</v>
      </c>
      <c r="AM17" s="416">
        <f>EG_LH_min[[#This Row],[2023]]*(1+$AH17)</f>
        <v>17.151449860849272</v>
      </c>
      <c r="AN17" s="416">
        <f>EG_LH_min[[#This Row],[2024]]*(1+$AH17)</f>
        <v>17.151449860849272</v>
      </c>
      <c r="AO17" s="416">
        <f>EG_LH_min[[#This Row],[2025]]*(1+$AH17)</f>
        <v>17.151449860849272</v>
      </c>
      <c r="AP17" s="416">
        <f>EG_LH_min[[#This Row],[2026]]*(1+$AH17)</f>
        <v>17.151449860849272</v>
      </c>
      <c r="AQ17" s="327">
        <f>MAX(EG_LH_min[[#This Row],[2027]]*(1+$AH17),AQ$31*$S17)</f>
        <v>23.392416714853844</v>
      </c>
      <c r="AR17" s="327">
        <f t="shared" si="7"/>
        <v>23.392416714853844</v>
      </c>
      <c r="AS17" s="327">
        <f t="shared" si="7"/>
        <v>23.392416714853844</v>
      </c>
      <c r="AT17" s="327">
        <f t="shared" si="7"/>
        <v>23.392416714853844</v>
      </c>
      <c r="AU17" s="327">
        <f t="shared" si="7"/>
        <v>23.392416714853844</v>
      </c>
    </row>
    <row r="18" spans="1:47">
      <c r="F18" s="39">
        <f>SUM(F13:F17)</f>
        <v>5552</v>
      </c>
      <c r="H18" s="39">
        <f>SUM(H13:H17)</f>
        <v>400</v>
      </c>
      <c r="N18" s="232" t="s">
        <v>9</v>
      </c>
      <c r="O18" s="349">
        <f t="shared" si="4"/>
        <v>0</v>
      </c>
      <c r="P18" s="327">
        <f>HPM_QTR_revP31!L19</f>
        <v>400</v>
      </c>
      <c r="Q18" s="349">
        <f t="shared" si="5"/>
        <v>1</v>
      </c>
      <c r="R18" s="349">
        <f t="shared" si="0"/>
        <v>0</v>
      </c>
      <c r="S18" s="327">
        <f t="shared" si="6"/>
        <v>0</v>
      </c>
      <c r="T18" s="416" t="s">
        <v>9</v>
      </c>
      <c r="U18" s="327">
        <f t="shared" si="1"/>
        <v>1</v>
      </c>
      <c r="V18" s="416">
        <f t="shared" si="2"/>
        <v>66.666666666666671</v>
      </c>
      <c r="W18" s="416">
        <f>EG_LH_min[[#This Row],[2022]]</f>
        <v>66.666666666666671</v>
      </c>
      <c r="X18" s="416">
        <f>EG_LH_min[[#This Row],[2023]]</f>
        <v>66.666666666666671</v>
      </c>
      <c r="Y18" s="416">
        <f>EG_LH_min[[#This Row],[2023]]</f>
        <v>66.666666666666671</v>
      </c>
      <c r="Z18" s="416">
        <f>EG_LH_min[[#This Row],[2024]]</f>
        <v>66.666666666666671</v>
      </c>
      <c r="AA18" s="416">
        <f>EG_LH_min[[#This Row],[2025]]</f>
        <v>66.666666666666671</v>
      </c>
      <c r="AB18" s="416">
        <v>0</v>
      </c>
      <c r="AC18" s="416">
        <v>0</v>
      </c>
      <c r="AD18" s="416">
        <v>0</v>
      </c>
      <c r="AE18" s="416">
        <v>0</v>
      </c>
      <c r="AH18" s="634">
        <f>VLOOKUP(EG_LH_max[[#This Row],[SubGeography2]],'MaxCapacity-Input'!$G$65:$L$90,3,FALSE)</f>
        <v>0</v>
      </c>
      <c r="AJ18" s="416" t="s">
        <v>9</v>
      </c>
      <c r="AK18" s="416">
        <f>EG_LH_min[[#This Row],[2021]]*(1+$AH18)</f>
        <v>1</v>
      </c>
      <c r="AL18" s="416">
        <f>EG_LH_min[[#This Row],[2022]]*(1+$AH18)</f>
        <v>66.666666666666671</v>
      </c>
      <c r="AM18" s="416">
        <f>EG_LH_min[[#This Row],[2023]]*(1+$AH18)</f>
        <v>66.666666666666671</v>
      </c>
      <c r="AN18" s="416">
        <f>EG_LH_min[[#This Row],[2024]]*(1+$AH18)</f>
        <v>66.666666666666671</v>
      </c>
      <c r="AO18" s="416">
        <f>EG_LH_min[[#This Row],[2025]]*(1+$AH18)</f>
        <v>66.666666666666671</v>
      </c>
      <c r="AP18" s="416">
        <f>EG_LH_min[[#This Row],[2026]]*(1+$AH18)</f>
        <v>66.666666666666671</v>
      </c>
      <c r="AQ18" s="327">
        <f>MAX(EG_LH_min[[#This Row],[2027]]*(1+$AH18),AQ$31*$S18)</f>
        <v>66.666666666666671</v>
      </c>
      <c r="AR18" s="327">
        <f t="shared" si="7"/>
        <v>0</v>
      </c>
      <c r="AS18" s="327">
        <f t="shared" si="7"/>
        <v>0</v>
      </c>
      <c r="AT18" s="327">
        <f t="shared" si="7"/>
        <v>0</v>
      </c>
      <c r="AU18" s="327">
        <f t="shared" si="7"/>
        <v>0</v>
      </c>
    </row>
    <row r="19" spans="1:47">
      <c r="A19" s="416" t="s">
        <v>627</v>
      </c>
      <c r="B19" s="416" t="s">
        <v>14</v>
      </c>
      <c r="C19" s="416" t="s">
        <v>49</v>
      </c>
      <c r="D19" s="416">
        <v>2366</v>
      </c>
      <c r="E19" s="416">
        <v>2341</v>
      </c>
      <c r="F19" s="416">
        <v>1610</v>
      </c>
      <c r="G19" s="416">
        <v>68.77</v>
      </c>
      <c r="H19" s="416">
        <v>960</v>
      </c>
      <c r="I19" s="416">
        <v>41.01</v>
      </c>
      <c r="J19" s="416">
        <v>0</v>
      </c>
      <c r="K19" s="416">
        <v>0</v>
      </c>
      <c r="N19" s="231" t="s">
        <v>10</v>
      </c>
      <c r="O19" s="349">
        <f t="shared" si="4"/>
        <v>667</v>
      </c>
      <c r="P19" s="327">
        <f>HPM_QTR_revP31!L20</f>
        <v>0</v>
      </c>
      <c r="Q19" s="349">
        <f t="shared" si="5"/>
        <v>0</v>
      </c>
      <c r="R19" s="349">
        <f t="shared" si="0"/>
        <v>667</v>
      </c>
      <c r="S19" s="327">
        <f t="shared" si="6"/>
        <v>7.8712281240042956E-3</v>
      </c>
      <c r="T19" s="416" t="s">
        <v>10</v>
      </c>
      <c r="U19" s="327">
        <f t="shared" si="1"/>
        <v>0</v>
      </c>
      <c r="V19" s="416">
        <f t="shared" si="2"/>
        <v>0</v>
      </c>
      <c r="W19" s="416">
        <f>EG_LH_min[[#This Row],[2022]]</f>
        <v>0</v>
      </c>
      <c r="X19" s="416">
        <f>EG_LH_min[[#This Row],[2023]]</f>
        <v>0</v>
      </c>
      <c r="Y19" s="416">
        <f>EG_LH_min[[#This Row],[2023]]</f>
        <v>0</v>
      </c>
      <c r="Z19" s="416">
        <f>EG_LH_min[[#This Row],[2024]]</f>
        <v>0</v>
      </c>
      <c r="AA19" s="416">
        <f>EG_LH_min[[#This Row],[2025]]</f>
        <v>0</v>
      </c>
      <c r="AB19" s="416">
        <v>0</v>
      </c>
      <c r="AC19" s="416">
        <v>0</v>
      </c>
      <c r="AD19" s="416">
        <v>0</v>
      </c>
      <c r="AE19" s="416">
        <v>0</v>
      </c>
      <c r="AH19" s="634">
        <f>VLOOKUP(EG_LH_max[[#This Row],[SubGeography2]],'MaxCapacity-Input'!$G$65:$L$90,3,FALSE)</f>
        <v>7.9335096335474125E-3</v>
      </c>
      <c r="AJ19" s="416" t="s">
        <v>10</v>
      </c>
      <c r="AK19" s="416">
        <f>EG_LH_min[[#This Row],[2021]]*(1+$AH19)</f>
        <v>0</v>
      </c>
      <c r="AL19" s="416">
        <f>EG_LH_min[[#This Row],[2022]]*(1+$AH19)</f>
        <v>0</v>
      </c>
      <c r="AM19" s="416">
        <f>EG_LH_min[[#This Row],[2023]]*(1+$AH19)</f>
        <v>0</v>
      </c>
      <c r="AN19" s="416">
        <f>EG_LH_min[[#This Row],[2024]]*(1+$AH19)</f>
        <v>0</v>
      </c>
      <c r="AO19" s="416">
        <f>EG_LH_min[[#This Row],[2025]]*(1+$AH19)</f>
        <v>0</v>
      </c>
      <c r="AP19" s="416">
        <f>EG_LH_min[[#This Row],[2026]]*(1+$AH19)</f>
        <v>0</v>
      </c>
      <c r="AQ19" s="327">
        <f>MAX(EG_LH_min[[#This Row],[2027]]*(1+$AH19),AQ$31*$S19)</f>
        <v>11.806842186006444</v>
      </c>
      <c r="AR19" s="327">
        <f t="shared" si="7"/>
        <v>11.806842186006444</v>
      </c>
      <c r="AS19" s="327">
        <f t="shared" si="7"/>
        <v>11.806842186006444</v>
      </c>
      <c r="AT19" s="327">
        <f t="shared" si="7"/>
        <v>11.806842186006444</v>
      </c>
      <c r="AU19" s="327">
        <f t="shared" si="7"/>
        <v>11.806842186006444</v>
      </c>
    </row>
    <row r="20" spans="1:47">
      <c r="A20" s="416" t="s">
        <v>627</v>
      </c>
      <c r="B20" s="416" t="s">
        <v>15</v>
      </c>
      <c r="C20" s="416" t="s">
        <v>73</v>
      </c>
      <c r="D20" s="416">
        <v>2058</v>
      </c>
      <c r="E20" s="416">
        <v>2019</v>
      </c>
      <c r="F20" s="416">
        <v>800</v>
      </c>
      <c r="G20" s="416">
        <v>39.619999999999997</v>
      </c>
      <c r="H20" s="416">
        <v>0</v>
      </c>
      <c r="I20" s="416">
        <v>0</v>
      </c>
      <c r="J20" s="416">
        <v>1219</v>
      </c>
      <c r="K20" s="416">
        <v>60.38</v>
      </c>
      <c r="N20" s="232" t="s">
        <v>16</v>
      </c>
      <c r="O20" s="349">
        <f t="shared" si="4"/>
        <v>838.8</v>
      </c>
      <c r="P20" s="327">
        <f>HPM_QTR_revP31!L21</f>
        <v>0</v>
      </c>
      <c r="Q20" s="349">
        <f t="shared" si="5"/>
        <v>0</v>
      </c>
      <c r="R20" s="349">
        <f t="shared" si="0"/>
        <v>838.8</v>
      </c>
      <c r="S20" s="327">
        <f t="shared" si="6"/>
        <v>9.8986299106668708E-3</v>
      </c>
      <c r="T20" s="416" t="s">
        <v>16</v>
      </c>
      <c r="U20" s="327">
        <f t="shared" si="1"/>
        <v>0</v>
      </c>
      <c r="V20" s="416">
        <f t="shared" si="2"/>
        <v>0</v>
      </c>
      <c r="W20" s="416">
        <f>EG_LH_min[[#This Row],[2022]]</f>
        <v>0</v>
      </c>
      <c r="X20" s="416">
        <f>EG_LH_min[[#This Row],[2023]]</f>
        <v>0</v>
      </c>
      <c r="Y20" s="416">
        <f>EG_LH_min[[#This Row],[2023]]</f>
        <v>0</v>
      </c>
      <c r="Z20" s="416">
        <f>EG_LH_min[[#This Row],[2024]]</f>
        <v>0</v>
      </c>
      <c r="AA20" s="416">
        <f>EG_LH_min[[#This Row],[2025]]</f>
        <v>0</v>
      </c>
      <c r="AB20" s="416">
        <v>0</v>
      </c>
      <c r="AC20" s="416">
        <v>0</v>
      </c>
      <c r="AD20" s="416">
        <v>0</v>
      </c>
      <c r="AE20" s="416">
        <v>0</v>
      </c>
      <c r="AH20" s="634">
        <f>VLOOKUP(EG_LH_max[[#This Row],[SubGeography2]],'MaxCapacity-Input'!$G$65:$L$90,3,FALSE)</f>
        <v>0</v>
      </c>
      <c r="AJ20" s="416" t="s">
        <v>16</v>
      </c>
      <c r="AK20" s="416">
        <f>EG_LH_min[[#This Row],[2021]]*(1+$AH20)</f>
        <v>0</v>
      </c>
      <c r="AL20" s="416">
        <f>EG_LH_min[[#This Row],[2022]]*(1+$AH20)</f>
        <v>0</v>
      </c>
      <c r="AM20" s="416">
        <f>EG_LH_min[[#This Row],[2023]]*(1+$AH20)</f>
        <v>0</v>
      </c>
      <c r="AN20" s="416">
        <f>EG_LH_min[[#This Row],[2024]]*(1+$AH20)</f>
        <v>0</v>
      </c>
      <c r="AO20" s="416">
        <f>EG_LH_min[[#This Row],[2025]]*(1+$AH20)</f>
        <v>0</v>
      </c>
      <c r="AP20" s="416">
        <f>EG_LH_min[[#This Row],[2026]]*(1+$AH20)</f>
        <v>0</v>
      </c>
      <c r="AQ20" s="327">
        <f>MAX(EG_LH_min[[#This Row],[2027]]*(1+$AH20),AQ$31*$S20)</f>
        <v>14.847944866000306</v>
      </c>
      <c r="AR20" s="327">
        <f t="shared" si="7"/>
        <v>14.847944866000306</v>
      </c>
      <c r="AS20" s="327">
        <f t="shared" si="7"/>
        <v>14.847944866000306</v>
      </c>
      <c r="AT20" s="327">
        <f t="shared" si="7"/>
        <v>14.847944866000306</v>
      </c>
      <c r="AU20" s="327">
        <f t="shared" si="7"/>
        <v>14.847944866000306</v>
      </c>
    </row>
    <row r="21" spans="1:47">
      <c r="A21" s="416" t="s">
        <v>627</v>
      </c>
      <c r="B21" s="416" t="s">
        <v>11</v>
      </c>
      <c r="C21" s="416" t="s">
        <v>60</v>
      </c>
      <c r="D21" s="416">
        <v>6602</v>
      </c>
      <c r="E21" s="416">
        <v>6459</v>
      </c>
      <c r="F21" s="416">
        <v>3644.2</v>
      </c>
      <c r="G21" s="416">
        <v>56.42</v>
      </c>
      <c r="H21" s="416">
        <v>0</v>
      </c>
      <c r="I21" s="416">
        <v>0</v>
      </c>
      <c r="J21" s="416">
        <v>2814.8</v>
      </c>
      <c r="K21" s="416">
        <v>43.58</v>
      </c>
      <c r="N21" s="231" t="s">
        <v>1</v>
      </c>
      <c r="O21" s="349">
        <f t="shared" si="4"/>
        <v>0</v>
      </c>
      <c r="P21" s="327">
        <f>HPM_QTR_revP31!L22</f>
        <v>206</v>
      </c>
      <c r="Q21" s="349">
        <f t="shared" si="5"/>
        <v>99</v>
      </c>
      <c r="R21" s="349">
        <f t="shared" si="0"/>
        <v>0</v>
      </c>
      <c r="S21" s="327">
        <f t="shared" si="6"/>
        <v>0</v>
      </c>
      <c r="T21" s="416" t="s">
        <v>1</v>
      </c>
      <c r="U21" s="327">
        <f t="shared" si="1"/>
        <v>99</v>
      </c>
      <c r="V21" s="416">
        <f t="shared" si="2"/>
        <v>34.333333333333336</v>
      </c>
      <c r="W21" s="416">
        <f>EG_LH_min[[#This Row],[2022]]</f>
        <v>34.333333333333336</v>
      </c>
      <c r="X21" s="416">
        <f>EG_LH_min[[#This Row],[2023]]</f>
        <v>34.333333333333336</v>
      </c>
      <c r="Y21" s="416">
        <f>EG_LH_min[[#This Row],[2023]]</f>
        <v>34.333333333333336</v>
      </c>
      <c r="Z21" s="416">
        <f>EG_LH_min[[#This Row],[2024]]</f>
        <v>34.333333333333336</v>
      </c>
      <c r="AA21" s="416">
        <f>EG_LH_min[[#This Row],[2025]]</f>
        <v>34.333333333333336</v>
      </c>
      <c r="AB21" s="416">
        <v>0</v>
      </c>
      <c r="AC21" s="416">
        <v>0</v>
      </c>
      <c r="AD21" s="416">
        <v>0</v>
      </c>
      <c r="AE21" s="416">
        <v>0</v>
      </c>
      <c r="AH21" s="634">
        <f>VLOOKUP(EG_LH_max[[#This Row],[SubGeography2]],'MaxCapacity-Input'!$G$65:$L$90,3,FALSE)</f>
        <v>0</v>
      </c>
      <c r="AJ21" s="416" t="s">
        <v>1</v>
      </c>
      <c r="AK21" s="416">
        <f>EG_LH_min[[#This Row],[2021]]*(1+$AH21)</f>
        <v>99</v>
      </c>
      <c r="AL21" s="416">
        <f>EG_LH_min[[#This Row],[2022]]*(1+$AH21)</f>
        <v>34.333333333333336</v>
      </c>
      <c r="AM21" s="416">
        <f>EG_LH_min[[#This Row],[2023]]*(1+$AH21)</f>
        <v>34.333333333333336</v>
      </c>
      <c r="AN21" s="416">
        <f>EG_LH_min[[#This Row],[2024]]*(1+$AH21)</f>
        <v>34.333333333333336</v>
      </c>
      <c r="AO21" s="416">
        <f>EG_LH_min[[#This Row],[2025]]*(1+$AH21)</f>
        <v>34.333333333333336</v>
      </c>
      <c r="AP21" s="416">
        <f>EG_LH_min[[#This Row],[2026]]*(1+$AH21)</f>
        <v>34.333333333333336</v>
      </c>
      <c r="AQ21" s="327">
        <f>MAX(EG_LH_min[[#This Row],[2027]]*(1+$AH21),AQ$31*$S21)</f>
        <v>34.333333333333336</v>
      </c>
      <c r="AR21" s="327">
        <f>AR$31*$S21</f>
        <v>0</v>
      </c>
      <c r="AS21" s="327">
        <f t="shared" si="7"/>
        <v>0</v>
      </c>
      <c r="AT21" s="327">
        <f t="shared" si="7"/>
        <v>0</v>
      </c>
      <c r="AU21" s="327">
        <f t="shared" si="7"/>
        <v>0</v>
      </c>
    </row>
    <row r="22" spans="1:47">
      <c r="A22" s="416" t="s">
        <v>627</v>
      </c>
      <c r="B22" s="416" t="s">
        <v>12</v>
      </c>
      <c r="C22" s="416" t="s">
        <v>61</v>
      </c>
      <c r="D22" s="416">
        <v>3514</v>
      </c>
      <c r="E22" s="416">
        <v>3378</v>
      </c>
      <c r="F22" s="416">
        <v>1856.5</v>
      </c>
      <c r="G22" s="416">
        <v>54.96</v>
      </c>
      <c r="H22" s="416">
        <v>100</v>
      </c>
      <c r="I22" s="416">
        <v>2.96</v>
      </c>
      <c r="J22" s="416">
        <v>1421.5</v>
      </c>
      <c r="K22" s="416">
        <v>42.08</v>
      </c>
      <c r="N22" s="232" t="s">
        <v>6</v>
      </c>
      <c r="O22" s="349">
        <f t="shared" si="4"/>
        <v>0</v>
      </c>
      <c r="P22" s="327">
        <f>HPM_QTR_revP31!L23</f>
        <v>0</v>
      </c>
      <c r="Q22" s="349">
        <f t="shared" si="5"/>
        <v>0</v>
      </c>
      <c r="R22" s="349">
        <f t="shared" si="0"/>
        <v>0</v>
      </c>
      <c r="S22" s="327">
        <f t="shared" si="6"/>
        <v>0</v>
      </c>
      <c r="T22" s="416" t="s">
        <v>6</v>
      </c>
      <c r="U22" s="327">
        <f t="shared" si="1"/>
        <v>0</v>
      </c>
      <c r="V22" s="416">
        <f t="shared" si="2"/>
        <v>0</v>
      </c>
      <c r="W22" s="416">
        <f>EG_LH_min[[#This Row],[2022]]</f>
        <v>0</v>
      </c>
      <c r="X22" s="416">
        <f>EG_LH_min[[#This Row],[2023]]</f>
        <v>0</v>
      </c>
      <c r="Y22" s="416">
        <f>EG_LH_min[[#This Row],[2023]]</f>
        <v>0</v>
      </c>
      <c r="Z22" s="416">
        <f>EG_LH_min[[#This Row],[2024]]</f>
        <v>0</v>
      </c>
      <c r="AA22" s="416">
        <f>EG_LH_min[[#This Row],[2025]]</f>
        <v>0</v>
      </c>
      <c r="AB22" s="416">
        <v>0</v>
      </c>
      <c r="AC22" s="416">
        <v>0</v>
      </c>
      <c r="AD22" s="416">
        <v>0</v>
      </c>
      <c r="AE22" s="416">
        <v>0</v>
      </c>
      <c r="AH22" s="634">
        <f>VLOOKUP(EG_LH_max[[#This Row],[SubGeography2]],'MaxCapacity-Input'!$G$65:$L$90,3,FALSE)</f>
        <v>0</v>
      </c>
      <c r="AJ22" s="416" t="s">
        <v>6</v>
      </c>
      <c r="AK22" s="416">
        <f>EG_LH_min[[#This Row],[2021]]*(1+$AH22)</f>
        <v>0</v>
      </c>
      <c r="AL22" s="416">
        <f>EG_LH_min[[#This Row],[2022]]*(1+$AH22)</f>
        <v>0</v>
      </c>
      <c r="AM22" s="416">
        <f>EG_LH_min[[#This Row],[2023]]*(1+$AH22)</f>
        <v>0</v>
      </c>
      <c r="AN22" s="416">
        <f>EG_LH_min[[#This Row],[2024]]*(1+$AH22)</f>
        <v>0</v>
      </c>
      <c r="AO22" s="416">
        <f>EG_LH_min[[#This Row],[2025]]*(1+$AH22)</f>
        <v>0</v>
      </c>
      <c r="AP22" s="416">
        <f>EG_LH_min[[#This Row],[2026]]*(1+$AH22)</f>
        <v>0</v>
      </c>
      <c r="AQ22" s="327">
        <f>MAX(EG_LH_min[[#This Row],[2027]]*(1+$AH22),AQ$31*$S22)</f>
        <v>0</v>
      </c>
      <c r="AR22" s="327">
        <f t="shared" si="7"/>
        <v>0</v>
      </c>
      <c r="AS22" s="327">
        <f t="shared" si="7"/>
        <v>0</v>
      </c>
      <c r="AT22" s="327">
        <f t="shared" si="7"/>
        <v>0</v>
      </c>
      <c r="AU22" s="327">
        <f t="shared" si="7"/>
        <v>0</v>
      </c>
    </row>
    <row r="23" spans="1:47">
      <c r="A23" s="416" t="s">
        <v>627</v>
      </c>
      <c r="B23" s="416" t="s">
        <v>13</v>
      </c>
      <c r="C23" s="416" t="s">
        <v>72</v>
      </c>
      <c r="D23" s="416">
        <v>1918</v>
      </c>
      <c r="E23" s="416">
        <v>1693</v>
      </c>
      <c r="F23" s="416">
        <v>1778.2</v>
      </c>
      <c r="G23" s="416">
        <v>100</v>
      </c>
      <c r="H23" s="416">
        <v>0</v>
      </c>
      <c r="I23" s="416">
        <v>0</v>
      </c>
      <c r="J23" s="416">
        <v>0</v>
      </c>
      <c r="K23" s="416">
        <v>0</v>
      </c>
      <c r="N23" s="231" t="s">
        <v>13</v>
      </c>
      <c r="O23" s="349">
        <f t="shared" si="4"/>
        <v>0</v>
      </c>
      <c r="P23" s="327">
        <f>HPM_QTR_revP31!L24</f>
        <v>0</v>
      </c>
      <c r="Q23" s="349">
        <f t="shared" si="5"/>
        <v>0</v>
      </c>
      <c r="R23" s="349">
        <f t="shared" si="0"/>
        <v>0</v>
      </c>
      <c r="S23" s="327">
        <f t="shared" si="6"/>
        <v>0</v>
      </c>
      <c r="T23" s="416" t="s">
        <v>13</v>
      </c>
      <c r="U23" s="327">
        <f t="shared" si="1"/>
        <v>0</v>
      </c>
      <c r="V23" s="416">
        <f t="shared" si="2"/>
        <v>0</v>
      </c>
      <c r="W23" s="416">
        <f>EG_LH_min[[#This Row],[2022]]</f>
        <v>0</v>
      </c>
      <c r="X23" s="416">
        <f>EG_LH_min[[#This Row],[2023]]</f>
        <v>0</v>
      </c>
      <c r="Y23" s="416">
        <f>EG_LH_min[[#This Row],[2023]]</f>
        <v>0</v>
      </c>
      <c r="Z23" s="416">
        <f>EG_LH_min[[#This Row],[2024]]</f>
        <v>0</v>
      </c>
      <c r="AA23" s="416">
        <f>EG_LH_min[[#This Row],[2025]]</f>
        <v>0</v>
      </c>
      <c r="AB23" s="416">
        <v>0</v>
      </c>
      <c r="AC23" s="416">
        <v>0</v>
      </c>
      <c r="AD23" s="416">
        <v>0</v>
      </c>
      <c r="AE23" s="416">
        <v>0</v>
      </c>
      <c r="AH23" s="634">
        <f>VLOOKUP(EG_LH_max[[#This Row],[SubGeography2]],'MaxCapacity-Input'!$G$65:$L$90,3,FALSE)</f>
        <v>0</v>
      </c>
      <c r="AJ23" s="416" t="s">
        <v>13</v>
      </c>
      <c r="AK23" s="416">
        <f>EG_LH_min[[#This Row],[2021]]*(1+$AH23)</f>
        <v>0</v>
      </c>
      <c r="AL23" s="416">
        <f>EG_LH_min[[#This Row],[2022]]*(1+$AH23)</f>
        <v>0</v>
      </c>
      <c r="AM23" s="416">
        <f>EG_LH_min[[#This Row],[2023]]*(1+$AH23)</f>
        <v>0</v>
      </c>
      <c r="AN23" s="416">
        <f>EG_LH_min[[#This Row],[2024]]*(1+$AH23)</f>
        <v>0</v>
      </c>
      <c r="AO23" s="416">
        <f>EG_LH_min[[#This Row],[2025]]*(1+$AH23)</f>
        <v>0</v>
      </c>
      <c r="AP23" s="416">
        <f>EG_LH_min[[#This Row],[2026]]*(1+$AH23)</f>
        <v>0</v>
      </c>
      <c r="AQ23" s="327">
        <f>MAX(EG_LH_min[[#This Row],[2027]]*(1+$AH23),AQ$31*$S23)</f>
        <v>0</v>
      </c>
      <c r="AR23" s="327">
        <f t="shared" si="7"/>
        <v>0</v>
      </c>
      <c r="AS23" s="327">
        <f t="shared" si="7"/>
        <v>0</v>
      </c>
      <c r="AT23" s="327">
        <f t="shared" si="7"/>
        <v>0</v>
      </c>
      <c r="AU23" s="327">
        <f t="shared" si="7"/>
        <v>0</v>
      </c>
    </row>
    <row r="24" spans="1:47">
      <c r="F24" s="39">
        <f>SUM(F19:F23)</f>
        <v>9688.9</v>
      </c>
      <c r="H24" s="39">
        <f>SUM(H19:H23)</f>
        <v>1060</v>
      </c>
      <c r="N24" s="232" t="s">
        <v>15</v>
      </c>
      <c r="O24" s="349">
        <f t="shared" si="4"/>
        <v>1219</v>
      </c>
      <c r="P24" s="327">
        <f>HPM_QTR_revP31!L25</f>
        <v>0</v>
      </c>
      <c r="Q24" s="349">
        <f t="shared" si="5"/>
        <v>0</v>
      </c>
      <c r="R24" s="349">
        <f t="shared" si="0"/>
        <v>1219</v>
      </c>
      <c r="S24" s="327">
        <f t="shared" si="6"/>
        <v>1.438534795076647E-2</v>
      </c>
      <c r="T24" s="416" t="s">
        <v>15</v>
      </c>
      <c r="U24" s="327">
        <f t="shared" si="1"/>
        <v>0</v>
      </c>
      <c r="V24" s="416">
        <f t="shared" si="2"/>
        <v>0</v>
      </c>
      <c r="W24" s="416">
        <f>EG_LH_min[[#This Row],[2022]]</f>
        <v>0</v>
      </c>
      <c r="X24" s="416">
        <f>EG_LH_min[[#This Row],[2023]]</f>
        <v>0</v>
      </c>
      <c r="Y24" s="416">
        <f>EG_LH_min[[#This Row],[2023]]</f>
        <v>0</v>
      </c>
      <c r="Z24" s="416">
        <f>EG_LH_min[[#This Row],[2024]]</f>
        <v>0</v>
      </c>
      <c r="AA24" s="416">
        <f>EG_LH_min[[#This Row],[2025]]</f>
        <v>0</v>
      </c>
      <c r="AB24" s="416">
        <v>0</v>
      </c>
      <c r="AC24" s="416">
        <v>0</v>
      </c>
      <c r="AD24" s="416">
        <v>0</v>
      </c>
      <c r="AE24" s="416">
        <v>0</v>
      </c>
      <c r="AH24" s="634">
        <f>VLOOKUP(EG_LH_max[[#This Row],[SubGeography2]],'MaxCapacity-Input'!$G$65:$L$90,3,FALSE)</f>
        <v>0</v>
      </c>
      <c r="AJ24" s="416" t="s">
        <v>15</v>
      </c>
      <c r="AK24" s="416">
        <f>EG_LH_min[[#This Row],[2021]]*(1+$AH24)</f>
        <v>0</v>
      </c>
      <c r="AL24" s="416">
        <f>EG_LH_min[[#This Row],[2022]]*(1+$AH24)</f>
        <v>0</v>
      </c>
      <c r="AM24" s="416">
        <f>EG_LH_min[[#This Row],[2023]]*(1+$AH24)</f>
        <v>0</v>
      </c>
      <c r="AN24" s="416">
        <f>EG_LH_min[[#This Row],[2024]]*(1+$AH24)</f>
        <v>0</v>
      </c>
      <c r="AO24" s="416">
        <f>EG_LH_min[[#This Row],[2025]]*(1+$AH24)</f>
        <v>0</v>
      </c>
      <c r="AP24" s="416">
        <f>EG_LH_min[[#This Row],[2026]]*(1+$AH24)</f>
        <v>0</v>
      </c>
      <c r="AQ24" s="327">
        <f>MAX(EG_LH_min[[#This Row],[2027]]*(1+$AH24),AQ$31*$S24)</f>
        <v>21.578021926149706</v>
      </c>
      <c r="AR24" s="327">
        <f t="shared" si="7"/>
        <v>21.578021926149706</v>
      </c>
      <c r="AS24" s="327">
        <f t="shared" si="7"/>
        <v>21.578021926149706</v>
      </c>
      <c r="AT24" s="327">
        <f t="shared" si="7"/>
        <v>21.578021926149706</v>
      </c>
      <c r="AU24" s="327">
        <f t="shared" si="7"/>
        <v>21.578021926149706</v>
      </c>
    </row>
    <row r="25" spans="1:47">
      <c r="A25" s="416" t="s">
        <v>626</v>
      </c>
      <c r="B25" s="416" t="s">
        <v>629</v>
      </c>
      <c r="C25" s="416" t="s">
        <v>59</v>
      </c>
      <c r="D25" s="416">
        <v>753</v>
      </c>
      <c r="E25" s="416">
        <v>582</v>
      </c>
      <c r="F25" s="416">
        <v>170</v>
      </c>
      <c r="G25" s="416">
        <v>29.21</v>
      </c>
      <c r="H25" s="416">
        <v>0</v>
      </c>
      <c r="I25" s="416">
        <v>0</v>
      </c>
      <c r="J25" s="416">
        <v>412</v>
      </c>
      <c r="K25" s="416">
        <v>70.790000000000006</v>
      </c>
      <c r="N25" s="231" t="s">
        <v>0</v>
      </c>
      <c r="O25" s="349">
        <f t="shared" si="4"/>
        <v>162.4</v>
      </c>
      <c r="P25" s="327">
        <f>HPM_QTR_revP31!L26</f>
        <v>0</v>
      </c>
      <c r="Q25" s="349">
        <f t="shared" si="5"/>
        <v>0</v>
      </c>
      <c r="R25" s="349">
        <f t="shared" si="0"/>
        <v>162.4</v>
      </c>
      <c r="S25" s="327">
        <f t="shared" si="6"/>
        <v>1.9164729345401764E-3</v>
      </c>
      <c r="T25" s="416" t="s">
        <v>0</v>
      </c>
      <c r="U25" s="327">
        <f t="shared" si="1"/>
        <v>0</v>
      </c>
      <c r="V25" s="416">
        <f t="shared" si="2"/>
        <v>0</v>
      </c>
      <c r="W25" s="416">
        <f>EG_LH_min[[#This Row],[2022]]</f>
        <v>0</v>
      </c>
      <c r="X25" s="416">
        <f>EG_LH_min[[#This Row],[2023]]</f>
        <v>0</v>
      </c>
      <c r="Y25" s="416">
        <f>EG_LH_min[[#This Row],[2023]]</f>
        <v>0</v>
      </c>
      <c r="Z25" s="416">
        <f>EG_LH_min[[#This Row],[2024]]</f>
        <v>0</v>
      </c>
      <c r="AA25" s="416">
        <f>EG_LH_min[[#This Row],[2025]]</f>
        <v>0</v>
      </c>
      <c r="AB25" s="416">
        <v>0</v>
      </c>
      <c r="AC25" s="416">
        <v>0</v>
      </c>
      <c r="AD25" s="416">
        <v>0</v>
      </c>
      <c r="AE25" s="416">
        <v>0</v>
      </c>
      <c r="AH25" s="634">
        <f>VLOOKUP(EG_LH_max[[#This Row],[SubGeography2]],'MaxCapacity-Input'!$G$65:$L$90,3,FALSE)</f>
        <v>0</v>
      </c>
      <c r="AJ25" s="416" t="s">
        <v>0</v>
      </c>
      <c r="AK25" s="416">
        <f>EG_LH_min[[#This Row],[2021]]*(1+$AH25)</f>
        <v>0</v>
      </c>
      <c r="AL25" s="416">
        <f>EG_LH_min[[#This Row],[2022]]*(1+$AH25)</f>
        <v>0</v>
      </c>
      <c r="AM25" s="416">
        <f>EG_LH_min[[#This Row],[2023]]*(1+$AH25)</f>
        <v>0</v>
      </c>
      <c r="AN25" s="416">
        <f>EG_LH_min[[#This Row],[2024]]*(1+$AH25)</f>
        <v>0</v>
      </c>
      <c r="AO25" s="416">
        <f>EG_LH_min[[#This Row],[2025]]*(1+$AH25)</f>
        <v>0</v>
      </c>
      <c r="AP25" s="416">
        <f>EG_LH_min[[#This Row],[2026]]*(1+$AH25)</f>
        <v>0</v>
      </c>
      <c r="AQ25" s="327">
        <f>MAX(EG_LH_min[[#This Row],[2027]]*(1+$AH25),AQ$31*$S25)</f>
        <v>2.8747094018102644</v>
      </c>
      <c r="AR25" s="327">
        <f t="shared" si="7"/>
        <v>2.8747094018102644</v>
      </c>
      <c r="AS25" s="327">
        <f t="shared" si="7"/>
        <v>2.8747094018102644</v>
      </c>
      <c r="AT25" s="327">
        <f t="shared" si="7"/>
        <v>2.8747094018102644</v>
      </c>
      <c r="AU25" s="327">
        <f t="shared" si="7"/>
        <v>2.8747094018102644</v>
      </c>
    </row>
    <row r="26" spans="1:47">
      <c r="A26" s="416" t="s">
        <v>626</v>
      </c>
      <c r="B26" s="416" t="s">
        <v>19</v>
      </c>
      <c r="C26" s="416" t="s">
        <v>485</v>
      </c>
      <c r="D26" s="416">
        <v>70</v>
      </c>
      <c r="E26" s="416">
        <v>40</v>
      </c>
      <c r="F26" s="416">
        <v>0</v>
      </c>
      <c r="G26" s="416">
        <v>0</v>
      </c>
      <c r="H26" s="416">
        <v>0</v>
      </c>
      <c r="I26" s="416">
        <v>0</v>
      </c>
      <c r="J26" s="416">
        <v>0</v>
      </c>
      <c r="K26" s="416">
        <v>0</v>
      </c>
      <c r="N26" s="232" t="s">
        <v>4</v>
      </c>
      <c r="O26" s="349">
        <f t="shared" si="4"/>
        <v>12751.7</v>
      </c>
      <c r="P26" s="327">
        <f>HPM_QTR_revP31!L27</f>
        <v>1391</v>
      </c>
      <c r="Q26" s="349">
        <f t="shared" si="5"/>
        <v>6.5</v>
      </c>
      <c r="R26" s="349">
        <f t="shared" si="0"/>
        <v>11360.7</v>
      </c>
      <c r="S26" s="327">
        <f t="shared" si="6"/>
        <v>0.13406695854329176</v>
      </c>
      <c r="T26" s="416" t="s">
        <v>4</v>
      </c>
      <c r="U26" s="327">
        <f t="shared" si="1"/>
        <v>6.5</v>
      </c>
      <c r="V26" s="416">
        <f t="shared" si="2"/>
        <v>231.83333333333334</v>
      </c>
      <c r="W26" s="416">
        <f>EG_LH_min[[#This Row],[2022]]</f>
        <v>231.83333333333334</v>
      </c>
      <c r="X26" s="416">
        <f>EG_LH_min[[#This Row],[2023]]</f>
        <v>231.83333333333334</v>
      </c>
      <c r="Y26" s="416">
        <f>EG_LH_min[[#This Row],[2023]]</f>
        <v>231.83333333333334</v>
      </c>
      <c r="Z26" s="416">
        <f>EG_LH_min[[#This Row],[2024]]</f>
        <v>231.83333333333334</v>
      </c>
      <c r="AA26" s="416">
        <f>EG_LH_min[[#This Row],[2025]]</f>
        <v>231.83333333333334</v>
      </c>
      <c r="AB26" s="416">
        <v>0</v>
      </c>
      <c r="AC26" s="416">
        <v>0</v>
      </c>
      <c r="AD26" s="416">
        <v>0</v>
      </c>
      <c r="AE26" s="416">
        <v>0</v>
      </c>
      <c r="AH26" s="634">
        <f>VLOOKUP(EG_LH_max[[#This Row],[SubGeography2]],'MaxCapacity-Input'!$G$65:$L$90,3,FALSE)</f>
        <v>0</v>
      </c>
      <c r="AJ26" s="416" t="s">
        <v>4</v>
      </c>
      <c r="AK26" s="416">
        <f>EG_LH_min[[#This Row],[2021]]*(1+$AH26)</f>
        <v>6.5</v>
      </c>
      <c r="AL26" s="416">
        <f>EG_LH_min[[#This Row],[2022]]*(1+$AH26)</f>
        <v>231.83333333333334</v>
      </c>
      <c r="AM26" s="416">
        <f>EG_LH_min[[#This Row],[2023]]*(1+$AH26)</f>
        <v>231.83333333333334</v>
      </c>
      <c r="AN26" s="416">
        <f>EG_LH_min[[#This Row],[2024]]*(1+$AH26)</f>
        <v>231.83333333333334</v>
      </c>
      <c r="AO26" s="416">
        <f>EG_LH_min[[#This Row],[2025]]*(1+$AH26)</f>
        <v>231.83333333333334</v>
      </c>
      <c r="AP26" s="416">
        <f>EG_LH_min[[#This Row],[2026]]*(1+$AH26)</f>
        <v>231.83333333333334</v>
      </c>
      <c r="AQ26" s="327">
        <f>MAX(EG_LH_min[[#This Row],[2027]]*(1+$AH26),AQ$31*$S26)</f>
        <v>231.83333333333334</v>
      </c>
      <c r="AR26" s="327">
        <f t="shared" si="7"/>
        <v>201.10043781493764</v>
      </c>
      <c r="AS26" s="327">
        <f t="shared" si="7"/>
        <v>201.10043781493764</v>
      </c>
      <c r="AT26" s="327">
        <f t="shared" si="7"/>
        <v>201.10043781493764</v>
      </c>
      <c r="AU26" s="327">
        <f t="shared" si="7"/>
        <v>201.10043781493764</v>
      </c>
    </row>
    <row r="27" spans="1:47">
      <c r="A27" s="416" t="s">
        <v>626</v>
      </c>
      <c r="B27" s="416" t="s">
        <v>16</v>
      </c>
      <c r="C27" s="416" t="s">
        <v>68</v>
      </c>
      <c r="D27" s="416">
        <v>2999</v>
      </c>
      <c r="E27" s="416">
        <v>2981</v>
      </c>
      <c r="F27" s="416">
        <v>2142.3000000000002</v>
      </c>
      <c r="G27" s="416">
        <v>71.86</v>
      </c>
      <c r="H27" s="416">
        <v>0</v>
      </c>
      <c r="I27" s="416">
        <v>0</v>
      </c>
      <c r="J27" s="416">
        <v>838.8</v>
      </c>
      <c r="K27" s="416">
        <v>28.14</v>
      </c>
      <c r="N27" s="231" t="s">
        <v>17</v>
      </c>
      <c r="O27" s="349">
        <f t="shared" si="4"/>
        <v>2267.8000000000002</v>
      </c>
      <c r="P27" s="327">
        <f>HPM_QTR_revP31!L28</f>
        <v>120</v>
      </c>
      <c r="Q27" s="349">
        <f t="shared" si="5"/>
        <v>0</v>
      </c>
      <c r="R27" s="349">
        <f t="shared" si="0"/>
        <v>2147.8000000000002</v>
      </c>
      <c r="S27" s="327">
        <f t="shared" si="6"/>
        <v>2.5346062615796743E-2</v>
      </c>
      <c r="T27" s="416" t="s">
        <v>17</v>
      </c>
      <c r="U27" s="327">
        <f t="shared" si="1"/>
        <v>0</v>
      </c>
      <c r="V27" s="416">
        <f t="shared" si="2"/>
        <v>20</v>
      </c>
      <c r="W27" s="416">
        <f>EG_LH_min[[#This Row],[2022]]</f>
        <v>20</v>
      </c>
      <c r="X27" s="416">
        <f>EG_LH_min[[#This Row],[2023]]</f>
        <v>20</v>
      </c>
      <c r="Y27" s="416">
        <f>EG_LH_min[[#This Row],[2023]]</f>
        <v>20</v>
      </c>
      <c r="Z27" s="416">
        <f>EG_LH_min[[#This Row],[2024]]</f>
        <v>20</v>
      </c>
      <c r="AA27" s="416">
        <f>EG_LH_min[[#This Row],[2025]]</f>
        <v>20</v>
      </c>
      <c r="AB27" s="416">
        <v>0</v>
      </c>
      <c r="AC27" s="416">
        <v>0</v>
      </c>
      <c r="AD27" s="416">
        <v>0</v>
      </c>
      <c r="AE27" s="416">
        <v>0</v>
      </c>
      <c r="AH27" s="634">
        <f>VLOOKUP(EG_LH_max[[#This Row],[SubGeography2]],'MaxCapacity-Input'!$G$65:$L$90,3,FALSE)</f>
        <v>0</v>
      </c>
      <c r="AJ27" s="416" t="s">
        <v>17</v>
      </c>
      <c r="AK27" s="416">
        <f>EG_LH_min[[#This Row],[2021]]*(1+$AH27)</f>
        <v>0</v>
      </c>
      <c r="AL27" s="416">
        <f>EG_LH_min[[#This Row],[2022]]*(1+$AH27)</f>
        <v>20</v>
      </c>
      <c r="AM27" s="416">
        <f>EG_LH_min[[#This Row],[2023]]*(1+$AH27)</f>
        <v>20</v>
      </c>
      <c r="AN27" s="416">
        <f>EG_LH_min[[#This Row],[2024]]*(1+$AH27)</f>
        <v>20</v>
      </c>
      <c r="AO27" s="416">
        <f>EG_LH_min[[#This Row],[2025]]*(1+$AH27)</f>
        <v>20</v>
      </c>
      <c r="AP27" s="416">
        <f>EG_LH_min[[#This Row],[2026]]*(1+$AH27)</f>
        <v>20</v>
      </c>
      <c r="AQ27" s="327">
        <f>MAX(EG_LH_min[[#This Row],[2027]]*(1+$AH27),AQ$31*$S27)</f>
        <v>38.019093923695117</v>
      </c>
      <c r="AR27" s="327">
        <f t="shared" si="7"/>
        <v>38.019093923695117</v>
      </c>
      <c r="AS27" s="327">
        <f>AS$31*$S27</f>
        <v>38.019093923695117</v>
      </c>
      <c r="AT27" s="327">
        <f t="shared" si="7"/>
        <v>38.019093923695117</v>
      </c>
      <c r="AU27" s="327">
        <f t="shared" si="7"/>
        <v>38.019093923695117</v>
      </c>
    </row>
    <row r="28" spans="1:47">
      <c r="A28" s="416" t="s">
        <v>626</v>
      </c>
      <c r="B28" s="416" t="s">
        <v>17</v>
      </c>
      <c r="C28" s="416" t="s">
        <v>628</v>
      </c>
      <c r="D28" s="416">
        <v>2841</v>
      </c>
      <c r="E28" s="416">
        <v>2829</v>
      </c>
      <c r="F28" s="416">
        <v>441.2</v>
      </c>
      <c r="G28" s="416">
        <v>15.6</v>
      </c>
      <c r="H28" s="416">
        <v>120</v>
      </c>
      <c r="I28" s="416">
        <v>4.24</v>
      </c>
      <c r="J28" s="416">
        <v>2267.8000000000002</v>
      </c>
      <c r="K28" s="416">
        <v>80.16</v>
      </c>
      <c r="N28" s="232" t="s">
        <v>92</v>
      </c>
      <c r="O28" s="349">
        <f t="shared" si="4"/>
        <v>0</v>
      </c>
      <c r="P28" s="327">
        <f>HPM_QTR_revP31!L29</f>
        <v>0</v>
      </c>
      <c r="Q28" s="349">
        <f t="shared" si="5"/>
        <v>111</v>
      </c>
      <c r="R28" s="349">
        <f t="shared" si="0"/>
        <v>0</v>
      </c>
      <c r="S28" s="327">
        <f t="shared" si="6"/>
        <v>0</v>
      </c>
      <c r="T28" s="416" t="s">
        <v>92</v>
      </c>
      <c r="U28" s="327">
        <f t="shared" si="1"/>
        <v>111</v>
      </c>
      <c r="V28" s="416">
        <f t="shared" si="2"/>
        <v>0</v>
      </c>
      <c r="W28" s="416">
        <f>EG_LH_min[[#This Row],[2022]]</f>
        <v>0</v>
      </c>
      <c r="X28" s="416">
        <f>EG_LH_min[[#This Row],[2023]]</f>
        <v>0</v>
      </c>
      <c r="Y28" s="416">
        <f>EG_LH_min[[#This Row],[2023]]</f>
        <v>0</v>
      </c>
      <c r="Z28" s="416">
        <f>EG_LH_min[[#This Row],[2024]]</f>
        <v>0</v>
      </c>
      <c r="AA28" s="416">
        <f>EG_LH_min[[#This Row],[2025]]</f>
        <v>0</v>
      </c>
      <c r="AB28" s="416">
        <v>0</v>
      </c>
      <c r="AC28" s="416">
        <v>0</v>
      </c>
      <c r="AD28" s="416">
        <v>0</v>
      </c>
      <c r="AE28" s="416">
        <v>0</v>
      </c>
      <c r="AH28" s="634">
        <f>VLOOKUP(EG_LH_max[[#This Row],[SubGeography2]],'MaxCapacity-Input'!$G$65:$L$90,3,FALSE)</f>
        <v>0</v>
      </c>
      <c r="AJ28" s="416" t="s">
        <v>92</v>
      </c>
      <c r="AK28" s="416">
        <f>EG_LH_min[[#This Row],[2021]]*(1+$AH28)</f>
        <v>111</v>
      </c>
      <c r="AL28" s="416">
        <f>EG_LH_min[[#This Row],[2022]]*(1+$AH28)</f>
        <v>0</v>
      </c>
      <c r="AM28" s="416">
        <f>EG_LH_min[[#This Row],[2023]]*(1+$AH28)</f>
        <v>0</v>
      </c>
      <c r="AN28" s="416">
        <f>EG_LH_min[[#This Row],[2024]]*(1+$AH28)</f>
        <v>0</v>
      </c>
      <c r="AO28" s="416">
        <f>EG_LH_min[[#This Row],[2025]]*(1+$AH28)</f>
        <v>0</v>
      </c>
      <c r="AP28" s="416">
        <f>EG_LH_min[[#This Row],[2026]]*(1+$AH28)</f>
        <v>0</v>
      </c>
      <c r="AQ28" s="327">
        <f>MAX(EG_LH_min[[#This Row],[2027]]*(1+$AH28),AQ$31*$S28)</f>
        <v>0</v>
      </c>
      <c r="AR28" s="327">
        <f t="shared" si="7"/>
        <v>0</v>
      </c>
      <c r="AS28" s="327">
        <f t="shared" si="7"/>
        <v>0</v>
      </c>
      <c r="AT28" s="327">
        <f t="shared" si="7"/>
        <v>0</v>
      </c>
      <c r="AU28" s="327">
        <f t="shared" si="7"/>
        <v>0</v>
      </c>
    </row>
    <row r="29" spans="1:47">
      <c r="A29" s="416" t="s">
        <v>630</v>
      </c>
      <c r="B29" s="416" t="s">
        <v>90</v>
      </c>
      <c r="C29" s="416" t="s">
        <v>71</v>
      </c>
      <c r="D29" s="416">
        <v>4286</v>
      </c>
      <c r="E29" s="416">
        <v>4248</v>
      </c>
      <c r="F29" s="416">
        <v>2169</v>
      </c>
      <c r="G29" s="416">
        <v>51.06</v>
      </c>
      <c r="H29" s="416">
        <v>1133</v>
      </c>
      <c r="I29" s="416">
        <v>26.67</v>
      </c>
      <c r="J29" s="416">
        <v>946</v>
      </c>
      <c r="K29" s="416">
        <v>22.27</v>
      </c>
      <c r="N29" s="231" t="s">
        <v>93</v>
      </c>
      <c r="O29" s="349">
        <f t="shared" si="4"/>
        <v>0</v>
      </c>
      <c r="P29" s="327">
        <f>HPM_QTR_revP31!L30</f>
        <v>0</v>
      </c>
      <c r="Q29" s="349">
        <f t="shared" si="5"/>
        <v>0</v>
      </c>
      <c r="R29" s="349">
        <f t="shared" si="0"/>
        <v>0</v>
      </c>
      <c r="S29" s="327">
        <f t="shared" si="6"/>
        <v>0</v>
      </c>
      <c r="T29" s="416" t="s">
        <v>93</v>
      </c>
      <c r="U29" s="327">
        <f t="shared" si="1"/>
        <v>0</v>
      </c>
      <c r="V29" s="416">
        <f t="shared" si="2"/>
        <v>0</v>
      </c>
      <c r="W29" s="416">
        <f>EG_LH_min[[#This Row],[2022]]</f>
        <v>0</v>
      </c>
      <c r="X29" s="416">
        <f>EG_LH_min[[#This Row],[2023]]</f>
        <v>0</v>
      </c>
      <c r="Y29" s="416">
        <f>EG_LH_min[[#This Row],[2023]]</f>
        <v>0</v>
      </c>
      <c r="Z29" s="416">
        <f>EG_LH_min[[#This Row],[2024]]</f>
        <v>0</v>
      </c>
      <c r="AA29" s="416">
        <f>EG_LH_min[[#This Row],[2025]]</f>
        <v>0</v>
      </c>
      <c r="AB29" s="416">
        <v>0</v>
      </c>
      <c r="AC29" s="416">
        <v>0</v>
      </c>
      <c r="AD29" s="416">
        <v>0</v>
      </c>
      <c r="AE29" s="416">
        <v>0</v>
      </c>
      <c r="AH29" s="634">
        <f>VLOOKUP(EG_LH_max[[#This Row],[SubGeography2]],'MaxCapacity-Input'!$G$65:$L$90,3,FALSE)</f>
        <v>0</v>
      </c>
      <c r="AJ29" s="416" t="s">
        <v>93</v>
      </c>
      <c r="AK29" s="416">
        <f>EG_LH_min[[#This Row],[2021]]*(1+$AH29)</f>
        <v>0</v>
      </c>
      <c r="AL29" s="416">
        <f>EG_LH_min[[#This Row],[2022]]*(1+$AH29)</f>
        <v>0</v>
      </c>
      <c r="AM29" s="416">
        <f>EG_LH_min[[#This Row],[2023]]*(1+$AH29)</f>
        <v>0</v>
      </c>
      <c r="AN29" s="416">
        <f>EG_LH_min[[#This Row],[2024]]*(1+$AH29)</f>
        <v>0</v>
      </c>
      <c r="AO29" s="416">
        <f>EG_LH_min[[#This Row],[2025]]*(1+$AH29)</f>
        <v>0</v>
      </c>
      <c r="AP29" s="416">
        <f>EG_LH_min[[#This Row],[2026]]*(1+$AH29)</f>
        <v>0</v>
      </c>
      <c r="AQ29" s="327">
        <f>MAX(EG_LH_min[[#This Row],[2027]]*(1+$AH29),AQ$31*$S29)</f>
        <v>0</v>
      </c>
      <c r="AR29" s="327">
        <f t="shared" si="7"/>
        <v>0</v>
      </c>
      <c r="AS29" s="327">
        <f t="shared" si="7"/>
        <v>0</v>
      </c>
      <c r="AT29" s="327">
        <f t="shared" si="7"/>
        <v>0</v>
      </c>
      <c r="AU29" s="327">
        <f t="shared" si="7"/>
        <v>0</v>
      </c>
    </row>
    <row r="30" spans="1:47">
      <c r="F30" s="39">
        <f>SUM(F25:F29)</f>
        <v>4922.5</v>
      </c>
      <c r="H30" s="39">
        <f>SUM(H25:H29)</f>
        <v>1253</v>
      </c>
      <c r="O30" s="327"/>
      <c r="P30" s="238">
        <f>SUM(P5:P29)</f>
        <v>11110.5</v>
      </c>
      <c r="Q30" s="327"/>
      <c r="R30" s="238">
        <f>SUM(R5:R27)</f>
        <v>84739</v>
      </c>
      <c r="S30" s="238"/>
      <c r="T30" s="345" t="s">
        <v>1384</v>
      </c>
      <c r="U30" s="233"/>
      <c r="V30" s="233"/>
      <c r="W30" s="226"/>
    </row>
    <row r="31" spans="1:47">
      <c r="A31" s="416" t="s">
        <v>630</v>
      </c>
      <c r="B31" s="416" t="s">
        <v>90</v>
      </c>
      <c r="C31" s="416" t="s">
        <v>74</v>
      </c>
      <c r="D31" s="416">
        <v>15</v>
      </c>
      <c r="E31" s="416">
        <v>0</v>
      </c>
      <c r="F31" s="416">
        <v>0</v>
      </c>
      <c r="G31" s="416">
        <v>0</v>
      </c>
      <c r="H31" s="416">
        <v>0</v>
      </c>
      <c r="I31" s="416">
        <v>0</v>
      </c>
      <c r="J31" s="416">
        <v>0</v>
      </c>
      <c r="K31" s="416">
        <v>0</v>
      </c>
      <c r="AJ31" s="416" t="s">
        <v>1249</v>
      </c>
      <c r="AQ31" s="416">
        <f>'MaxCapacity-Input'!I8</f>
        <v>1500</v>
      </c>
      <c r="AR31" s="416">
        <f>'MaxCapacity-Input'!J8</f>
        <v>1500</v>
      </c>
      <c r="AS31" s="416">
        <f>'MaxCapacity-Input'!K8</f>
        <v>1500</v>
      </c>
      <c r="AT31" s="416">
        <f>'MaxCapacity-Input'!L8</f>
        <v>1500</v>
      </c>
      <c r="AU31" s="416">
        <f>'MaxCapacity-Input'!M8</f>
        <v>1500</v>
      </c>
    </row>
    <row r="32" spans="1:47">
      <c r="A32" s="416" t="s">
        <v>630</v>
      </c>
      <c r="B32" s="416" t="s">
        <v>90</v>
      </c>
      <c r="C32" s="416" t="s">
        <v>64</v>
      </c>
      <c r="D32" s="416">
        <v>1784</v>
      </c>
      <c r="E32" s="416">
        <v>1761</v>
      </c>
      <c r="F32" s="416">
        <v>105</v>
      </c>
      <c r="G32" s="416">
        <v>5.96</v>
      </c>
      <c r="H32" s="416">
        <v>0</v>
      </c>
      <c r="I32" s="416">
        <v>0</v>
      </c>
      <c r="J32" s="416">
        <v>1656</v>
      </c>
      <c r="K32" s="416">
        <v>94.04</v>
      </c>
    </row>
    <row r="33" spans="1:21">
      <c r="A33" s="416" t="s">
        <v>630</v>
      </c>
      <c r="B33" s="416" t="s">
        <v>29</v>
      </c>
      <c r="C33" s="416" t="s">
        <v>51</v>
      </c>
      <c r="D33" s="416">
        <v>680</v>
      </c>
      <c r="E33" s="416">
        <v>65</v>
      </c>
      <c r="F33" s="416">
        <v>350</v>
      </c>
      <c r="G33" s="416">
        <v>53.85</v>
      </c>
      <c r="H33" s="416">
        <v>0</v>
      </c>
      <c r="I33" s="416">
        <v>0</v>
      </c>
      <c r="J33" s="416">
        <v>300</v>
      </c>
      <c r="K33" s="416">
        <v>46.15</v>
      </c>
    </row>
    <row r="34" spans="1:21">
      <c r="A34" s="416" t="s">
        <v>630</v>
      </c>
      <c r="B34" s="416" t="s">
        <v>90</v>
      </c>
      <c r="C34" s="416" t="s">
        <v>67</v>
      </c>
      <c r="D34" s="416">
        <v>1574</v>
      </c>
      <c r="E34" s="416">
        <v>1452</v>
      </c>
      <c r="F34" s="416">
        <v>75</v>
      </c>
      <c r="G34" s="416">
        <v>5.17</v>
      </c>
      <c r="H34" s="416">
        <v>0</v>
      </c>
      <c r="I34" s="416">
        <v>0</v>
      </c>
      <c r="J34" s="416">
        <v>1377</v>
      </c>
      <c r="K34" s="416">
        <v>94.83</v>
      </c>
      <c r="T34" s="239"/>
      <c r="U34" s="396"/>
    </row>
    <row r="35" spans="1:21">
      <c r="A35" s="416" t="s">
        <v>630</v>
      </c>
      <c r="B35" s="416" t="s">
        <v>90</v>
      </c>
      <c r="C35" s="416" t="s">
        <v>50</v>
      </c>
      <c r="D35" s="416">
        <v>50328</v>
      </c>
      <c r="E35" s="416">
        <v>50064</v>
      </c>
      <c r="F35" s="416">
        <v>515</v>
      </c>
      <c r="G35" s="416">
        <v>1.03</v>
      </c>
      <c r="H35" s="416">
        <v>2600</v>
      </c>
      <c r="I35" s="416">
        <v>5.19</v>
      </c>
      <c r="J35" s="416">
        <v>46949</v>
      </c>
      <c r="K35" s="416">
        <v>93.78</v>
      </c>
      <c r="U35" s="396"/>
    </row>
    <row r="36" spans="1:21">
      <c r="A36" s="416" t="s">
        <v>630</v>
      </c>
      <c r="B36" s="416" t="s">
        <v>90</v>
      </c>
      <c r="C36" s="416" t="s">
        <v>66</v>
      </c>
      <c r="D36" s="416">
        <v>2196</v>
      </c>
      <c r="E36" s="416">
        <v>2131</v>
      </c>
      <c r="F36" s="416">
        <v>60</v>
      </c>
      <c r="G36" s="416">
        <v>2.82</v>
      </c>
      <c r="H36" s="416">
        <v>0</v>
      </c>
      <c r="I36" s="416">
        <v>0</v>
      </c>
      <c r="J36" s="416">
        <v>2071</v>
      </c>
      <c r="K36" s="416">
        <v>97.18</v>
      </c>
      <c r="U36" s="396"/>
    </row>
    <row r="37" spans="1:21">
      <c r="F37" s="39">
        <f>SUM(F31:F36)</f>
        <v>1105</v>
      </c>
      <c r="H37" s="39">
        <f>SUM(H31:H36)</f>
        <v>2600</v>
      </c>
    </row>
    <row r="38" spans="1:21">
      <c r="D38" s="416">
        <f>SUM(D5:D36)</f>
        <v>146307</v>
      </c>
      <c r="E38" s="416">
        <f>SUM(E5:E36)</f>
        <v>142437</v>
      </c>
      <c r="F38" s="39">
        <f>SUM(F37,F30,F24,F18,F12)</f>
        <v>40291.699999999997</v>
      </c>
      <c r="H38" s="39">
        <f>SUM(H37,H30,H24,H18,H12)</f>
        <v>10829.5</v>
      </c>
      <c r="J38" s="416">
        <f>SUM(J5:J36)</f>
        <v>92995.5</v>
      </c>
    </row>
    <row r="40" spans="1:21">
      <c r="A40" s="416" t="s">
        <v>1252</v>
      </c>
    </row>
    <row r="41" spans="1:21">
      <c r="A41" s="416" t="s">
        <v>1253</v>
      </c>
    </row>
    <row r="42" spans="1:21">
      <c r="A42" s="416" t="s">
        <v>1254</v>
      </c>
    </row>
    <row r="49" spans="1:8">
      <c r="A49" s="39" t="s">
        <v>1261</v>
      </c>
    </row>
    <row r="50" spans="1:8">
      <c r="A50" s="39"/>
      <c r="D50" s="900" t="s">
        <v>1263</v>
      </c>
      <c r="E50" s="900"/>
      <c r="F50" s="900"/>
      <c r="G50" s="900" t="s">
        <v>1262</v>
      </c>
      <c r="H50" s="900"/>
    </row>
    <row r="51" spans="1:8">
      <c r="D51" s="39">
        <v>2019</v>
      </c>
      <c r="E51" s="39">
        <v>2020</v>
      </c>
      <c r="F51" s="39">
        <v>2021</v>
      </c>
      <c r="G51" s="39">
        <v>2020</v>
      </c>
      <c r="H51" s="39">
        <v>2021</v>
      </c>
    </row>
    <row r="52" spans="1:8">
      <c r="A52" s="416" t="s">
        <v>75</v>
      </c>
      <c r="B52" s="416" t="s">
        <v>625</v>
      </c>
      <c r="C52" s="416" t="s">
        <v>0</v>
      </c>
      <c r="D52" s="416">
        <v>723.09</v>
      </c>
      <c r="E52" s="416">
        <v>740.09</v>
      </c>
      <c r="F52" s="416">
        <v>723.09</v>
      </c>
      <c r="G52" s="416">
        <f>MAX((E52-D52),0)</f>
        <v>17</v>
      </c>
      <c r="H52" s="416">
        <f>MAX((F52-E52),0)</f>
        <v>0</v>
      </c>
    </row>
    <row r="53" spans="1:8">
      <c r="A53" s="416" t="s">
        <v>76</v>
      </c>
      <c r="B53" s="416" t="s">
        <v>625</v>
      </c>
      <c r="C53" s="416" t="s">
        <v>4</v>
      </c>
      <c r="D53" s="416">
        <v>1966.52</v>
      </c>
      <c r="E53" s="416">
        <v>2312.02</v>
      </c>
      <c r="F53" s="416">
        <v>2318.52</v>
      </c>
      <c r="G53" s="416">
        <f t="shared" ref="G53:H74" si="8">MAX((E53-D53),0)</f>
        <v>345.5</v>
      </c>
      <c r="H53" s="416">
        <f t="shared" si="8"/>
        <v>6.5</v>
      </c>
    </row>
    <row r="54" spans="1:8">
      <c r="A54" s="416" t="s">
        <v>79</v>
      </c>
      <c r="B54" s="416" t="s">
        <v>625</v>
      </c>
      <c r="C54" s="416" t="s">
        <v>92</v>
      </c>
      <c r="D54" s="416">
        <v>2910.48</v>
      </c>
      <c r="E54" s="416">
        <v>2812.88</v>
      </c>
      <c r="F54" s="416">
        <v>2923.88</v>
      </c>
      <c r="G54" s="416">
        <f t="shared" si="8"/>
        <v>0</v>
      </c>
      <c r="H54" s="416">
        <f t="shared" si="8"/>
        <v>111</v>
      </c>
    </row>
    <row r="55" spans="1:8">
      <c r="A55" s="416" t="s">
        <v>82</v>
      </c>
      <c r="B55" s="416" t="s">
        <v>625</v>
      </c>
      <c r="C55" s="416" t="s">
        <v>1259</v>
      </c>
      <c r="D55" s="416">
        <v>2321.88</v>
      </c>
      <c r="E55" s="416">
        <v>2321.88</v>
      </c>
      <c r="F55" s="416">
        <v>2321.88</v>
      </c>
      <c r="G55" s="416">
        <f t="shared" si="8"/>
        <v>0</v>
      </c>
      <c r="H55" s="416">
        <f t="shared" si="8"/>
        <v>0</v>
      </c>
    </row>
    <row r="56" spans="1:8">
      <c r="A56" s="416" t="s">
        <v>56</v>
      </c>
      <c r="B56" s="416" t="s">
        <v>625</v>
      </c>
      <c r="C56" s="416" t="s">
        <v>5</v>
      </c>
      <c r="D56" s="416">
        <v>3809.12</v>
      </c>
      <c r="E56" s="416">
        <v>3818.62</v>
      </c>
      <c r="F56" s="416">
        <v>3809.12</v>
      </c>
      <c r="G56" s="416">
        <f t="shared" si="8"/>
        <v>9.5</v>
      </c>
      <c r="H56" s="416">
        <f t="shared" si="8"/>
        <v>0</v>
      </c>
    </row>
    <row r="57" spans="1:8">
      <c r="A57" s="416" t="s">
        <v>57</v>
      </c>
      <c r="B57" s="416" t="s">
        <v>625</v>
      </c>
      <c r="C57" s="416" t="s">
        <v>88</v>
      </c>
      <c r="D57" s="416">
        <v>1939.19</v>
      </c>
      <c r="E57" s="416">
        <v>1953.19</v>
      </c>
      <c r="F57" s="416">
        <v>1939.19</v>
      </c>
      <c r="G57" s="416">
        <f t="shared" si="8"/>
        <v>14</v>
      </c>
      <c r="H57" s="416">
        <f t="shared" si="8"/>
        <v>0</v>
      </c>
    </row>
    <row r="58" spans="1:8">
      <c r="A58" s="416" t="s">
        <v>58</v>
      </c>
      <c r="B58" s="416" t="s">
        <v>625</v>
      </c>
      <c r="C58" s="416" t="s">
        <v>89</v>
      </c>
      <c r="D58" s="416">
        <v>3368.63</v>
      </c>
      <c r="E58" s="416">
        <v>3396.53</v>
      </c>
      <c r="F58" s="416">
        <v>3424.03</v>
      </c>
      <c r="G58" s="416">
        <f t="shared" si="8"/>
        <v>27.900000000000091</v>
      </c>
      <c r="H58" s="416">
        <f t="shared" si="8"/>
        <v>27.5</v>
      </c>
    </row>
    <row r="59" spans="1:8">
      <c r="A59" s="416" t="s">
        <v>69</v>
      </c>
      <c r="B59" s="416" t="s">
        <v>625</v>
      </c>
      <c r="C59" s="416" t="s">
        <v>1</v>
      </c>
      <c r="D59" s="416">
        <v>1815.69</v>
      </c>
      <c r="E59" s="416">
        <v>1876.89</v>
      </c>
      <c r="F59" s="416">
        <v>1975.89</v>
      </c>
      <c r="G59" s="416">
        <f t="shared" si="8"/>
        <v>61.200000000000045</v>
      </c>
      <c r="H59" s="416">
        <f t="shared" si="8"/>
        <v>99</v>
      </c>
    </row>
    <row r="60" spans="1:8">
      <c r="A60" s="416" t="s">
        <v>70</v>
      </c>
      <c r="B60" s="416" t="s">
        <v>625</v>
      </c>
      <c r="C60" s="416" t="s">
        <v>6</v>
      </c>
      <c r="D60" s="416">
        <v>101.71</v>
      </c>
      <c r="E60" s="416">
        <v>102.21</v>
      </c>
      <c r="F60" s="416">
        <v>101.71</v>
      </c>
      <c r="G60" s="416">
        <f t="shared" si="8"/>
        <v>0.5</v>
      </c>
      <c r="H60" s="416">
        <f t="shared" si="8"/>
        <v>0</v>
      </c>
    </row>
    <row r="61" spans="1:8">
      <c r="A61" s="416" t="s">
        <v>169</v>
      </c>
      <c r="B61" s="416" t="s">
        <v>626</v>
      </c>
      <c r="C61" s="416" t="s">
        <v>9</v>
      </c>
      <c r="D61" s="416">
        <v>0</v>
      </c>
      <c r="E61" s="416">
        <v>1</v>
      </c>
      <c r="F61" s="416">
        <v>2</v>
      </c>
      <c r="G61" s="416">
        <f t="shared" si="8"/>
        <v>1</v>
      </c>
      <c r="H61" s="416">
        <f t="shared" si="8"/>
        <v>1</v>
      </c>
    </row>
    <row r="62" spans="1:8">
      <c r="A62" s="416" t="s">
        <v>624</v>
      </c>
      <c r="B62" s="416" t="s">
        <v>626</v>
      </c>
      <c r="C62" s="416" t="s">
        <v>18</v>
      </c>
      <c r="D62" s="416">
        <v>0</v>
      </c>
      <c r="E62" s="416">
        <v>0</v>
      </c>
      <c r="F62" s="416">
        <v>0</v>
      </c>
      <c r="G62" s="416">
        <f t="shared" si="8"/>
        <v>0</v>
      </c>
      <c r="H62" s="416">
        <f t="shared" si="8"/>
        <v>0</v>
      </c>
    </row>
    <row r="63" spans="1:8">
      <c r="A63" s="416" t="s">
        <v>63</v>
      </c>
      <c r="B63" s="416" t="s">
        <v>626</v>
      </c>
      <c r="C63" s="416" t="s">
        <v>10</v>
      </c>
      <c r="D63" s="416">
        <v>772</v>
      </c>
      <c r="E63" s="416">
        <v>796</v>
      </c>
      <c r="F63" s="416">
        <v>772</v>
      </c>
      <c r="G63" s="416">
        <f t="shared" si="8"/>
        <v>24</v>
      </c>
      <c r="H63" s="416">
        <f t="shared" si="8"/>
        <v>0</v>
      </c>
    </row>
    <row r="64" spans="1:8">
      <c r="A64" s="416" t="s">
        <v>1260</v>
      </c>
      <c r="B64" s="416" t="s">
        <v>626</v>
      </c>
      <c r="C64" s="416" t="s">
        <v>92</v>
      </c>
      <c r="D64" s="416">
        <v>3223.66</v>
      </c>
      <c r="E64" s="416">
        <v>3239.66</v>
      </c>
      <c r="F64" s="416">
        <v>3223.66</v>
      </c>
      <c r="G64" s="416">
        <f t="shared" si="8"/>
        <v>16</v>
      </c>
      <c r="H64" s="416">
        <f t="shared" si="8"/>
        <v>0</v>
      </c>
    </row>
    <row r="65" spans="1:8">
      <c r="A65" s="416" t="s">
        <v>54</v>
      </c>
      <c r="B65" s="416" t="s">
        <v>626</v>
      </c>
      <c r="C65" s="416" t="s">
        <v>91</v>
      </c>
      <c r="D65" s="416">
        <v>220</v>
      </c>
      <c r="E65" s="416">
        <v>226.5</v>
      </c>
      <c r="F65" s="416">
        <v>233</v>
      </c>
      <c r="G65" s="416">
        <f t="shared" si="8"/>
        <v>6.5</v>
      </c>
      <c r="H65" s="416">
        <f t="shared" si="8"/>
        <v>6.5</v>
      </c>
    </row>
    <row r="66" spans="1:8">
      <c r="A66" s="416" t="s">
        <v>81</v>
      </c>
      <c r="B66" s="416" t="s">
        <v>626</v>
      </c>
      <c r="C66" s="416" t="s">
        <v>92</v>
      </c>
      <c r="D66" s="416">
        <v>3331.84</v>
      </c>
      <c r="E66" s="416">
        <v>3359.34</v>
      </c>
      <c r="F66" s="416">
        <v>3331.84</v>
      </c>
      <c r="G66" s="416">
        <f t="shared" si="8"/>
        <v>27.5</v>
      </c>
      <c r="H66" s="416">
        <f t="shared" si="8"/>
        <v>0</v>
      </c>
    </row>
    <row r="67" spans="1:8">
      <c r="A67" s="416" t="s">
        <v>55</v>
      </c>
      <c r="B67" s="416" t="s">
        <v>626</v>
      </c>
      <c r="C67" s="416" t="s">
        <v>8</v>
      </c>
      <c r="D67" s="416">
        <v>0</v>
      </c>
      <c r="E67" s="416">
        <v>0</v>
      </c>
      <c r="F67" s="416">
        <v>0</v>
      </c>
      <c r="G67" s="416">
        <f t="shared" si="8"/>
        <v>0</v>
      </c>
      <c r="H67" s="416">
        <f t="shared" si="8"/>
        <v>0</v>
      </c>
    </row>
    <row r="68" spans="1:8">
      <c r="A68" s="416" t="s">
        <v>74</v>
      </c>
      <c r="B68" s="416" t="s">
        <v>630</v>
      </c>
      <c r="C68" s="416" t="s">
        <v>90</v>
      </c>
      <c r="D68" s="416">
        <v>457.08</v>
      </c>
      <c r="E68" s="416">
        <v>489.58</v>
      </c>
      <c r="F68" s="416">
        <v>522.08000000000004</v>
      </c>
      <c r="G68" s="416">
        <f t="shared" si="8"/>
        <v>32.5</v>
      </c>
      <c r="H68" s="416">
        <f t="shared" si="8"/>
        <v>32.500000000000057</v>
      </c>
    </row>
    <row r="69" spans="1:8">
      <c r="A69" s="416" t="s">
        <v>64</v>
      </c>
      <c r="B69" s="416" t="s">
        <v>630</v>
      </c>
      <c r="C69" s="416" t="s">
        <v>90</v>
      </c>
      <c r="D69" s="416">
        <v>116.55</v>
      </c>
      <c r="E69" s="416">
        <v>158.05000000000001</v>
      </c>
      <c r="F69" s="416">
        <v>544.54999999999995</v>
      </c>
      <c r="G69" s="416">
        <f t="shared" si="8"/>
        <v>41.500000000000014</v>
      </c>
      <c r="H69" s="416">
        <f t="shared" si="8"/>
        <v>386.49999999999994</v>
      </c>
    </row>
    <row r="70" spans="1:8">
      <c r="A70" s="416" t="s">
        <v>67</v>
      </c>
      <c r="B70" s="416" t="s">
        <v>630</v>
      </c>
      <c r="C70" s="416" t="s">
        <v>90</v>
      </c>
      <c r="D70" s="416">
        <v>394.27</v>
      </c>
      <c r="E70" s="416">
        <v>401.77</v>
      </c>
      <c r="F70" s="416">
        <v>409.27</v>
      </c>
      <c r="G70" s="416">
        <f t="shared" si="8"/>
        <v>7.5</v>
      </c>
      <c r="H70" s="416">
        <f t="shared" si="8"/>
        <v>7.5</v>
      </c>
    </row>
    <row r="71" spans="1:8">
      <c r="A71" s="416" t="s">
        <v>66</v>
      </c>
      <c r="B71" s="416" t="s">
        <v>630</v>
      </c>
      <c r="C71" s="416" t="s">
        <v>90</v>
      </c>
      <c r="D71" s="416">
        <v>68.489999999999995</v>
      </c>
      <c r="E71" s="416">
        <v>75.989999999999995</v>
      </c>
      <c r="F71" s="416">
        <v>68.489999999999995</v>
      </c>
      <c r="G71" s="416">
        <f t="shared" si="8"/>
        <v>7.5</v>
      </c>
      <c r="H71" s="416">
        <f t="shared" si="8"/>
        <v>0</v>
      </c>
    </row>
    <row r="72" spans="1:8">
      <c r="A72" s="416" t="s">
        <v>51</v>
      </c>
      <c r="B72" s="416" t="s">
        <v>630</v>
      </c>
      <c r="C72" s="416" t="s">
        <v>29</v>
      </c>
      <c r="D72" s="416">
        <v>95.34</v>
      </c>
      <c r="E72" s="416">
        <v>102.34</v>
      </c>
      <c r="F72" s="416">
        <v>95.34</v>
      </c>
      <c r="G72" s="416">
        <f t="shared" si="8"/>
        <v>7</v>
      </c>
      <c r="H72" s="416">
        <f t="shared" si="8"/>
        <v>0</v>
      </c>
    </row>
    <row r="73" spans="1:8">
      <c r="A73" s="416" t="s">
        <v>50</v>
      </c>
      <c r="B73" s="416" t="s">
        <v>630</v>
      </c>
      <c r="C73" s="416" t="s">
        <v>90</v>
      </c>
      <c r="D73" s="416">
        <v>57.33</v>
      </c>
      <c r="E73" s="416">
        <v>61.83</v>
      </c>
      <c r="F73" s="416">
        <v>66.33</v>
      </c>
      <c r="G73" s="416">
        <f t="shared" si="8"/>
        <v>4.5</v>
      </c>
      <c r="H73" s="416">
        <f t="shared" si="8"/>
        <v>4.5</v>
      </c>
    </row>
    <row r="74" spans="1:8">
      <c r="A74" s="416" t="s">
        <v>65</v>
      </c>
      <c r="B74" s="416" t="s">
        <v>630</v>
      </c>
      <c r="C74" s="416" t="s">
        <v>90</v>
      </c>
      <c r="D74" s="416">
        <v>97.94</v>
      </c>
      <c r="E74" s="416">
        <v>102.44</v>
      </c>
      <c r="F74" s="416">
        <v>97.94</v>
      </c>
      <c r="G74" s="416">
        <f t="shared" si="8"/>
        <v>4.5</v>
      </c>
      <c r="H74" s="416">
        <f t="shared" si="8"/>
        <v>0</v>
      </c>
    </row>
  </sheetData>
  <mergeCells count="6">
    <mergeCell ref="D3:E3"/>
    <mergeCell ref="F3:G3"/>
    <mergeCell ref="H3:I3"/>
    <mergeCell ref="J3:K3"/>
    <mergeCell ref="D50:F50"/>
    <mergeCell ref="G50:H50"/>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K92"/>
  <sheetViews>
    <sheetView zoomScaleNormal="100" workbookViewId="0"/>
  </sheetViews>
  <sheetFormatPr defaultRowHeight="15"/>
  <cols>
    <col min="1" max="4" width="27.28515625" style="416" customWidth="1"/>
    <col min="5" max="20" width="9.140625" style="416"/>
    <col min="21" max="21" width="12.140625" style="327" bestFit="1" customWidth="1"/>
    <col min="22" max="22" width="9.140625" style="327"/>
    <col min="23" max="16384" width="9.140625" style="416"/>
  </cols>
  <sheetData>
    <row r="1" spans="1:34" ht="32.25" customHeight="1" thickBot="1">
      <c r="A1" s="229" t="s">
        <v>640</v>
      </c>
      <c r="B1" s="229" t="s">
        <v>641</v>
      </c>
      <c r="C1" s="229" t="s">
        <v>642</v>
      </c>
      <c r="D1" s="229" t="s">
        <v>643</v>
      </c>
      <c r="E1" s="230" t="s">
        <v>655</v>
      </c>
    </row>
    <row r="2" spans="1:34" ht="32.25" customHeight="1">
      <c r="A2" s="902">
        <v>1</v>
      </c>
      <c r="B2" s="904" t="s">
        <v>644</v>
      </c>
      <c r="C2" s="902" t="s">
        <v>645</v>
      </c>
      <c r="D2" s="642" t="s">
        <v>646</v>
      </c>
      <c r="E2" s="416" t="s">
        <v>656</v>
      </c>
    </row>
    <row r="3" spans="1:34" ht="32.25" customHeight="1" thickBot="1">
      <c r="A3" s="903"/>
      <c r="B3" s="905"/>
      <c r="C3" s="903"/>
      <c r="D3" s="643" t="s">
        <v>647</v>
      </c>
    </row>
    <row r="4" spans="1:34" ht="32.25" customHeight="1">
      <c r="A4" s="906">
        <v>2</v>
      </c>
      <c r="B4" s="908" t="s">
        <v>648</v>
      </c>
      <c r="C4" s="906" t="s">
        <v>645</v>
      </c>
      <c r="D4" s="644" t="s">
        <v>649</v>
      </c>
    </row>
    <row r="5" spans="1:34" ht="32.25" customHeight="1" thickBot="1">
      <c r="A5" s="907"/>
      <c r="B5" s="909"/>
      <c r="C5" s="907"/>
      <c r="D5" s="645" t="s">
        <v>650</v>
      </c>
    </row>
    <row r="6" spans="1:34" ht="32.25" customHeight="1">
      <c r="A6" s="902">
        <v>3</v>
      </c>
      <c r="B6" s="904" t="s">
        <v>651</v>
      </c>
      <c r="C6" s="902" t="s">
        <v>652</v>
      </c>
      <c r="D6" s="642" t="s">
        <v>653</v>
      </c>
      <c r="E6" s="39" t="s">
        <v>1248</v>
      </c>
      <c r="G6" s="901" t="s">
        <v>945</v>
      </c>
      <c r="H6" s="901"/>
      <c r="I6" s="901"/>
      <c r="J6" s="901"/>
      <c r="K6" s="901"/>
      <c r="L6" s="901"/>
      <c r="M6" s="901"/>
      <c r="N6" s="901"/>
      <c r="O6" s="901"/>
      <c r="P6" s="901"/>
      <c r="Q6" s="641"/>
      <c r="R6" s="641"/>
      <c r="S6" s="641"/>
      <c r="T6" s="641"/>
      <c r="U6" s="343"/>
    </row>
    <row r="7" spans="1:34" ht="74.25" customHeight="1" thickBot="1">
      <c r="A7" s="903"/>
      <c r="B7" s="905"/>
      <c r="C7" s="903"/>
      <c r="D7" s="643" t="s">
        <v>654</v>
      </c>
      <c r="E7" s="416" t="s">
        <v>657</v>
      </c>
      <c r="G7" s="901"/>
      <c r="H7" s="901"/>
      <c r="I7" s="901"/>
      <c r="J7" s="901"/>
      <c r="K7" s="901"/>
      <c r="L7" s="901"/>
      <c r="M7" s="901"/>
      <c r="N7" s="901"/>
      <c r="O7" s="901"/>
      <c r="P7" s="901"/>
      <c r="Q7" s="641"/>
      <c r="R7" s="641"/>
      <c r="S7" s="641"/>
      <c r="T7" s="641"/>
      <c r="U7" s="343"/>
      <c r="W7" s="335" t="s">
        <v>1247</v>
      </c>
      <c r="Y7" s="416" t="s">
        <v>1944</v>
      </c>
    </row>
    <row r="8" spans="1:34">
      <c r="E8" s="416" t="s">
        <v>621</v>
      </c>
      <c r="F8" s="416" t="s">
        <v>618</v>
      </c>
      <c r="G8" s="416" t="s">
        <v>619</v>
      </c>
      <c r="H8" s="416" t="s">
        <v>620</v>
      </c>
      <c r="I8" s="416" t="s">
        <v>660</v>
      </c>
      <c r="J8" s="416" t="s">
        <v>661</v>
      </c>
      <c r="K8" s="416" t="s">
        <v>662</v>
      </c>
      <c r="L8" s="416" t="s">
        <v>663</v>
      </c>
      <c r="M8" s="416" t="s">
        <v>664</v>
      </c>
      <c r="N8" s="416" t="s">
        <v>665</v>
      </c>
      <c r="O8" s="416" t="s">
        <v>666</v>
      </c>
      <c r="P8" s="416" t="s">
        <v>667</v>
      </c>
      <c r="W8" s="416" t="s">
        <v>621</v>
      </c>
      <c r="X8" s="416" t="s">
        <v>618</v>
      </c>
      <c r="Y8" s="416" t="s">
        <v>619</v>
      </c>
      <c r="Z8" s="416" t="s">
        <v>620</v>
      </c>
      <c r="AA8" s="416" t="s">
        <v>660</v>
      </c>
      <c r="AB8" s="416" t="s">
        <v>661</v>
      </c>
      <c r="AC8" s="416" t="s">
        <v>662</v>
      </c>
      <c r="AD8" s="416" t="s">
        <v>663</v>
      </c>
      <c r="AE8" s="416" t="s">
        <v>664</v>
      </c>
      <c r="AF8" s="416" t="s">
        <v>665</v>
      </c>
      <c r="AG8" s="416" t="s">
        <v>666</v>
      </c>
      <c r="AH8" s="416" t="s">
        <v>667</v>
      </c>
    </row>
    <row r="9" spans="1:34">
      <c r="A9" s="230" t="s">
        <v>903</v>
      </c>
      <c r="E9" s="416" t="s">
        <v>14</v>
      </c>
      <c r="F9" s="416">
        <v>0</v>
      </c>
      <c r="G9" s="416">
        <v>0</v>
      </c>
      <c r="H9" s="416">
        <v>0</v>
      </c>
      <c r="I9" s="416">
        <v>0</v>
      </c>
      <c r="J9" s="416">
        <v>0</v>
      </c>
      <c r="K9" s="416">
        <v>0</v>
      </c>
      <c r="L9" s="416">
        <v>0</v>
      </c>
      <c r="M9" s="416">
        <v>0</v>
      </c>
      <c r="N9" s="416">
        <v>0</v>
      </c>
      <c r="O9" s="416">
        <v>0</v>
      </c>
      <c r="P9" s="416">
        <v>0</v>
      </c>
      <c r="W9" s="416" t="s">
        <v>14</v>
      </c>
      <c r="X9" s="416">
        <f>EG_PHWR_min[[#This Row],[2021]]</f>
        <v>0</v>
      </c>
      <c r="Y9" s="416">
        <f>EG_PHWR_min[[#This Row],[2022]]</f>
        <v>0</v>
      </c>
      <c r="Z9" s="416">
        <f>EG_PHWR_min[[#This Row],[2023]]</f>
        <v>0</v>
      </c>
      <c r="AA9" s="416">
        <f>EG_PHWR_min[[#This Row],[2024]]</f>
        <v>0</v>
      </c>
      <c r="AB9" s="416">
        <f>EG_PHWR_min[[#This Row],[2025]]</f>
        <v>0</v>
      </c>
      <c r="AC9" s="416">
        <f>EG_PHWR_min[[#This Row],[2026]]</f>
        <v>0</v>
      </c>
      <c r="AD9" s="416">
        <f>EG_PHWR_min[[#This Row],[2027]]</f>
        <v>0</v>
      </c>
      <c r="AE9" s="416">
        <f>EG_PHWR_min[[#This Row],[2028]]</f>
        <v>0</v>
      </c>
      <c r="AF9" s="416">
        <f>EG_PHWR_min[[#This Row],[2029]]</f>
        <v>0</v>
      </c>
      <c r="AG9" s="416">
        <f>EG_PHWR_min[[#This Row],[2030]]</f>
        <v>0</v>
      </c>
      <c r="AH9" s="416">
        <f>EG_PHWR_min[[#This Row],[2031]]</f>
        <v>0</v>
      </c>
    </row>
    <row r="10" spans="1:34" ht="30">
      <c r="A10" s="639" t="s">
        <v>904</v>
      </c>
      <c r="E10" s="416" t="s">
        <v>90</v>
      </c>
      <c r="F10" s="416">
        <v>0</v>
      </c>
      <c r="G10" s="416">
        <v>0</v>
      </c>
      <c r="H10" s="416">
        <v>0</v>
      </c>
      <c r="I10" s="416">
        <v>0</v>
      </c>
      <c r="J10" s="416">
        <v>0</v>
      </c>
      <c r="K10" s="416">
        <v>0</v>
      </c>
      <c r="L10" s="416">
        <v>0</v>
      </c>
      <c r="M10" s="416">
        <v>0</v>
      </c>
      <c r="N10" s="416">
        <v>0</v>
      </c>
      <c r="O10" s="416">
        <v>0</v>
      </c>
      <c r="P10" s="416">
        <v>0</v>
      </c>
      <c r="W10" s="416" t="s">
        <v>90</v>
      </c>
      <c r="X10" s="416">
        <f>EG_PHWR_min[[#This Row],[2021]]</f>
        <v>0</v>
      </c>
      <c r="Y10" s="416">
        <f>EG_PHWR_min[[#This Row],[2022]]</f>
        <v>0</v>
      </c>
      <c r="Z10" s="416">
        <f>EG_PHWR_min[[#This Row],[2023]]</f>
        <v>0</v>
      </c>
      <c r="AA10" s="416">
        <f>EG_PHWR_min[[#This Row],[2024]]</f>
        <v>0</v>
      </c>
      <c r="AB10" s="416">
        <f>EG_PHWR_min[[#This Row],[2025]]</f>
        <v>0</v>
      </c>
      <c r="AC10" s="416">
        <f>EG_PHWR_min[[#This Row],[2026]]</f>
        <v>0</v>
      </c>
      <c r="AD10" s="416">
        <f>EG_PHWR_min[[#This Row],[2027]]</f>
        <v>0</v>
      </c>
      <c r="AE10" s="416">
        <f>EG_PHWR_min[[#This Row],[2028]]</f>
        <v>0</v>
      </c>
      <c r="AF10" s="416">
        <f>EG_PHWR_min[[#This Row],[2029]]</f>
        <v>0</v>
      </c>
      <c r="AG10" s="416">
        <f>EG_PHWR_min[[#This Row],[2030]]</f>
        <v>0</v>
      </c>
      <c r="AH10" s="416">
        <f>EG_PHWR_min[[#This Row],[2031]]</f>
        <v>0</v>
      </c>
    </row>
    <row r="11" spans="1:34">
      <c r="E11" s="416" t="s">
        <v>29</v>
      </c>
      <c r="F11" s="416">
        <v>0</v>
      </c>
      <c r="G11" s="416">
        <v>0</v>
      </c>
      <c r="H11" s="416">
        <v>0</v>
      </c>
      <c r="I11" s="416">
        <v>0</v>
      </c>
      <c r="J11" s="416">
        <v>0</v>
      </c>
      <c r="K11" s="416">
        <v>0</v>
      </c>
      <c r="L11" s="416">
        <v>0</v>
      </c>
      <c r="M11" s="416">
        <v>0</v>
      </c>
      <c r="N11" s="416">
        <v>0</v>
      </c>
      <c r="O11" s="416">
        <v>0</v>
      </c>
      <c r="P11" s="416">
        <v>0</v>
      </c>
      <c r="W11" s="416" t="s">
        <v>29</v>
      </c>
      <c r="X11" s="416">
        <f>EG_PHWR_min[[#This Row],[2021]]</f>
        <v>0</v>
      </c>
      <c r="Y11" s="416">
        <f>EG_PHWR_min[[#This Row],[2022]]</f>
        <v>0</v>
      </c>
      <c r="Z11" s="416">
        <f>EG_PHWR_min[[#This Row],[2023]]</f>
        <v>0</v>
      </c>
      <c r="AA11" s="416">
        <f>EG_PHWR_min[[#This Row],[2024]]</f>
        <v>0</v>
      </c>
      <c r="AB11" s="416">
        <f>EG_PHWR_min[[#This Row],[2025]]</f>
        <v>0</v>
      </c>
      <c r="AC11" s="416">
        <f>EG_PHWR_min[[#This Row],[2026]]</f>
        <v>0</v>
      </c>
      <c r="AD11" s="416">
        <f>EG_PHWR_min[[#This Row],[2027]]</f>
        <v>0</v>
      </c>
      <c r="AE11" s="416">
        <f>EG_PHWR_min[[#This Row],[2028]]</f>
        <v>0</v>
      </c>
      <c r="AF11" s="416">
        <f>EG_PHWR_min[[#This Row],[2029]]</f>
        <v>0</v>
      </c>
      <c r="AG11" s="416">
        <f>EG_PHWR_min[[#This Row],[2030]]</f>
        <v>0</v>
      </c>
      <c r="AH11" s="416">
        <f>EG_PHWR_min[[#This Row],[2031]]</f>
        <v>0</v>
      </c>
    </row>
    <row r="12" spans="1:34">
      <c r="E12" s="416" t="s">
        <v>19</v>
      </c>
      <c r="F12" s="416">
        <v>0</v>
      </c>
      <c r="G12" s="416">
        <v>0</v>
      </c>
      <c r="H12" s="416">
        <v>0</v>
      </c>
      <c r="I12" s="416">
        <v>0</v>
      </c>
      <c r="J12" s="416">
        <v>0</v>
      </c>
      <c r="K12" s="416">
        <v>0</v>
      </c>
      <c r="L12" s="416">
        <v>0</v>
      </c>
      <c r="M12" s="416">
        <v>0</v>
      </c>
      <c r="N12" s="416">
        <v>0</v>
      </c>
      <c r="O12" s="416">
        <v>0</v>
      </c>
      <c r="P12" s="416">
        <v>0</v>
      </c>
      <c r="W12" s="416" t="s">
        <v>19</v>
      </c>
      <c r="X12" s="416">
        <f>EG_PHWR_min[[#This Row],[2021]]</f>
        <v>0</v>
      </c>
      <c r="Y12" s="416">
        <f>EG_PHWR_min[[#This Row],[2022]]</f>
        <v>0</v>
      </c>
      <c r="Z12" s="416">
        <f>EG_PHWR_min[[#This Row],[2023]]</f>
        <v>0</v>
      </c>
      <c r="AA12" s="416">
        <f>EG_PHWR_min[[#This Row],[2024]]</f>
        <v>0</v>
      </c>
      <c r="AB12" s="416">
        <f>EG_PHWR_min[[#This Row],[2025]]</f>
        <v>0</v>
      </c>
      <c r="AC12" s="416">
        <f>EG_PHWR_min[[#This Row],[2026]]</f>
        <v>0</v>
      </c>
      <c r="AD12" s="416">
        <f>EG_PHWR_min[[#This Row],[2027]]</f>
        <v>0</v>
      </c>
      <c r="AE12" s="416">
        <f>EG_PHWR_min[[#This Row],[2028]]</f>
        <v>0</v>
      </c>
      <c r="AF12" s="416">
        <f>EG_PHWR_min[[#This Row],[2029]]</f>
        <v>0</v>
      </c>
      <c r="AG12" s="416">
        <f>EG_PHWR_min[[#This Row],[2030]]</f>
        <v>0</v>
      </c>
      <c r="AH12" s="416">
        <f>EG_PHWR_min[[#This Row],[2031]]</f>
        <v>0</v>
      </c>
    </row>
    <row r="13" spans="1:34">
      <c r="E13" s="416" t="s">
        <v>18</v>
      </c>
      <c r="F13" s="416">
        <v>0</v>
      </c>
      <c r="G13" s="416">
        <v>0</v>
      </c>
      <c r="H13" s="416">
        <v>0</v>
      </c>
      <c r="I13" s="416">
        <v>0</v>
      </c>
      <c r="J13" s="416">
        <v>0</v>
      </c>
      <c r="K13" s="416">
        <v>0</v>
      </c>
      <c r="L13" s="416">
        <v>0</v>
      </c>
      <c r="M13" s="416">
        <v>0</v>
      </c>
      <c r="N13" s="416">
        <v>0</v>
      </c>
      <c r="O13" s="416">
        <v>0</v>
      </c>
      <c r="P13" s="416">
        <v>0</v>
      </c>
      <c r="W13" s="416" t="s">
        <v>18</v>
      </c>
      <c r="X13" s="416">
        <f>EG_PHWR_min[[#This Row],[2021]]</f>
        <v>0</v>
      </c>
      <c r="Y13" s="416">
        <f>EG_PHWR_min[[#This Row],[2022]]</f>
        <v>0</v>
      </c>
      <c r="Z13" s="416">
        <f>EG_PHWR_min[[#This Row],[2023]]</f>
        <v>0</v>
      </c>
      <c r="AA13" s="416">
        <f>EG_PHWR_min[[#This Row],[2024]]</f>
        <v>0</v>
      </c>
      <c r="AB13" s="416">
        <f>EG_PHWR_min[[#This Row],[2025]]</f>
        <v>0</v>
      </c>
      <c r="AC13" s="416">
        <f>EG_PHWR_min[[#This Row],[2026]]</f>
        <v>0</v>
      </c>
      <c r="AD13" s="416">
        <f>EG_PHWR_min[[#This Row],[2027]]</f>
        <v>0</v>
      </c>
      <c r="AE13" s="416">
        <f>EG_PHWR_min[[#This Row],[2028]]</f>
        <v>0</v>
      </c>
      <c r="AF13" s="416">
        <f>EG_PHWR_min[[#This Row],[2029]]</f>
        <v>0</v>
      </c>
      <c r="AG13" s="416">
        <f>EG_PHWR_min[[#This Row],[2030]]</f>
        <v>0</v>
      </c>
      <c r="AH13" s="416">
        <f>EG_PHWR_min[[#This Row],[2031]]</f>
        <v>0</v>
      </c>
    </row>
    <row r="14" spans="1:34">
      <c r="E14" s="416" t="s">
        <v>91</v>
      </c>
      <c r="F14" s="416">
        <v>0</v>
      </c>
      <c r="G14" s="416">
        <v>0</v>
      </c>
      <c r="H14" s="416">
        <v>0</v>
      </c>
      <c r="I14" s="416">
        <v>0</v>
      </c>
      <c r="J14" s="416">
        <v>0</v>
      </c>
      <c r="K14" s="416">
        <v>0</v>
      </c>
      <c r="L14" s="416">
        <v>0</v>
      </c>
      <c r="M14" s="416">
        <v>0</v>
      </c>
      <c r="N14" s="416">
        <v>0</v>
      </c>
      <c r="O14" s="416">
        <v>0</v>
      </c>
      <c r="P14" s="416">
        <v>0</v>
      </c>
      <c r="W14" s="416" t="s">
        <v>91</v>
      </c>
      <c r="X14" s="416">
        <f>EG_PHWR_min[[#This Row],[2021]]</f>
        <v>0</v>
      </c>
      <c r="Y14" s="416">
        <f>EG_PHWR_min[[#This Row],[2022]]</f>
        <v>0</v>
      </c>
      <c r="Z14" s="416">
        <f>EG_PHWR_min[[#This Row],[2023]]</f>
        <v>0</v>
      </c>
      <c r="AA14" s="416">
        <f>EG_PHWR_min[[#This Row],[2024]]</f>
        <v>0</v>
      </c>
      <c r="AB14" s="416">
        <f>EG_PHWR_min[[#This Row],[2025]]</f>
        <v>0</v>
      </c>
      <c r="AC14" s="416">
        <f>EG_PHWR_min[[#This Row],[2026]]</f>
        <v>0</v>
      </c>
      <c r="AD14" s="416">
        <f>EG_PHWR_min[[#This Row],[2027]]</f>
        <v>0</v>
      </c>
      <c r="AE14" s="416">
        <f>EG_PHWR_min[[#This Row],[2028]]</f>
        <v>0</v>
      </c>
      <c r="AF14" s="416">
        <f>EG_PHWR_min[[#This Row],[2029]]</f>
        <v>0</v>
      </c>
      <c r="AG14" s="416">
        <f>EG_PHWR_min[[#This Row],[2030]]</f>
        <v>0</v>
      </c>
      <c r="AH14" s="416">
        <f>EG_PHWR_min[[#This Row],[2031]]</f>
        <v>0</v>
      </c>
    </row>
    <row r="15" spans="1:34">
      <c r="E15" s="416" t="s">
        <v>8</v>
      </c>
      <c r="F15" s="416">
        <v>0</v>
      </c>
      <c r="G15" s="416">
        <v>700</v>
      </c>
      <c r="H15" s="416">
        <v>0</v>
      </c>
      <c r="I15" s="416">
        <v>700</v>
      </c>
      <c r="J15" s="416">
        <v>0</v>
      </c>
      <c r="K15" s="416">
        <v>0</v>
      </c>
      <c r="L15" s="416">
        <v>0</v>
      </c>
      <c r="M15" s="416">
        <v>0</v>
      </c>
      <c r="N15" s="416">
        <v>0</v>
      </c>
      <c r="O15" s="416">
        <v>0</v>
      </c>
      <c r="P15" s="416">
        <v>0</v>
      </c>
      <c r="W15" s="416" t="s">
        <v>8</v>
      </c>
      <c r="X15" s="416">
        <f>EG_PHWR_min[[#This Row],[2021]]</f>
        <v>0</v>
      </c>
      <c r="Y15" s="416">
        <f>EG_PHWR_min[[#This Row],[2022]]</f>
        <v>700</v>
      </c>
      <c r="Z15" s="416">
        <f>EG_PHWR_min[[#This Row],[2023]]</f>
        <v>0</v>
      </c>
      <c r="AA15" s="416">
        <f>EG_PHWR_min[[#This Row],[2024]]</f>
        <v>700</v>
      </c>
      <c r="AB15" s="416">
        <f>EG_PHWR_min[[#This Row],[2025]]</f>
        <v>0</v>
      </c>
      <c r="AC15" s="416">
        <f>EG_PHWR_min[[#This Row],[2026]]</f>
        <v>0</v>
      </c>
      <c r="AD15" s="416">
        <f>EG_PHWR_min[[#This Row],[2027]]</f>
        <v>0</v>
      </c>
      <c r="AE15" s="416">
        <f>EG_PHWR_min[[#This Row],[2028]]</f>
        <v>0</v>
      </c>
      <c r="AF15" s="416">
        <f>EG_PHWR_min[[#This Row],[2029]]</f>
        <v>0</v>
      </c>
      <c r="AG15" s="416">
        <f>EG_PHWR_min[[#This Row],[2030]]</f>
        <v>0</v>
      </c>
      <c r="AH15" s="416">
        <f>EG_PHWR_min[[#This Row],[2031]]</f>
        <v>0</v>
      </c>
    </row>
    <row r="16" spans="1:34">
      <c r="E16" s="416" t="s">
        <v>5</v>
      </c>
      <c r="F16" s="416">
        <v>0</v>
      </c>
      <c r="G16" s="416">
        <v>0</v>
      </c>
      <c r="H16" s="416">
        <v>0</v>
      </c>
      <c r="I16" s="416">
        <v>0</v>
      </c>
      <c r="J16" s="416">
        <v>0</v>
      </c>
      <c r="K16" s="416">
        <v>0</v>
      </c>
      <c r="L16" s="416">
        <v>0</v>
      </c>
      <c r="M16" s="416">
        <v>0</v>
      </c>
      <c r="N16" s="416">
        <v>0</v>
      </c>
      <c r="O16" s="416">
        <v>0</v>
      </c>
      <c r="P16" s="416">
        <v>0</v>
      </c>
      <c r="W16" s="416" t="s">
        <v>5</v>
      </c>
      <c r="X16" s="416">
        <f>EG_PHWR_min[[#This Row],[2021]]</f>
        <v>0</v>
      </c>
      <c r="Y16" s="416">
        <f>EG_PHWR_min[[#This Row],[2022]]</f>
        <v>0</v>
      </c>
      <c r="Z16" s="416">
        <f>EG_PHWR_min[[#This Row],[2023]]</f>
        <v>0</v>
      </c>
      <c r="AA16" s="416">
        <f>EG_PHWR_min[[#This Row],[2024]]</f>
        <v>0</v>
      </c>
      <c r="AB16" s="416">
        <f>EG_PHWR_min[[#This Row],[2025]]</f>
        <v>0</v>
      </c>
      <c r="AC16" s="416">
        <f>EG_PHWR_min[[#This Row],[2026]]</f>
        <v>0</v>
      </c>
      <c r="AD16" s="416">
        <f>EG_PHWR_min[[#This Row],[2027]]</f>
        <v>0</v>
      </c>
      <c r="AE16" s="416">
        <f>EG_PHWR_min[[#This Row],[2028]]</f>
        <v>0</v>
      </c>
      <c r="AF16" s="416">
        <f>EG_PHWR_min[[#This Row],[2029]]</f>
        <v>0</v>
      </c>
      <c r="AG16" s="416">
        <f>EG_PHWR_min[[#This Row],[2030]]</f>
        <v>0</v>
      </c>
      <c r="AH16" s="416">
        <f>EG_PHWR_min[[#This Row],[2031]]</f>
        <v>0</v>
      </c>
    </row>
    <row r="17" spans="5:34">
      <c r="E17" s="416" t="s">
        <v>88</v>
      </c>
      <c r="F17" s="416">
        <v>0</v>
      </c>
      <c r="G17" s="416">
        <v>0</v>
      </c>
      <c r="H17" s="416">
        <v>0</v>
      </c>
      <c r="I17" s="416">
        <v>0</v>
      </c>
      <c r="J17" s="416">
        <v>0</v>
      </c>
      <c r="K17" s="416">
        <v>0</v>
      </c>
      <c r="L17" s="416">
        <v>0</v>
      </c>
      <c r="M17" s="416">
        <v>0</v>
      </c>
      <c r="N17" s="416">
        <v>0</v>
      </c>
      <c r="O17" s="416">
        <v>0</v>
      </c>
      <c r="P17" s="416">
        <v>0</v>
      </c>
      <c r="W17" s="416" t="s">
        <v>88</v>
      </c>
      <c r="X17" s="416">
        <f>EG_PHWR_min[[#This Row],[2021]]</f>
        <v>0</v>
      </c>
      <c r="Y17" s="416">
        <f>EG_PHWR_min[[#This Row],[2022]]</f>
        <v>0</v>
      </c>
      <c r="Z17" s="416">
        <f>EG_PHWR_min[[#This Row],[2023]]</f>
        <v>0</v>
      </c>
      <c r="AA17" s="416">
        <f>EG_PHWR_min[[#This Row],[2024]]</f>
        <v>0</v>
      </c>
      <c r="AB17" s="416">
        <f>EG_PHWR_min[[#This Row],[2025]]</f>
        <v>0</v>
      </c>
      <c r="AC17" s="416">
        <f>EG_PHWR_min[[#This Row],[2026]]</f>
        <v>0</v>
      </c>
      <c r="AD17" s="416">
        <f>EG_PHWR_min[[#This Row],[2027]]</f>
        <v>0</v>
      </c>
      <c r="AE17" s="416">
        <f>EG_PHWR_min[[#This Row],[2028]]</f>
        <v>0</v>
      </c>
      <c r="AF17" s="416">
        <f>EG_PHWR_min[[#This Row],[2029]]</f>
        <v>0</v>
      </c>
      <c r="AG17" s="416">
        <f>EG_PHWR_min[[#This Row],[2030]]</f>
        <v>0</v>
      </c>
      <c r="AH17" s="416">
        <f>EG_PHWR_min[[#This Row],[2031]]</f>
        <v>0</v>
      </c>
    </row>
    <row r="18" spans="5:34">
      <c r="E18" s="416" t="s">
        <v>89</v>
      </c>
      <c r="F18" s="416">
        <v>0</v>
      </c>
      <c r="G18" s="416">
        <v>0</v>
      </c>
      <c r="H18" s="416">
        <v>0</v>
      </c>
      <c r="I18" s="416">
        <v>0</v>
      </c>
      <c r="J18" s="416">
        <v>0</v>
      </c>
      <c r="K18" s="416">
        <v>0</v>
      </c>
      <c r="L18" s="416">
        <v>0</v>
      </c>
      <c r="M18" s="416">
        <v>0</v>
      </c>
      <c r="N18" s="416">
        <v>0</v>
      </c>
      <c r="O18" s="416">
        <v>0</v>
      </c>
      <c r="P18" s="416">
        <v>0</v>
      </c>
      <c r="W18" s="416" t="s">
        <v>89</v>
      </c>
      <c r="X18" s="416">
        <f>EG_PHWR_min[[#This Row],[2021]]</f>
        <v>0</v>
      </c>
      <c r="Y18" s="416">
        <f>EG_PHWR_min[[#This Row],[2022]]</f>
        <v>0</v>
      </c>
      <c r="Z18" s="416">
        <f>EG_PHWR_min[[#This Row],[2023]]</f>
        <v>0</v>
      </c>
      <c r="AA18" s="416">
        <f>EG_PHWR_min[[#This Row],[2024]]</f>
        <v>0</v>
      </c>
      <c r="AB18" s="416">
        <f>EG_PHWR_min[[#This Row],[2025]]</f>
        <v>0</v>
      </c>
      <c r="AC18" s="416">
        <f>EG_PHWR_min[[#This Row],[2026]]</f>
        <v>0</v>
      </c>
      <c r="AD18" s="416">
        <f>EG_PHWR_min[[#This Row],[2027]]</f>
        <v>0</v>
      </c>
      <c r="AE18" s="416">
        <f>EG_PHWR_min[[#This Row],[2028]]</f>
        <v>0</v>
      </c>
      <c r="AF18" s="416">
        <f>EG_PHWR_min[[#This Row],[2029]]</f>
        <v>0</v>
      </c>
      <c r="AG18" s="416">
        <f>EG_PHWR_min[[#This Row],[2030]]</f>
        <v>0</v>
      </c>
      <c r="AH18" s="416">
        <f>EG_PHWR_min[[#This Row],[2031]]</f>
        <v>0</v>
      </c>
    </row>
    <row r="19" spans="5:34">
      <c r="E19" s="416" t="s">
        <v>20</v>
      </c>
      <c r="F19" s="416">
        <v>0</v>
      </c>
      <c r="G19" s="416">
        <v>0</v>
      </c>
      <c r="H19" s="416">
        <v>0</v>
      </c>
      <c r="I19" s="416">
        <v>0</v>
      </c>
      <c r="J19" s="416">
        <v>0</v>
      </c>
      <c r="K19" s="416">
        <v>0</v>
      </c>
      <c r="L19" s="416">
        <v>0</v>
      </c>
      <c r="M19" s="416">
        <v>0</v>
      </c>
      <c r="N19" s="416">
        <v>0</v>
      </c>
      <c r="O19" s="416">
        <v>0</v>
      </c>
      <c r="P19" s="416">
        <v>0</v>
      </c>
      <c r="W19" s="416" t="s">
        <v>20</v>
      </c>
      <c r="X19" s="416">
        <f>EG_PHWR_min[[#This Row],[2021]]</f>
        <v>0</v>
      </c>
      <c r="Y19" s="416">
        <f>EG_PHWR_min[[#This Row],[2022]]</f>
        <v>0</v>
      </c>
      <c r="Z19" s="416">
        <f>EG_PHWR_min[[#This Row],[2023]]</f>
        <v>0</v>
      </c>
      <c r="AA19" s="416">
        <f>EG_PHWR_min[[#This Row],[2024]]</f>
        <v>0</v>
      </c>
      <c r="AB19" s="416">
        <f>EG_PHWR_min[[#This Row],[2025]]</f>
        <v>0</v>
      </c>
      <c r="AC19" s="416">
        <f>EG_PHWR_min[[#This Row],[2026]]</f>
        <v>0</v>
      </c>
      <c r="AD19" s="416">
        <f>EG_PHWR_min[[#This Row],[2027]]</f>
        <v>0</v>
      </c>
      <c r="AE19" s="416">
        <f>EG_PHWR_min[[#This Row],[2028]]</f>
        <v>0</v>
      </c>
      <c r="AF19" s="416">
        <f>EG_PHWR_min[[#This Row],[2029]]</f>
        <v>0</v>
      </c>
      <c r="AG19" s="416">
        <f>EG_PHWR_min[[#This Row],[2030]]</f>
        <v>0</v>
      </c>
      <c r="AH19" s="416">
        <f>EG_PHWR_min[[#This Row],[2031]]</f>
        <v>0</v>
      </c>
    </row>
    <row r="20" spans="5:34">
      <c r="E20" s="416" t="s">
        <v>11</v>
      </c>
      <c r="F20" s="416">
        <v>0</v>
      </c>
      <c r="G20" s="416">
        <v>0</v>
      </c>
      <c r="H20" s="416">
        <v>0</v>
      </c>
      <c r="I20" s="416">
        <v>0</v>
      </c>
      <c r="J20" s="416">
        <v>0</v>
      </c>
      <c r="K20" s="416">
        <v>0</v>
      </c>
      <c r="L20" s="416">
        <v>0</v>
      </c>
      <c r="M20" s="416">
        <v>0</v>
      </c>
      <c r="N20" s="416">
        <v>0</v>
      </c>
      <c r="O20" s="416">
        <v>0</v>
      </c>
      <c r="P20" s="416">
        <v>0</v>
      </c>
      <c r="W20" s="416" t="s">
        <v>11</v>
      </c>
      <c r="X20" s="416">
        <f>EG_PHWR_min[[#This Row],[2021]]</f>
        <v>0</v>
      </c>
      <c r="Y20" s="416">
        <f>EG_PHWR_min[[#This Row],[2022]]</f>
        <v>0</v>
      </c>
      <c r="Z20" s="416">
        <f>EG_PHWR_min[[#This Row],[2023]]</f>
        <v>0</v>
      </c>
      <c r="AA20" s="416">
        <f>EG_PHWR_min[[#This Row],[2024]]</f>
        <v>0</v>
      </c>
      <c r="AB20" s="416">
        <f>EG_PHWR_min[[#This Row],[2025]]</f>
        <v>0</v>
      </c>
      <c r="AC20" s="416">
        <f>EG_PHWR_min[[#This Row],[2026]]</f>
        <v>0</v>
      </c>
      <c r="AD20" s="416">
        <f>EG_PHWR_min[[#This Row],[2027]]</f>
        <v>0</v>
      </c>
      <c r="AE20" s="416">
        <f>EG_PHWR_min[[#This Row],[2028]]</f>
        <v>0</v>
      </c>
      <c r="AF20" s="416">
        <f>EG_PHWR_min[[#This Row],[2029]]</f>
        <v>0</v>
      </c>
      <c r="AG20" s="416">
        <f>EG_PHWR_min[[#This Row],[2030]]</f>
        <v>0</v>
      </c>
      <c r="AH20" s="416">
        <f>EG_PHWR_min[[#This Row],[2031]]</f>
        <v>0</v>
      </c>
    </row>
    <row r="21" spans="5:34">
      <c r="E21" s="416" t="s">
        <v>12</v>
      </c>
      <c r="F21" s="416">
        <v>0</v>
      </c>
      <c r="G21" s="416">
        <v>0</v>
      </c>
      <c r="H21" s="416">
        <v>0</v>
      </c>
      <c r="I21" s="416">
        <v>0</v>
      </c>
      <c r="J21" s="416">
        <v>0</v>
      </c>
      <c r="K21" s="416">
        <v>0</v>
      </c>
      <c r="L21" s="416">
        <v>0</v>
      </c>
      <c r="M21" s="416">
        <v>0</v>
      </c>
      <c r="N21" s="416">
        <v>0</v>
      </c>
      <c r="O21" s="416">
        <v>0</v>
      </c>
      <c r="P21" s="416">
        <v>0</v>
      </c>
      <c r="W21" s="416" t="s">
        <v>12</v>
      </c>
      <c r="X21" s="416">
        <f>EG_PHWR_min[[#This Row],[2021]]</f>
        <v>0</v>
      </c>
      <c r="Y21" s="416">
        <f>EG_PHWR_min[[#This Row],[2022]]</f>
        <v>0</v>
      </c>
      <c r="Z21" s="416">
        <f>EG_PHWR_min[[#This Row],[2023]]</f>
        <v>0</v>
      </c>
      <c r="AA21" s="416">
        <f>EG_PHWR_min[[#This Row],[2024]]</f>
        <v>0</v>
      </c>
      <c r="AB21" s="416">
        <f>EG_PHWR_min[[#This Row],[2025]]</f>
        <v>0</v>
      </c>
      <c r="AC21" s="416">
        <f>EG_PHWR_min[[#This Row],[2026]]</f>
        <v>0</v>
      </c>
      <c r="AD21" s="416">
        <f>EG_PHWR_min[[#This Row],[2027]]</f>
        <v>0</v>
      </c>
      <c r="AE21" s="416">
        <f>EG_PHWR_min[[#This Row],[2028]]</f>
        <v>0</v>
      </c>
      <c r="AF21" s="416">
        <f>EG_PHWR_min[[#This Row],[2029]]</f>
        <v>0</v>
      </c>
      <c r="AG21" s="416">
        <f>EG_PHWR_min[[#This Row],[2030]]</f>
        <v>0</v>
      </c>
      <c r="AH21" s="416">
        <f>EG_PHWR_min[[#This Row],[2031]]</f>
        <v>0</v>
      </c>
    </row>
    <row r="22" spans="5:34">
      <c r="E22" s="416" t="s">
        <v>9</v>
      </c>
      <c r="F22" s="416">
        <v>0</v>
      </c>
      <c r="G22" s="416">
        <v>0</v>
      </c>
      <c r="H22" s="416">
        <v>0</v>
      </c>
      <c r="I22" s="416">
        <v>0</v>
      </c>
      <c r="J22" s="416">
        <v>0</v>
      </c>
      <c r="K22" s="416">
        <v>0</v>
      </c>
      <c r="L22" s="416">
        <v>0</v>
      </c>
      <c r="M22" s="416">
        <v>0</v>
      </c>
      <c r="N22" s="416">
        <v>0</v>
      </c>
      <c r="O22" s="416">
        <v>0</v>
      </c>
      <c r="P22" s="416">
        <v>0</v>
      </c>
      <c r="W22" s="416" t="s">
        <v>9</v>
      </c>
      <c r="X22" s="416">
        <f>EG_PHWR_min[[#This Row],[2021]]</f>
        <v>0</v>
      </c>
      <c r="Y22" s="416">
        <f>EG_PHWR_min[[#This Row],[2022]]</f>
        <v>0</v>
      </c>
      <c r="Z22" s="416">
        <f>EG_PHWR_min[[#This Row],[2023]]</f>
        <v>0</v>
      </c>
      <c r="AA22" s="416">
        <f>EG_PHWR_min[[#This Row],[2024]]</f>
        <v>0</v>
      </c>
      <c r="AB22" s="416">
        <f>EG_PHWR_min[[#This Row],[2025]]</f>
        <v>0</v>
      </c>
      <c r="AC22" s="416">
        <f>EG_PHWR_min[[#This Row],[2026]]</f>
        <v>0</v>
      </c>
      <c r="AD22" s="416">
        <f>EG_PHWR_min[[#This Row],[2027]]</f>
        <v>0</v>
      </c>
      <c r="AE22" s="416">
        <f>EG_PHWR_min[[#This Row],[2028]]</f>
        <v>0</v>
      </c>
      <c r="AF22" s="416">
        <f>EG_PHWR_min[[#This Row],[2029]]</f>
        <v>0</v>
      </c>
      <c r="AG22" s="416">
        <f>EG_PHWR_min[[#This Row],[2030]]</f>
        <v>0</v>
      </c>
      <c r="AH22" s="416">
        <f>EG_PHWR_min[[#This Row],[2031]]</f>
        <v>0</v>
      </c>
    </row>
    <row r="23" spans="5:34">
      <c r="E23" s="416" t="s">
        <v>10</v>
      </c>
      <c r="F23" s="416">
        <v>0</v>
      </c>
      <c r="G23" s="416">
        <v>0</v>
      </c>
      <c r="H23" s="416">
        <v>0</v>
      </c>
      <c r="I23" s="416">
        <v>0</v>
      </c>
      <c r="J23" s="416">
        <v>0</v>
      </c>
      <c r="K23" s="416">
        <v>0</v>
      </c>
      <c r="L23" s="416">
        <v>0</v>
      </c>
      <c r="M23" s="416">
        <v>0</v>
      </c>
      <c r="N23" s="416">
        <v>0</v>
      </c>
      <c r="O23" s="416">
        <v>0</v>
      </c>
      <c r="P23" s="416">
        <v>0</v>
      </c>
      <c r="W23" s="416" t="s">
        <v>10</v>
      </c>
      <c r="X23" s="416">
        <f>EG_PHWR_min[[#This Row],[2021]]</f>
        <v>0</v>
      </c>
      <c r="Y23" s="416">
        <f>EG_PHWR_min[[#This Row],[2022]]</f>
        <v>0</v>
      </c>
      <c r="Z23" s="416">
        <f>EG_PHWR_min[[#This Row],[2023]]</f>
        <v>0</v>
      </c>
      <c r="AA23" s="416">
        <f>EG_PHWR_min[[#This Row],[2024]]</f>
        <v>0</v>
      </c>
      <c r="AB23" s="416">
        <f>EG_PHWR_min[[#This Row],[2025]]</f>
        <v>0</v>
      </c>
      <c r="AC23" s="416">
        <f>EG_PHWR_min[[#This Row],[2026]]</f>
        <v>0</v>
      </c>
      <c r="AD23" s="416">
        <f>EG_PHWR_min[[#This Row],[2027]]</f>
        <v>0</v>
      </c>
      <c r="AE23" s="416">
        <f>EG_PHWR_min[[#This Row],[2028]]</f>
        <v>0</v>
      </c>
      <c r="AF23" s="416">
        <f>EG_PHWR_min[[#This Row],[2029]]</f>
        <v>0</v>
      </c>
      <c r="AG23" s="416">
        <f>EG_PHWR_min[[#This Row],[2030]]</f>
        <v>0</v>
      </c>
      <c r="AH23" s="416">
        <f>EG_PHWR_min[[#This Row],[2031]]</f>
        <v>0</v>
      </c>
    </row>
    <row r="24" spans="5:34">
      <c r="E24" s="416" t="s">
        <v>16</v>
      </c>
      <c r="F24" s="416">
        <v>0</v>
      </c>
      <c r="G24" s="416">
        <v>0</v>
      </c>
      <c r="H24" s="416">
        <v>0</v>
      </c>
      <c r="I24" s="416">
        <v>0</v>
      </c>
      <c r="J24" s="416">
        <v>0</v>
      </c>
      <c r="K24" s="416">
        <v>0</v>
      </c>
      <c r="L24" s="416">
        <v>0</v>
      </c>
      <c r="M24" s="416">
        <v>0</v>
      </c>
      <c r="N24" s="416">
        <v>0</v>
      </c>
      <c r="O24" s="416">
        <v>0</v>
      </c>
      <c r="P24" s="416">
        <v>0</v>
      </c>
      <c r="W24" s="416" t="s">
        <v>16</v>
      </c>
      <c r="X24" s="416">
        <f>EG_PHWR_min[[#This Row],[2021]]</f>
        <v>0</v>
      </c>
      <c r="Y24" s="416">
        <f>EG_PHWR_min[[#This Row],[2022]]</f>
        <v>0</v>
      </c>
      <c r="Z24" s="416">
        <f>EG_PHWR_min[[#This Row],[2023]]</f>
        <v>0</v>
      </c>
      <c r="AA24" s="416">
        <f>EG_PHWR_min[[#This Row],[2024]]</f>
        <v>0</v>
      </c>
      <c r="AB24" s="416">
        <f>EG_PHWR_min[[#This Row],[2025]]</f>
        <v>0</v>
      </c>
      <c r="AC24" s="416">
        <f>EG_PHWR_min[[#This Row],[2026]]</f>
        <v>0</v>
      </c>
      <c r="AD24" s="416">
        <f>EG_PHWR_min[[#This Row],[2027]]</f>
        <v>0</v>
      </c>
      <c r="AE24" s="416">
        <f>EG_PHWR_min[[#This Row],[2028]]</f>
        <v>0</v>
      </c>
      <c r="AF24" s="416">
        <f>EG_PHWR_min[[#This Row],[2029]]</f>
        <v>0</v>
      </c>
      <c r="AG24" s="416">
        <f>EG_PHWR_min[[#This Row],[2030]]</f>
        <v>0</v>
      </c>
      <c r="AH24" s="416">
        <f>EG_PHWR_min[[#This Row],[2031]]</f>
        <v>0</v>
      </c>
    </row>
    <row r="25" spans="5:34">
      <c r="E25" s="416" t="s">
        <v>1</v>
      </c>
      <c r="F25" s="416">
        <v>0</v>
      </c>
      <c r="G25" s="416">
        <v>0</v>
      </c>
      <c r="H25" s="416">
        <v>0</v>
      </c>
      <c r="I25" s="416">
        <v>0</v>
      </c>
      <c r="J25" s="416">
        <v>0</v>
      </c>
      <c r="K25" s="416">
        <v>0</v>
      </c>
      <c r="L25" s="416">
        <v>0</v>
      </c>
      <c r="M25" s="416">
        <v>0</v>
      </c>
      <c r="N25" s="416">
        <v>0</v>
      </c>
      <c r="O25" s="416">
        <v>0</v>
      </c>
      <c r="P25" s="416">
        <v>0</v>
      </c>
      <c r="W25" s="416" t="s">
        <v>1</v>
      </c>
      <c r="X25" s="416">
        <f>EG_PHWR_min[[#This Row],[2021]]</f>
        <v>0</v>
      </c>
      <c r="Y25" s="416">
        <f>EG_PHWR_min[[#This Row],[2022]]</f>
        <v>0</v>
      </c>
      <c r="Z25" s="416">
        <f>EG_PHWR_min[[#This Row],[2023]]</f>
        <v>0</v>
      </c>
      <c r="AA25" s="416">
        <f>EG_PHWR_min[[#This Row],[2024]]</f>
        <v>0</v>
      </c>
      <c r="AB25" s="416">
        <f>EG_PHWR_min[[#This Row],[2025]]</f>
        <v>0</v>
      </c>
      <c r="AC25" s="416">
        <f>EG_PHWR_min[[#This Row],[2026]]</f>
        <v>0</v>
      </c>
      <c r="AD25" s="416">
        <f>EG_PHWR_min[[#This Row],[2027]]</f>
        <v>0</v>
      </c>
      <c r="AE25" s="416">
        <f>EG_PHWR_min[[#This Row],[2028]]</f>
        <v>0</v>
      </c>
      <c r="AF25" s="416">
        <f>EG_PHWR_min[[#This Row],[2029]]</f>
        <v>0</v>
      </c>
      <c r="AG25" s="416">
        <f>EG_PHWR_min[[#This Row],[2030]]</f>
        <v>0</v>
      </c>
      <c r="AH25" s="416">
        <f>EG_PHWR_min[[#This Row],[2031]]</f>
        <v>0</v>
      </c>
    </row>
    <row r="26" spans="5:34">
      <c r="E26" s="416" t="s">
        <v>6</v>
      </c>
      <c r="F26" s="416">
        <v>0</v>
      </c>
      <c r="G26" s="416">
        <v>0</v>
      </c>
      <c r="H26" s="416">
        <v>700</v>
      </c>
      <c r="I26" s="416">
        <v>0</v>
      </c>
      <c r="J26" s="416">
        <v>700</v>
      </c>
      <c r="K26" s="416">
        <v>0</v>
      </c>
      <c r="L26" s="416">
        <v>0</v>
      </c>
      <c r="M26" s="416">
        <v>0</v>
      </c>
      <c r="N26" s="416">
        <v>0</v>
      </c>
      <c r="O26" s="416">
        <v>0</v>
      </c>
      <c r="P26" s="416">
        <v>0</v>
      </c>
      <c r="W26" s="416" t="s">
        <v>6</v>
      </c>
      <c r="X26" s="416">
        <f>EG_PHWR_min[[#This Row],[2021]]</f>
        <v>0</v>
      </c>
      <c r="Y26" s="416">
        <f>EG_PHWR_min[[#This Row],[2022]]</f>
        <v>0</v>
      </c>
      <c r="Z26" s="416">
        <f>EG_PHWR_min[[#This Row],[2023]]</f>
        <v>700</v>
      </c>
      <c r="AA26" s="416">
        <f>EG_PHWR_min[[#This Row],[2024]]</f>
        <v>0</v>
      </c>
      <c r="AB26" s="416">
        <f>EG_PHWR_min[[#This Row],[2025]]</f>
        <v>700</v>
      </c>
      <c r="AC26" s="416">
        <f>EG_PHWR_min[[#This Row],[2026]]</f>
        <v>0</v>
      </c>
      <c r="AD26" s="416">
        <f>EG_PHWR_min[[#This Row],[2027]]</f>
        <v>0</v>
      </c>
      <c r="AE26" s="416">
        <f>EG_PHWR_min[[#This Row],[2028]]</f>
        <v>0</v>
      </c>
      <c r="AF26" s="416">
        <f>EG_PHWR_min[[#This Row],[2029]]</f>
        <v>0</v>
      </c>
      <c r="AG26" s="416">
        <f>EG_PHWR_min[[#This Row],[2030]]</f>
        <v>0</v>
      </c>
      <c r="AH26" s="416">
        <f>EG_PHWR_min[[#This Row],[2031]]</f>
        <v>0</v>
      </c>
    </row>
    <row r="27" spans="5:34">
      <c r="E27" s="416" t="s">
        <v>13</v>
      </c>
      <c r="F27" s="416">
        <v>0</v>
      </c>
      <c r="G27" s="416">
        <v>0</v>
      </c>
      <c r="H27" s="416">
        <v>0</v>
      </c>
      <c r="I27" s="416">
        <v>0</v>
      </c>
      <c r="J27" s="416">
        <v>0</v>
      </c>
      <c r="K27" s="416">
        <v>0</v>
      </c>
      <c r="L27" s="416">
        <v>1000</v>
      </c>
      <c r="M27" s="416">
        <v>1000</v>
      </c>
      <c r="N27" s="416">
        <v>0</v>
      </c>
      <c r="O27" s="416">
        <v>0</v>
      </c>
      <c r="P27" s="416">
        <v>0</v>
      </c>
      <c r="W27" s="416" t="s">
        <v>13</v>
      </c>
      <c r="X27" s="416">
        <f>EG_PHWR_min[[#This Row],[2021]]</f>
        <v>0</v>
      </c>
      <c r="Y27" s="416">
        <f>EG_PHWR_min[[#This Row],[2022]]</f>
        <v>0</v>
      </c>
      <c r="Z27" s="416">
        <f>EG_PHWR_min[[#This Row],[2023]]</f>
        <v>0</v>
      </c>
      <c r="AA27" s="416">
        <f>EG_PHWR_min[[#This Row],[2024]]</f>
        <v>0</v>
      </c>
      <c r="AB27" s="416">
        <f>EG_PHWR_min[[#This Row],[2025]]</f>
        <v>0</v>
      </c>
      <c r="AC27" s="416">
        <f>EG_PHWR_min[[#This Row],[2026]]</f>
        <v>0</v>
      </c>
      <c r="AD27" s="416">
        <f>EG_PHWR_min[[#This Row],[2027]]</f>
        <v>1000</v>
      </c>
      <c r="AE27" s="416">
        <f>EG_PHWR_min[[#This Row],[2028]]</f>
        <v>1000</v>
      </c>
      <c r="AF27" s="416">
        <f>EG_PHWR_min[[#This Row],[2029]]</f>
        <v>0</v>
      </c>
      <c r="AG27" s="416">
        <f>EG_PHWR_min[[#This Row],[2030]]</f>
        <v>0</v>
      </c>
      <c r="AH27" s="416">
        <f>EG_PHWR_min[[#This Row],[2031]]</f>
        <v>0</v>
      </c>
    </row>
    <row r="28" spans="5:34">
      <c r="E28" s="416" t="s">
        <v>15</v>
      </c>
      <c r="F28" s="416">
        <v>0</v>
      </c>
      <c r="G28" s="416">
        <v>0</v>
      </c>
      <c r="H28" s="416">
        <v>0</v>
      </c>
      <c r="I28" s="416">
        <v>0</v>
      </c>
      <c r="J28" s="416">
        <v>0</v>
      </c>
      <c r="K28" s="416">
        <v>0</v>
      </c>
      <c r="L28" s="416">
        <v>0</v>
      </c>
      <c r="M28" s="416">
        <v>0</v>
      </c>
      <c r="N28" s="416">
        <v>0</v>
      </c>
      <c r="O28" s="416">
        <v>0</v>
      </c>
      <c r="P28" s="416">
        <v>0</v>
      </c>
      <c r="W28" s="416" t="s">
        <v>15</v>
      </c>
      <c r="X28" s="416">
        <f>EG_PHWR_min[[#This Row],[2021]]</f>
        <v>0</v>
      </c>
      <c r="Y28" s="416">
        <f>EG_PHWR_min[[#This Row],[2022]]</f>
        <v>0</v>
      </c>
      <c r="Z28" s="416">
        <f>EG_PHWR_min[[#This Row],[2023]]</f>
        <v>0</v>
      </c>
      <c r="AA28" s="416">
        <f>EG_PHWR_min[[#This Row],[2024]]</f>
        <v>0</v>
      </c>
      <c r="AB28" s="416">
        <f>EG_PHWR_min[[#This Row],[2025]]</f>
        <v>0</v>
      </c>
      <c r="AC28" s="416">
        <f>EG_PHWR_min[[#This Row],[2026]]</f>
        <v>0</v>
      </c>
      <c r="AD28" s="416">
        <f>EG_PHWR_min[[#This Row],[2027]]</f>
        <v>0</v>
      </c>
      <c r="AE28" s="416">
        <f>EG_PHWR_min[[#This Row],[2028]]</f>
        <v>0</v>
      </c>
      <c r="AF28" s="416">
        <f>EG_PHWR_min[[#This Row],[2029]]</f>
        <v>0</v>
      </c>
      <c r="AG28" s="416">
        <f>EG_PHWR_min[[#This Row],[2030]]</f>
        <v>0</v>
      </c>
      <c r="AH28" s="416">
        <f>EG_PHWR_min[[#This Row],[2031]]</f>
        <v>0</v>
      </c>
    </row>
    <row r="29" spans="5:34">
      <c r="E29" s="416" t="s">
        <v>0</v>
      </c>
      <c r="F29" s="416">
        <v>0</v>
      </c>
      <c r="G29" s="416">
        <v>0</v>
      </c>
      <c r="H29" s="416">
        <v>0</v>
      </c>
      <c r="I29" s="416">
        <v>0</v>
      </c>
      <c r="J29" s="416">
        <v>0</v>
      </c>
      <c r="K29" s="416">
        <v>0</v>
      </c>
      <c r="L29" s="416">
        <v>0</v>
      </c>
      <c r="M29" s="416">
        <v>0</v>
      </c>
      <c r="N29" s="416">
        <v>0</v>
      </c>
      <c r="O29" s="416">
        <v>0</v>
      </c>
      <c r="P29" s="416">
        <v>0</v>
      </c>
      <c r="W29" s="416" t="s">
        <v>0</v>
      </c>
      <c r="X29" s="416">
        <f>EG_PHWR_min[[#This Row],[2021]]</f>
        <v>0</v>
      </c>
      <c r="Y29" s="416">
        <f>EG_PHWR_min[[#This Row],[2022]]</f>
        <v>0</v>
      </c>
      <c r="Z29" s="416">
        <f>EG_PHWR_min[[#This Row],[2023]]</f>
        <v>0</v>
      </c>
      <c r="AA29" s="416">
        <f>EG_PHWR_min[[#This Row],[2024]]</f>
        <v>0</v>
      </c>
      <c r="AB29" s="416">
        <f>EG_PHWR_min[[#This Row],[2025]]</f>
        <v>0</v>
      </c>
      <c r="AC29" s="416">
        <f>EG_PHWR_min[[#This Row],[2026]]</f>
        <v>0</v>
      </c>
      <c r="AD29" s="416">
        <f>EG_PHWR_min[[#This Row],[2027]]</f>
        <v>0</v>
      </c>
      <c r="AE29" s="416">
        <f>EG_PHWR_min[[#This Row],[2028]]</f>
        <v>0</v>
      </c>
      <c r="AF29" s="416">
        <f>EG_PHWR_min[[#This Row],[2029]]</f>
        <v>0</v>
      </c>
      <c r="AG29" s="416">
        <f>EG_PHWR_min[[#This Row],[2030]]</f>
        <v>0</v>
      </c>
      <c r="AH29" s="416">
        <f>EG_PHWR_min[[#This Row],[2031]]</f>
        <v>0</v>
      </c>
    </row>
    <row r="30" spans="5:34">
      <c r="E30" s="416" t="s">
        <v>4</v>
      </c>
      <c r="F30" s="416">
        <v>0</v>
      </c>
      <c r="G30" s="416">
        <v>0</v>
      </c>
      <c r="H30" s="416">
        <v>0</v>
      </c>
      <c r="I30" s="416">
        <v>0</v>
      </c>
      <c r="J30" s="416">
        <v>0</v>
      </c>
      <c r="K30" s="416">
        <v>0</v>
      </c>
      <c r="L30" s="416">
        <v>0</v>
      </c>
      <c r="M30" s="416">
        <v>0</v>
      </c>
      <c r="N30" s="416">
        <v>0</v>
      </c>
      <c r="O30" s="416">
        <v>0</v>
      </c>
      <c r="P30" s="416">
        <v>0</v>
      </c>
      <c r="W30" s="416" t="s">
        <v>4</v>
      </c>
      <c r="X30" s="416">
        <f>EG_PHWR_min[[#This Row],[2021]]</f>
        <v>0</v>
      </c>
      <c r="Y30" s="416">
        <f>EG_PHWR_min[[#This Row],[2022]]</f>
        <v>0</v>
      </c>
      <c r="Z30" s="416">
        <f>EG_PHWR_min[[#This Row],[2023]]</f>
        <v>0</v>
      </c>
      <c r="AA30" s="416">
        <f>EG_PHWR_min[[#This Row],[2024]]</f>
        <v>0</v>
      </c>
      <c r="AB30" s="416">
        <f>EG_PHWR_min[[#This Row],[2025]]</f>
        <v>0</v>
      </c>
      <c r="AC30" s="416">
        <f>EG_PHWR_min[[#This Row],[2026]]</f>
        <v>0</v>
      </c>
      <c r="AD30" s="416">
        <f>EG_PHWR_min[[#This Row],[2027]]</f>
        <v>0</v>
      </c>
      <c r="AE30" s="416">
        <f>EG_PHWR_min[[#This Row],[2028]]</f>
        <v>0</v>
      </c>
      <c r="AF30" s="416">
        <f>EG_PHWR_min[[#This Row],[2029]]</f>
        <v>0</v>
      </c>
      <c r="AG30" s="416">
        <f>EG_PHWR_min[[#This Row],[2030]]</f>
        <v>0</v>
      </c>
      <c r="AH30" s="416">
        <f>EG_PHWR_min[[#This Row],[2031]]</f>
        <v>0</v>
      </c>
    </row>
    <row r="31" spans="5:34">
      <c r="E31" s="416" t="s">
        <v>17</v>
      </c>
      <c r="F31" s="416">
        <v>0</v>
      </c>
      <c r="G31" s="416">
        <v>0</v>
      </c>
      <c r="H31" s="416">
        <v>0</v>
      </c>
      <c r="I31" s="416">
        <v>0</v>
      </c>
      <c r="J31" s="416">
        <v>0</v>
      </c>
      <c r="K31" s="416">
        <v>0</v>
      </c>
      <c r="L31" s="416">
        <v>0</v>
      </c>
      <c r="M31" s="416">
        <v>0</v>
      </c>
      <c r="N31" s="416">
        <v>0</v>
      </c>
      <c r="O31" s="416">
        <v>0</v>
      </c>
      <c r="P31" s="416">
        <v>0</v>
      </c>
      <c r="W31" s="416" t="s">
        <v>17</v>
      </c>
      <c r="X31" s="416">
        <f>EG_PHWR_min[[#This Row],[2021]]</f>
        <v>0</v>
      </c>
      <c r="Y31" s="416">
        <f>EG_PHWR_min[[#This Row],[2022]]</f>
        <v>0</v>
      </c>
      <c r="Z31" s="416">
        <f>EG_PHWR_min[[#This Row],[2023]]</f>
        <v>0</v>
      </c>
      <c r="AA31" s="416">
        <f>EG_PHWR_min[[#This Row],[2024]]</f>
        <v>0</v>
      </c>
      <c r="AB31" s="416">
        <f>EG_PHWR_min[[#This Row],[2025]]</f>
        <v>0</v>
      </c>
      <c r="AC31" s="416">
        <f>EG_PHWR_min[[#This Row],[2026]]</f>
        <v>0</v>
      </c>
      <c r="AD31" s="416">
        <f>EG_PHWR_min[[#This Row],[2027]]</f>
        <v>0</v>
      </c>
      <c r="AE31" s="416">
        <f>EG_PHWR_min[[#This Row],[2028]]</f>
        <v>0</v>
      </c>
      <c r="AF31" s="416">
        <f>EG_PHWR_min[[#This Row],[2029]]</f>
        <v>0</v>
      </c>
      <c r="AG31" s="416">
        <f>EG_PHWR_min[[#This Row],[2030]]</f>
        <v>0</v>
      </c>
      <c r="AH31" s="416">
        <f>EG_PHWR_min[[#This Row],[2031]]</f>
        <v>0</v>
      </c>
    </row>
    <row r="32" spans="5:34">
      <c r="E32" s="416" t="s">
        <v>92</v>
      </c>
      <c r="F32" s="416">
        <v>0</v>
      </c>
      <c r="G32" s="416">
        <v>0</v>
      </c>
      <c r="H32" s="416">
        <v>0</v>
      </c>
      <c r="I32" s="416">
        <v>0</v>
      </c>
      <c r="J32" s="416">
        <v>0</v>
      </c>
      <c r="K32" s="416">
        <v>0</v>
      </c>
      <c r="L32" s="416">
        <v>0</v>
      </c>
      <c r="M32" s="416">
        <v>0</v>
      </c>
      <c r="N32" s="416">
        <v>0</v>
      </c>
      <c r="O32" s="416">
        <v>0</v>
      </c>
      <c r="P32" s="416">
        <v>0</v>
      </c>
      <c r="W32" s="416" t="s">
        <v>92</v>
      </c>
      <c r="X32" s="416">
        <f>EG_PHWR_min[[#This Row],[2021]]</f>
        <v>0</v>
      </c>
      <c r="Y32" s="416">
        <f>EG_PHWR_min[[#This Row],[2022]]</f>
        <v>0</v>
      </c>
      <c r="Z32" s="416">
        <f>EG_PHWR_min[[#This Row],[2023]]</f>
        <v>0</v>
      </c>
      <c r="AA32" s="416">
        <f>EG_PHWR_min[[#This Row],[2024]]</f>
        <v>0</v>
      </c>
      <c r="AB32" s="416">
        <f>EG_PHWR_min[[#This Row],[2025]]</f>
        <v>0</v>
      </c>
      <c r="AC32" s="416">
        <f>EG_PHWR_min[[#This Row],[2026]]</f>
        <v>0</v>
      </c>
      <c r="AD32" s="416">
        <f>EG_PHWR_min[[#This Row],[2027]]</f>
        <v>0</v>
      </c>
      <c r="AE32" s="416">
        <f>EG_PHWR_min[[#This Row],[2028]]</f>
        <v>0</v>
      </c>
      <c r="AF32" s="416">
        <f>EG_PHWR_min[[#This Row],[2029]]</f>
        <v>0</v>
      </c>
      <c r="AG32" s="416">
        <f>EG_PHWR_min[[#This Row],[2030]]</f>
        <v>0</v>
      </c>
      <c r="AH32" s="416">
        <f>EG_PHWR_min[[#This Row],[2031]]</f>
        <v>0</v>
      </c>
    </row>
    <row r="33" spans="1:37">
      <c r="E33" s="416" t="s">
        <v>93</v>
      </c>
      <c r="F33" s="416">
        <v>0</v>
      </c>
      <c r="G33" s="416">
        <v>0</v>
      </c>
      <c r="H33" s="416">
        <v>0</v>
      </c>
      <c r="I33" s="416">
        <v>0</v>
      </c>
      <c r="J33" s="416">
        <v>0</v>
      </c>
      <c r="K33" s="416">
        <v>0</v>
      </c>
      <c r="L33" s="416">
        <v>0</v>
      </c>
      <c r="M33" s="416">
        <v>0</v>
      </c>
      <c r="N33" s="416">
        <v>0</v>
      </c>
      <c r="O33" s="416">
        <v>0</v>
      </c>
      <c r="P33" s="416">
        <v>0</v>
      </c>
      <c r="W33" s="416" t="s">
        <v>93</v>
      </c>
      <c r="X33" s="416">
        <f>EG_PHWR_min[[#This Row],[2021]]</f>
        <v>0</v>
      </c>
      <c r="Y33" s="416">
        <f>EG_PHWR_min[[#This Row],[2022]]</f>
        <v>0</v>
      </c>
      <c r="Z33" s="416">
        <f>EG_PHWR_min[[#This Row],[2023]]</f>
        <v>0</v>
      </c>
      <c r="AA33" s="416">
        <f>EG_PHWR_min[[#This Row],[2024]]</f>
        <v>0</v>
      </c>
      <c r="AB33" s="416">
        <f>EG_PHWR_min[[#This Row],[2025]]</f>
        <v>0</v>
      </c>
      <c r="AC33" s="416">
        <f>EG_PHWR_min[[#This Row],[2026]]</f>
        <v>0</v>
      </c>
      <c r="AD33" s="416">
        <f>EG_PHWR_min[[#This Row],[2027]]</f>
        <v>0</v>
      </c>
      <c r="AE33" s="416">
        <f>EG_PHWR_min[[#This Row],[2028]]</f>
        <v>0</v>
      </c>
      <c r="AF33" s="416">
        <f>EG_PHWR_min[[#This Row],[2029]]</f>
        <v>0</v>
      </c>
      <c r="AG33" s="416">
        <f>EG_PHWR_min[[#This Row],[2030]]</f>
        <v>0</v>
      </c>
      <c r="AH33" s="416">
        <f>EG_PHWR_min[[#This Row],[2031]]</f>
        <v>0</v>
      </c>
    </row>
    <row r="35" spans="1:37">
      <c r="E35" s="39" t="s">
        <v>1248</v>
      </c>
      <c r="W35" s="335" t="s">
        <v>1247</v>
      </c>
    </row>
    <row r="36" spans="1:37" ht="39">
      <c r="E36" s="416" t="s">
        <v>658</v>
      </c>
      <c r="T36" s="636" t="s">
        <v>1939</v>
      </c>
      <c r="U36" s="346" t="s">
        <v>1257</v>
      </c>
      <c r="W36" s="416" t="s">
        <v>658</v>
      </c>
    </row>
    <row r="37" spans="1:37">
      <c r="E37" s="416" t="s">
        <v>621</v>
      </c>
      <c r="F37" s="416" t="s">
        <v>618</v>
      </c>
      <c r="G37" s="416" t="s">
        <v>619</v>
      </c>
      <c r="H37" s="416" t="s">
        <v>620</v>
      </c>
      <c r="I37" s="416" t="s">
        <v>660</v>
      </c>
      <c r="J37" s="416" t="s">
        <v>661</v>
      </c>
      <c r="K37" s="416" t="s">
        <v>662</v>
      </c>
      <c r="L37" s="416" t="s">
        <v>663</v>
      </c>
      <c r="M37" s="416" t="s">
        <v>664</v>
      </c>
      <c r="N37" s="416" t="s">
        <v>665</v>
      </c>
      <c r="O37" s="416" t="s">
        <v>666</v>
      </c>
      <c r="P37" s="416" t="s">
        <v>667</v>
      </c>
      <c r="T37" s="634"/>
      <c r="U37" s="346" t="s">
        <v>659</v>
      </c>
      <c r="W37" s="416" t="s">
        <v>621</v>
      </c>
      <c r="X37" s="416" t="s">
        <v>618</v>
      </c>
      <c r="Y37" s="416" t="s">
        <v>619</v>
      </c>
      <c r="Z37" s="416" t="s">
        <v>620</v>
      </c>
      <c r="AA37" s="416" t="s">
        <v>660</v>
      </c>
      <c r="AB37" s="416" t="s">
        <v>661</v>
      </c>
      <c r="AC37" s="416" t="s">
        <v>662</v>
      </c>
      <c r="AD37" s="416" t="s">
        <v>663</v>
      </c>
      <c r="AE37" s="416" t="s">
        <v>664</v>
      </c>
      <c r="AF37" s="416" t="s">
        <v>665</v>
      </c>
      <c r="AG37" s="416" t="s">
        <v>666</v>
      </c>
      <c r="AH37" s="416" t="s">
        <v>667</v>
      </c>
      <c r="AJ37" s="382"/>
      <c r="AK37" s="226"/>
    </row>
    <row r="38" spans="1:37">
      <c r="A38" s="230" t="s">
        <v>899</v>
      </c>
      <c r="E38" s="416" t="s">
        <v>14</v>
      </c>
      <c r="F38" s="416">
        <v>0</v>
      </c>
      <c r="G38" s="416">
        <v>0</v>
      </c>
      <c r="H38" s="416">
        <v>0</v>
      </c>
      <c r="I38" s="416">
        <v>0</v>
      </c>
      <c r="J38" s="416">
        <v>0</v>
      </c>
      <c r="K38" s="416">
        <v>0</v>
      </c>
      <c r="L38" s="416">
        <v>0</v>
      </c>
      <c r="M38" s="416">
        <v>0</v>
      </c>
      <c r="N38" s="416">
        <v>0</v>
      </c>
      <c r="O38" s="416">
        <v>0</v>
      </c>
      <c r="P38" s="416">
        <v>0</v>
      </c>
      <c r="T38" s="634">
        <f>VLOOKUP(EG_CCGT_max[[#This Row],[SubGeography2]],'MaxCapacity-Input'!$G$65:$L$90,4,FALSE)</f>
        <v>4.0699065435823738E-2</v>
      </c>
      <c r="U38" s="344">
        <v>5097.9059999999999</v>
      </c>
      <c r="V38" s="327">
        <f>U38/$U$63</f>
        <v>0.15797068198483749</v>
      </c>
      <c r="W38" s="416" t="s">
        <v>14</v>
      </c>
      <c r="X38" s="416">
        <f>EG_CCGT_min[[#This Row],[2021]]*(1+$T38)</f>
        <v>0</v>
      </c>
      <c r="Y38" s="416">
        <f>EG_CCGT_min[[#This Row],[2022]]*(1+$T38)</f>
        <v>0</v>
      </c>
      <c r="Z38" s="416">
        <f t="shared" ref="Z38:AH62" si="0">$V38*Z$63</f>
        <v>157.97068198483748</v>
      </c>
      <c r="AA38" s="416">
        <f t="shared" si="0"/>
        <v>157.97068198483748</v>
      </c>
      <c r="AB38" s="416">
        <f t="shared" si="0"/>
        <v>157.97068198483748</v>
      </c>
      <c r="AC38" s="416">
        <f t="shared" si="0"/>
        <v>157.97068198483748</v>
      </c>
      <c r="AD38" s="416">
        <f t="shared" si="0"/>
        <v>157.97068198483748</v>
      </c>
      <c r="AE38" s="416">
        <f t="shared" si="0"/>
        <v>157.97068198483748</v>
      </c>
      <c r="AF38" s="416">
        <f t="shared" si="0"/>
        <v>157.97068198483748</v>
      </c>
      <c r="AG38" s="416">
        <f t="shared" si="0"/>
        <v>157.97068198483748</v>
      </c>
      <c r="AH38" s="416">
        <f t="shared" si="0"/>
        <v>157.97068198483748</v>
      </c>
      <c r="AJ38" s="382"/>
      <c r="AK38" s="226"/>
    </row>
    <row r="39" spans="1:37">
      <c r="A39" s="416" t="s">
        <v>900</v>
      </c>
      <c r="E39" s="416" t="s">
        <v>90</v>
      </c>
      <c r="F39" s="416">
        <v>0</v>
      </c>
      <c r="G39" s="416">
        <v>0</v>
      </c>
      <c r="H39" s="416">
        <v>0</v>
      </c>
      <c r="I39" s="416">
        <v>0</v>
      </c>
      <c r="J39" s="416">
        <v>0</v>
      </c>
      <c r="K39" s="416">
        <v>0</v>
      </c>
      <c r="L39" s="416">
        <v>0</v>
      </c>
      <c r="M39" s="416">
        <v>0</v>
      </c>
      <c r="N39" s="416">
        <v>0</v>
      </c>
      <c r="O39" s="416">
        <v>0</v>
      </c>
      <c r="P39" s="416">
        <v>0</v>
      </c>
      <c r="T39" s="634">
        <f>VLOOKUP(EG_CCGT_max[[#This Row],[SubGeography2]],'MaxCapacity-Input'!$G$65:$L$90,4,FALSE)</f>
        <v>0</v>
      </c>
      <c r="U39" s="344">
        <v>1132.0999999999999</v>
      </c>
      <c r="V39" s="327">
        <f t="shared" ref="V39:V62" si="1">U39/$U$63</f>
        <v>3.508079769910126E-2</v>
      </c>
      <c r="W39" s="416" t="s">
        <v>90</v>
      </c>
      <c r="X39" s="416">
        <f>EG_CCGT_min[[#This Row],[2021]]*(1+$T39)</f>
        <v>0</v>
      </c>
      <c r="Y39" s="416">
        <f>EG_CCGT_min[[#This Row],[2022]]*(1+$T39)</f>
        <v>0</v>
      </c>
      <c r="Z39" s="416">
        <f t="shared" si="0"/>
        <v>35.080797699101261</v>
      </c>
      <c r="AA39" s="416">
        <f t="shared" si="0"/>
        <v>35.080797699101261</v>
      </c>
      <c r="AB39" s="416">
        <f t="shared" si="0"/>
        <v>35.080797699101261</v>
      </c>
      <c r="AC39" s="416">
        <f t="shared" si="0"/>
        <v>35.080797699101261</v>
      </c>
      <c r="AD39" s="416">
        <f t="shared" si="0"/>
        <v>35.080797699101261</v>
      </c>
      <c r="AE39" s="416">
        <f t="shared" si="0"/>
        <v>35.080797699101261</v>
      </c>
      <c r="AF39" s="416">
        <f t="shared" si="0"/>
        <v>35.080797699101261</v>
      </c>
      <c r="AG39" s="416">
        <f t="shared" si="0"/>
        <v>35.080797699101261</v>
      </c>
      <c r="AH39" s="416">
        <f t="shared" si="0"/>
        <v>35.080797699101261</v>
      </c>
      <c r="AJ39" s="382"/>
      <c r="AK39" s="226"/>
    </row>
    <row r="40" spans="1:37">
      <c r="A40" s="416" t="s">
        <v>901</v>
      </c>
      <c r="E40" s="416" t="s">
        <v>29</v>
      </c>
      <c r="F40" s="416">
        <v>0</v>
      </c>
      <c r="G40" s="416">
        <v>36.15</v>
      </c>
      <c r="H40" s="416">
        <v>0</v>
      </c>
      <c r="I40" s="416">
        <v>0</v>
      </c>
      <c r="J40" s="416">
        <v>0</v>
      </c>
      <c r="K40" s="416">
        <v>0</v>
      </c>
      <c r="L40" s="416">
        <v>0</v>
      </c>
      <c r="M40" s="416">
        <v>0</v>
      </c>
      <c r="N40" s="416">
        <v>0</v>
      </c>
      <c r="O40" s="416">
        <v>0</v>
      </c>
      <c r="P40" s="416">
        <v>0</v>
      </c>
      <c r="T40" s="634">
        <f>VLOOKUP(EG_CCGT_max[[#This Row],[SubGeography2]],'MaxCapacity-Input'!$G$65:$L$90,4,FALSE)</f>
        <v>0.57358086064937075</v>
      </c>
      <c r="U40" s="344">
        <v>1012.9140000000001</v>
      </c>
      <c r="V40" s="327">
        <f t="shared" si="1"/>
        <v>3.1387537426541351E-2</v>
      </c>
      <c r="W40" s="416" t="s">
        <v>29</v>
      </c>
      <c r="X40" s="416">
        <f>EG_CCGT_min[[#This Row],[2021]]*(1+$T40)</f>
        <v>0</v>
      </c>
      <c r="Y40" s="416">
        <f>EG_CCGT_min[[#This Row],[2022]]*(1+$T40)</f>
        <v>56.884948112474746</v>
      </c>
      <c r="Z40" s="416">
        <f t="shared" si="0"/>
        <v>31.38753742654135</v>
      </c>
      <c r="AA40" s="416">
        <f t="shared" si="0"/>
        <v>31.38753742654135</v>
      </c>
      <c r="AB40" s="416">
        <f t="shared" si="0"/>
        <v>31.38753742654135</v>
      </c>
      <c r="AC40" s="416">
        <f t="shared" si="0"/>
        <v>31.38753742654135</v>
      </c>
      <c r="AD40" s="416">
        <f t="shared" si="0"/>
        <v>31.38753742654135</v>
      </c>
      <c r="AE40" s="416">
        <f t="shared" si="0"/>
        <v>31.38753742654135</v>
      </c>
      <c r="AF40" s="416">
        <f t="shared" si="0"/>
        <v>31.38753742654135</v>
      </c>
      <c r="AG40" s="416">
        <f t="shared" si="0"/>
        <v>31.38753742654135</v>
      </c>
      <c r="AH40" s="416">
        <f t="shared" si="0"/>
        <v>31.38753742654135</v>
      </c>
      <c r="AJ40" s="382"/>
      <c r="AK40" s="226"/>
    </row>
    <row r="41" spans="1:37">
      <c r="A41" s="416" t="s">
        <v>902</v>
      </c>
      <c r="E41" s="416" t="s">
        <v>19</v>
      </c>
      <c r="F41" s="416">
        <v>0</v>
      </c>
      <c r="G41" s="416">
        <v>0</v>
      </c>
      <c r="H41" s="416">
        <v>0</v>
      </c>
      <c r="I41" s="416">
        <v>0</v>
      </c>
      <c r="J41" s="416">
        <v>0</v>
      </c>
      <c r="K41" s="416">
        <v>0</v>
      </c>
      <c r="L41" s="416">
        <v>0</v>
      </c>
      <c r="M41" s="416">
        <v>0</v>
      </c>
      <c r="N41" s="416">
        <v>0</v>
      </c>
      <c r="O41" s="416">
        <v>0</v>
      </c>
      <c r="P41" s="416">
        <v>0</v>
      </c>
      <c r="T41" s="634">
        <f>VLOOKUP(EG_CCGT_max[[#This Row],[SubGeography2]],'MaxCapacity-Input'!$G$65:$L$90,4,FALSE)</f>
        <v>0</v>
      </c>
      <c r="U41" s="344">
        <v>41.543999999999997</v>
      </c>
      <c r="V41" s="327">
        <f t="shared" si="1"/>
        <v>1.2873391569750577E-3</v>
      </c>
      <c r="W41" s="416" t="s">
        <v>19</v>
      </c>
      <c r="X41" s="416">
        <f>EG_CCGT_min[[#This Row],[2021]]*(1+$T41)</f>
        <v>0</v>
      </c>
      <c r="Y41" s="416">
        <f>EG_CCGT_min[[#This Row],[2022]]*(1+$T41)</f>
        <v>0</v>
      </c>
      <c r="Z41" s="416">
        <f t="shared" si="0"/>
        <v>1.2873391569750576</v>
      </c>
      <c r="AA41" s="416">
        <f t="shared" si="0"/>
        <v>1.2873391569750576</v>
      </c>
      <c r="AB41" s="416">
        <f t="shared" si="0"/>
        <v>1.2873391569750576</v>
      </c>
      <c r="AC41" s="416">
        <f t="shared" si="0"/>
        <v>1.2873391569750576</v>
      </c>
      <c r="AD41" s="416">
        <f t="shared" si="0"/>
        <v>1.2873391569750576</v>
      </c>
      <c r="AE41" s="416">
        <f t="shared" si="0"/>
        <v>1.2873391569750576</v>
      </c>
      <c r="AF41" s="416">
        <f t="shared" si="0"/>
        <v>1.2873391569750576</v>
      </c>
      <c r="AG41" s="416">
        <f t="shared" si="0"/>
        <v>1.2873391569750576</v>
      </c>
      <c r="AH41" s="416">
        <f t="shared" si="0"/>
        <v>1.2873391569750576</v>
      </c>
      <c r="AJ41" s="382"/>
      <c r="AK41" s="226"/>
    </row>
    <row r="42" spans="1:37">
      <c r="E42" s="416" t="s">
        <v>18</v>
      </c>
      <c r="F42" s="416">
        <v>0</v>
      </c>
      <c r="G42" s="416">
        <v>0</v>
      </c>
      <c r="H42" s="416">
        <v>0</v>
      </c>
      <c r="I42" s="416">
        <v>0</v>
      </c>
      <c r="J42" s="416">
        <v>0</v>
      </c>
      <c r="K42" s="416">
        <v>0</v>
      </c>
      <c r="L42" s="416">
        <v>0</v>
      </c>
      <c r="M42" s="416">
        <v>0</v>
      </c>
      <c r="N42" s="416">
        <v>0</v>
      </c>
      <c r="O42" s="416">
        <v>0</v>
      </c>
      <c r="P42" s="416">
        <v>0</v>
      </c>
      <c r="T42" s="634">
        <f>VLOOKUP(EG_CCGT_max[[#This Row],[SubGeography2]],'MaxCapacity-Input'!$G$65:$L$90,4,FALSE)</f>
        <v>0</v>
      </c>
      <c r="U42" s="344">
        <v>91.471999999999994</v>
      </c>
      <c r="V42" s="327">
        <f t="shared" si="1"/>
        <v>2.8344763953115364E-3</v>
      </c>
      <c r="W42" s="416" t="s">
        <v>18</v>
      </c>
      <c r="X42" s="416">
        <f>EG_CCGT_min[[#This Row],[2021]]*(1+$T42)</f>
        <v>0</v>
      </c>
      <c r="Y42" s="416">
        <f>EG_CCGT_min[[#This Row],[2022]]*(1+$T42)</f>
        <v>0</v>
      </c>
      <c r="Z42" s="416">
        <f t="shared" si="0"/>
        <v>2.8344763953115364</v>
      </c>
      <c r="AA42" s="416">
        <f t="shared" si="0"/>
        <v>2.8344763953115364</v>
      </c>
      <c r="AB42" s="416">
        <f t="shared" si="0"/>
        <v>2.8344763953115364</v>
      </c>
      <c r="AC42" s="416">
        <f t="shared" si="0"/>
        <v>2.8344763953115364</v>
      </c>
      <c r="AD42" s="416">
        <f t="shared" si="0"/>
        <v>2.8344763953115364</v>
      </c>
      <c r="AE42" s="416">
        <f t="shared" si="0"/>
        <v>2.8344763953115364</v>
      </c>
      <c r="AF42" s="416">
        <f t="shared" si="0"/>
        <v>2.8344763953115364</v>
      </c>
      <c r="AG42" s="416">
        <f t="shared" si="0"/>
        <v>2.8344763953115364</v>
      </c>
      <c r="AH42" s="416">
        <f t="shared" si="0"/>
        <v>2.8344763953115364</v>
      </c>
      <c r="AJ42" s="382"/>
      <c r="AK42" s="226"/>
    </row>
    <row r="43" spans="1:37">
      <c r="E43" s="416" t="s">
        <v>91</v>
      </c>
      <c r="F43" s="416">
        <v>0</v>
      </c>
      <c r="G43" s="416">
        <v>0</v>
      </c>
      <c r="H43" s="416">
        <v>0</v>
      </c>
      <c r="I43" s="416">
        <v>0</v>
      </c>
      <c r="J43" s="416">
        <v>0</v>
      </c>
      <c r="K43" s="416">
        <v>0</v>
      </c>
      <c r="L43" s="416">
        <v>0</v>
      </c>
      <c r="M43" s="416">
        <v>0</v>
      </c>
      <c r="N43" s="416">
        <v>0</v>
      </c>
      <c r="O43" s="416">
        <v>0</v>
      </c>
      <c r="P43" s="416">
        <v>0</v>
      </c>
      <c r="T43" s="634">
        <f>VLOOKUP(EG_CCGT_max[[#This Row],[SubGeography2]],'MaxCapacity-Input'!$G$65:$L$90,4,FALSE)</f>
        <v>1.7354166666666666</v>
      </c>
      <c r="U43" s="344">
        <v>131.30000000000001</v>
      </c>
      <c r="V43" s="327">
        <f t="shared" si="1"/>
        <v>4.0686412312445864E-3</v>
      </c>
      <c r="W43" s="416" t="s">
        <v>91</v>
      </c>
      <c r="X43" s="416">
        <f>EG_CCGT_min[[#This Row],[2021]]*(1+$T43)</f>
        <v>0</v>
      </c>
      <c r="Y43" s="416">
        <f>EG_CCGT_min[[#This Row],[2022]]*(1+$T43)</f>
        <v>0</v>
      </c>
      <c r="Z43" s="416">
        <f t="shared" si="0"/>
        <v>4.0686412312445865</v>
      </c>
      <c r="AA43" s="416">
        <f t="shared" si="0"/>
        <v>4.0686412312445865</v>
      </c>
      <c r="AB43" s="416">
        <f t="shared" si="0"/>
        <v>4.0686412312445865</v>
      </c>
      <c r="AC43" s="416">
        <f t="shared" si="0"/>
        <v>4.0686412312445865</v>
      </c>
      <c r="AD43" s="416">
        <f t="shared" si="0"/>
        <v>4.0686412312445865</v>
      </c>
      <c r="AE43" s="416">
        <f t="shared" si="0"/>
        <v>4.0686412312445865</v>
      </c>
      <c r="AF43" s="416">
        <f t="shared" si="0"/>
        <v>4.0686412312445865</v>
      </c>
      <c r="AG43" s="416">
        <f t="shared" si="0"/>
        <v>4.0686412312445865</v>
      </c>
      <c r="AH43" s="416">
        <f t="shared" si="0"/>
        <v>4.0686412312445865</v>
      </c>
      <c r="AJ43" s="382"/>
      <c r="AK43" s="226"/>
    </row>
    <row r="44" spans="1:37">
      <c r="E44" s="416" t="s">
        <v>8</v>
      </c>
      <c r="F44" s="416">
        <v>0</v>
      </c>
      <c r="G44" s="416">
        <v>0</v>
      </c>
      <c r="H44" s="416">
        <v>0</v>
      </c>
      <c r="I44" s="416">
        <v>0</v>
      </c>
      <c r="J44" s="416">
        <v>0</v>
      </c>
      <c r="K44" s="416">
        <v>0</v>
      </c>
      <c r="L44" s="416">
        <v>0</v>
      </c>
      <c r="M44" s="416">
        <v>0</v>
      </c>
      <c r="N44" s="416">
        <v>0</v>
      </c>
      <c r="O44" s="416">
        <v>0</v>
      </c>
      <c r="P44" s="416">
        <v>0</v>
      </c>
      <c r="T44" s="634">
        <f>VLOOKUP(EG_CCGT_max[[#This Row],[SubGeography2]],'MaxCapacity-Input'!$G$65:$L$90,4,FALSE)</f>
        <v>0.39219695394634907</v>
      </c>
      <c r="U44" s="344">
        <v>10513.05</v>
      </c>
      <c r="V44" s="327">
        <f t="shared" si="1"/>
        <v>0.32577173416706695</v>
      </c>
      <c r="W44" s="416" t="s">
        <v>8</v>
      </c>
      <c r="X44" s="416">
        <f>EG_CCGT_min[[#This Row],[2021]]*(1+$T44)</f>
        <v>0</v>
      </c>
      <c r="Y44" s="416">
        <f>EG_CCGT_min[[#This Row],[2022]]*(1+$T44)</f>
        <v>0</v>
      </c>
      <c r="Z44" s="416">
        <f t="shared" si="0"/>
        <v>325.77173416706694</v>
      </c>
      <c r="AA44" s="416">
        <f t="shared" si="0"/>
        <v>325.77173416706694</v>
      </c>
      <c r="AB44" s="416">
        <f t="shared" si="0"/>
        <v>325.77173416706694</v>
      </c>
      <c r="AC44" s="416">
        <f t="shared" si="0"/>
        <v>325.77173416706694</v>
      </c>
      <c r="AD44" s="416">
        <f t="shared" si="0"/>
        <v>325.77173416706694</v>
      </c>
      <c r="AE44" s="416">
        <f t="shared" si="0"/>
        <v>325.77173416706694</v>
      </c>
      <c r="AF44" s="416">
        <f t="shared" si="0"/>
        <v>325.77173416706694</v>
      </c>
      <c r="AG44" s="416">
        <f t="shared" si="0"/>
        <v>325.77173416706694</v>
      </c>
      <c r="AH44" s="416">
        <f t="shared" si="0"/>
        <v>325.77173416706694</v>
      </c>
      <c r="AJ44" s="382"/>
      <c r="AK44" s="226"/>
    </row>
    <row r="45" spans="1:37">
      <c r="E45" s="416" t="s">
        <v>5</v>
      </c>
      <c r="F45" s="416">
        <v>0</v>
      </c>
      <c r="G45" s="416">
        <v>0</v>
      </c>
      <c r="H45" s="416">
        <v>0</v>
      </c>
      <c r="I45" s="416">
        <v>0</v>
      </c>
      <c r="J45" s="416">
        <v>0</v>
      </c>
      <c r="K45" s="416">
        <v>0</v>
      </c>
      <c r="L45" s="416">
        <v>0</v>
      </c>
      <c r="M45" s="416">
        <v>0</v>
      </c>
      <c r="N45" s="416">
        <v>0</v>
      </c>
      <c r="O45" s="416">
        <v>0</v>
      </c>
      <c r="P45" s="416">
        <v>0</v>
      </c>
      <c r="T45" s="634">
        <f>VLOOKUP(EG_CCGT_max[[#This Row],[SubGeography2]],'MaxCapacity-Input'!$G$65:$L$90,4,FALSE)</f>
        <v>1.097377140341528</v>
      </c>
      <c r="U45" s="344">
        <v>905.20699999999999</v>
      </c>
      <c r="V45" s="327">
        <f t="shared" si="1"/>
        <v>2.8049981134891225E-2</v>
      </c>
      <c r="W45" s="416" t="s">
        <v>5</v>
      </c>
      <c r="X45" s="416">
        <f>EG_CCGT_min[[#This Row],[2021]]*(1+$T45)</f>
        <v>0</v>
      </c>
      <c r="Y45" s="416">
        <f>EG_CCGT_min[[#This Row],[2022]]*(1+$T45)</f>
        <v>0</v>
      </c>
      <c r="Z45" s="416">
        <f t="shared" si="0"/>
        <v>28.049981134891226</v>
      </c>
      <c r="AA45" s="416">
        <f t="shared" si="0"/>
        <v>28.049981134891226</v>
      </c>
      <c r="AB45" s="416">
        <f t="shared" si="0"/>
        <v>28.049981134891226</v>
      </c>
      <c r="AC45" s="416">
        <f t="shared" si="0"/>
        <v>28.049981134891226</v>
      </c>
      <c r="AD45" s="416">
        <f t="shared" si="0"/>
        <v>28.049981134891226</v>
      </c>
      <c r="AE45" s="416">
        <f t="shared" si="0"/>
        <v>28.049981134891226</v>
      </c>
      <c r="AF45" s="416">
        <f t="shared" si="0"/>
        <v>28.049981134891226</v>
      </c>
      <c r="AG45" s="416">
        <f t="shared" si="0"/>
        <v>28.049981134891226</v>
      </c>
      <c r="AH45" s="416">
        <f t="shared" si="0"/>
        <v>28.049981134891226</v>
      </c>
      <c r="AJ45" s="382"/>
      <c r="AK45" s="226"/>
    </row>
    <row r="46" spans="1:37">
      <c r="E46" s="416" t="s">
        <v>88</v>
      </c>
      <c r="F46" s="416">
        <v>0</v>
      </c>
      <c r="G46" s="416">
        <v>0</v>
      </c>
      <c r="H46" s="416">
        <v>0</v>
      </c>
      <c r="I46" s="416">
        <v>0</v>
      </c>
      <c r="J46" s="416">
        <v>0</v>
      </c>
      <c r="K46" s="416">
        <v>0</v>
      </c>
      <c r="L46" s="416">
        <v>0</v>
      </c>
      <c r="M46" s="416">
        <v>0</v>
      </c>
      <c r="N46" s="416">
        <v>0</v>
      </c>
      <c r="O46" s="416">
        <v>0</v>
      </c>
      <c r="P46" s="416">
        <v>0</v>
      </c>
      <c r="T46" s="634">
        <f>VLOOKUP(EG_CCGT_max[[#This Row],[SubGeography2]],'MaxCapacity-Input'!$G$65:$L$90,4,FALSE)</f>
        <v>0</v>
      </c>
      <c r="U46" s="344">
        <v>0</v>
      </c>
      <c r="V46" s="327">
        <f t="shared" si="1"/>
        <v>0</v>
      </c>
      <c r="W46" s="416" t="s">
        <v>88</v>
      </c>
      <c r="X46" s="416">
        <f>EG_CCGT_min[[#This Row],[2021]]*(1+$T46)</f>
        <v>0</v>
      </c>
      <c r="Y46" s="416">
        <f>EG_CCGT_min[[#This Row],[2022]]*(1+$T46)</f>
        <v>0</v>
      </c>
      <c r="Z46" s="416">
        <f t="shared" si="0"/>
        <v>0</v>
      </c>
      <c r="AA46" s="416">
        <f t="shared" si="0"/>
        <v>0</v>
      </c>
      <c r="AB46" s="416">
        <f t="shared" si="0"/>
        <v>0</v>
      </c>
      <c r="AC46" s="416">
        <f t="shared" si="0"/>
        <v>0</v>
      </c>
      <c r="AD46" s="416">
        <f t="shared" si="0"/>
        <v>0</v>
      </c>
      <c r="AE46" s="416">
        <f t="shared" si="0"/>
        <v>0</v>
      </c>
      <c r="AF46" s="416">
        <f t="shared" si="0"/>
        <v>0</v>
      </c>
      <c r="AG46" s="416">
        <f t="shared" si="0"/>
        <v>0</v>
      </c>
      <c r="AH46" s="416">
        <f t="shared" si="0"/>
        <v>0</v>
      </c>
      <c r="AJ46" s="382"/>
      <c r="AK46" s="226"/>
    </row>
    <row r="47" spans="1:37">
      <c r="E47" s="416" t="s">
        <v>89</v>
      </c>
      <c r="F47" s="416">
        <v>0</v>
      </c>
      <c r="G47" s="416">
        <v>0</v>
      </c>
      <c r="H47" s="416">
        <v>0</v>
      </c>
      <c r="I47" s="416">
        <v>0</v>
      </c>
      <c r="J47" s="416">
        <v>0</v>
      </c>
      <c r="K47" s="416">
        <v>0</v>
      </c>
      <c r="L47" s="416">
        <v>0</v>
      </c>
      <c r="M47" s="416">
        <v>0</v>
      </c>
      <c r="N47" s="416">
        <v>0</v>
      </c>
      <c r="O47" s="416">
        <v>0</v>
      </c>
      <c r="P47" s="416">
        <v>0</v>
      </c>
      <c r="T47" s="634">
        <f>VLOOKUP(EG_CCGT_max[[#This Row],[SubGeography2]],'MaxCapacity-Input'!$G$65:$L$90,4,FALSE)</f>
        <v>0</v>
      </c>
      <c r="U47" s="344">
        <v>175</v>
      </c>
      <c r="V47" s="327">
        <f t="shared" si="1"/>
        <v>5.422789150554475E-3</v>
      </c>
      <c r="W47" s="416" t="s">
        <v>89</v>
      </c>
      <c r="X47" s="416">
        <f>EG_CCGT_min[[#This Row],[2021]]*(1+$T47)</f>
        <v>0</v>
      </c>
      <c r="Y47" s="416">
        <f>EG_CCGT_min[[#This Row],[2022]]*(1+$T47)</f>
        <v>0</v>
      </c>
      <c r="Z47" s="416">
        <f t="shared" si="0"/>
        <v>5.4227891505544754</v>
      </c>
      <c r="AA47" s="416">
        <f t="shared" si="0"/>
        <v>5.4227891505544754</v>
      </c>
      <c r="AB47" s="416">
        <f t="shared" si="0"/>
        <v>5.4227891505544754</v>
      </c>
      <c r="AC47" s="416">
        <f t="shared" si="0"/>
        <v>5.4227891505544754</v>
      </c>
      <c r="AD47" s="416">
        <f t="shared" si="0"/>
        <v>5.4227891505544754</v>
      </c>
      <c r="AE47" s="416">
        <f t="shared" si="0"/>
        <v>5.4227891505544754</v>
      </c>
      <c r="AF47" s="416">
        <f t="shared" si="0"/>
        <v>5.4227891505544754</v>
      </c>
      <c r="AG47" s="416">
        <f t="shared" si="0"/>
        <v>5.4227891505544754</v>
      </c>
      <c r="AH47" s="416">
        <f t="shared" si="0"/>
        <v>5.4227891505544754</v>
      </c>
      <c r="AJ47" s="382"/>
      <c r="AK47" s="226"/>
    </row>
    <row r="48" spans="1:37">
      <c r="E48" s="416" t="s">
        <v>20</v>
      </c>
      <c r="F48" s="416">
        <v>0</v>
      </c>
      <c r="G48" s="416">
        <v>0</v>
      </c>
      <c r="H48" s="416">
        <v>0</v>
      </c>
      <c r="I48" s="416">
        <v>0</v>
      </c>
      <c r="J48" s="416">
        <v>0</v>
      </c>
      <c r="K48" s="416">
        <v>0</v>
      </c>
      <c r="L48" s="416">
        <v>0</v>
      </c>
      <c r="M48" s="416">
        <v>0</v>
      </c>
      <c r="N48" s="416">
        <v>0</v>
      </c>
      <c r="O48" s="416">
        <v>0</v>
      </c>
      <c r="P48" s="416">
        <v>0</v>
      </c>
      <c r="T48" s="634">
        <f>VLOOKUP(EG_CCGT_max[[#This Row],[SubGeography2]],'MaxCapacity-Input'!$G$65:$L$90,4,FALSE)</f>
        <v>0</v>
      </c>
      <c r="U48" s="344">
        <v>102</v>
      </c>
      <c r="V48" s="327">
        <f t="shared" si="1"/>
        <v>3.1607113906088938E-3</v>
      </c>
      <c r="W48" s="416" t="s">
        <v>20</v>
      </c>
      <c r="X48" s="416">
        <f>EG_CCGT_min[[#This Row],[2021]]*(1+$T48)</f>
        <v>0</v>
      </c>
      <c r="Y48" s="416">
        <f>EG_CCGT_min[[#This Row],[2022]]*(1+$T48)</f>
        <v>0</v>
      </c>
      <c r="Z48" s="416">
        <f t="shared" si="0"/>
        <v>3.1607113906088937</v>
      </c>
      <c r="AA48" s="416">
        <f t="shared" si="0"/>
        <v>3.1607113906088937</v>
      </c>
      <c r="AB48" s="416">
        <f t="shared" si="0"/>
        <v>3.1607113906088937</v>
      </c>
      <c r="AC48" s="416">
        <f t="shared" si="0"/>
        <v>3.1607113906088937</v>
      </c>
      <c r="AD48" s="416">
        <f t="shared" si="0"/>
        <v>3.1607113906088937</v>
      </c>
      <c r="AE48" s="416">
        <f t="shared" si="0"/>
        <v>3.1607113906088937</v>
      </c>
      <c r="AF48" s="416">
        <f t="shared" si="0"/>
        <v>3.1607113906088937</v>
      </c>
      <c r="AG48" s="416">
        <f t="shared" si="0"/>
        <v>3.1607113906088937</v>
      </c>
      <c r="AH48" s="416">
        <f t="shared" si="0"/>
        <v>3.1607113906088937</v>
      </c>
      <c r="AJ48" s="382"/>
      <c r="AK48" s="226"/>
    </row>
    <row r="49" spans="5:37">
      <c r="E49" s="416" t="s">
        <v>11</v>
      </c>
      <c r="F49" s="416">
        <v>0</v>
      </c>
      <c r="G49" s="416">
        <v>370</v>
      </c>
      <c r="H49" s="416">
        <v>0</v>
      </c>
      <c r="I49" s="416">
        <v>0</v>
      </c>
      <c r="J49" s="416">
        <v>0</v>
      </c>
      <c r="K49" s="416">
        <v>0</v>
      </c>
      <c r="L49" s="416">
        <v>0</v>
      </c>
      <c r="M49" s="416">
        <v>0</v>
      </c>
      <c r="N49" s="416">
        <v>0</v>
      </c>
      <c r="O49" s="416">
        <v>0</v>
      </c>
      <c r="P49" s="416">
        <v>0</v>
      </c>
      <c r="T49" s="634">
        <f>VLOOKUP(EG_CCGT_max[[#This Row],[SubGeography2]],'MaxCapacity-Input'!$G$65:$L$90,4,FALSE)</f>
        <v>0</v>
      </c>
      <c r="U49" s="344">
        <v>506.90000000000003</v>
      </c>
      <c r="V49" s="327">
        <f t="shared" si="1"/>
        <v>1.5707496116663219E-2</v>
      </c>
      <c r="W49" s="416" t="s">
        <v>11</v>
      </c>
      <c r="X49" s="416">
        <f>EG_CCGT_min[[#This Row],[2021]]*(1+$T49)</f>
        <v>0</v>
      </c>
      <c r="Y49" s="416">
        <f>EG_CCGT_min[[#This Row],[2022]]*(1+$T49)</f>
        <v>370</v>
      </c>
      <c r="Z49" s="416">
        <f t="shared" si="0"/>
        <v>15.707496116663219</v>
      </c>
      <c r="AA49" s="416">
        <f t="shared" si="0"/>
        <v>15.707496116663219</v>
      </c>
      <c r="AB49" s="416">
        <f t="shared" si="0"/>
        <v>15.707496116663219</v>
      </c>
      <c r="AC49" s="416">
        <f t="shared" si="0"/>
        <v>15.707496116663219</v>
      </c>
      <c r="AD49" s="416">
        <f t="shared" si="0"/>
        <v>15.707496116663219</v>
      </c>
      <c r="AE49" s="416">
        <f t="shared" si="0"/>
        <v>15.707496116663219</v>
      </c>
      <c r="AF49" s="416">
        <f t="shared" si="0"/>
        <v>15.707496116663219</v>
      </c>
      <c r="AG49" s="416">
        <f t="shared" si="0"/>
        <v>15.707496116663219</v>
      </c>
      <c r="AH49" s="416">
        <f t="shared" si="0"/>
        <v>15.707496116663219</v>
      </c>
      <c r="AJ49" s="382"/>
      <c r="AK49" s="226"/>
    </row>
    <row r="50" spans="5:37">
      <c r="E50" s="416" t="s">
        <v>12</v>
      </c>
      <c r="F50" s="416">
        <v>0</v>
      </c>
      <c r="G50" s="416">
        <v>0</v>
      </c>
      <c r="H50" s="416">
        <v>0</v>
      </c>
      <c r="I50" s="416">
        <v>0</v>
      </c>
      <c r="J50" s="416">
        <v>0</v>
      </c>
      <c r="K50" s="416">
        <v>0</v>
      </c>
      <c r="L50" s="416">
        <v>0</v>
      </c>
      <c r="M50" s="416">
        <v>0</v>
      </c>
      <c r="N50" s="416">
        <v>0</v>
      </c>
      <c r="O50" s="416">
        <v>0</v>
      </c>
      <c r="P50" s="416">
        <v>0</v>
      </c>
      <c r="T50" s="634">
        <f>VLOOKUP(EG_CCGT_max[[#This Row],[SubGeography2]],'MaxCapacity-Input'!$G$65:$L$90,4,FALSE)</f>
        <v>0.36635556055324409</v>
      </c>
      <c r="U50" s="344">
        <v>729.06000000000006</v>
      </c>
      <c r="V50" s="327">
        <f t="shared" si="1"/>
        <v>2.2591649474875689E-2</v>
      </c>
      <c r="W50" s="416" t="s">
        <v>12</v>
      </c>
      <c r="X50" s="416">
        <f>EG_CCGT_min[[#This Row],[2021]]*(1+$T50)</f>
        <v>0</v>
      </c>
      <c r="Y50" s="416">
        <f>EG_CCGT_min[[#This Row],[2022]]*(1+$T50)</f>
        <v>0</v>
      </c>
      <c r="Z50" s="416">
        <f t="shared" si="0"/>
        <v>22.591649474875688</v>
      </c>
      <c r="AA50" s="416">
        <f t="shared" si="0"/>
        <v>22.591649474875688</v>
      </c>
      <c r="AB50" s="416">
        <f t="shared" si="0"/>
        <v>22.591649474875688</v>
      </c>
      <c r="AC50" s="416">
        <f t="shared" si="0"/>
        <v>22.591649474875688</v>
      </c>
      <c r="AD50" s="416">
        <f t="shared" si="0"/>
        <v>22.591649474875688</v>
      </c>
      <c r="AE50" s="416">
        <f t="shared" si="0"/>
        <v>22.591649474875688</v>
      </c>
      <c r="AF50" s="416">
        <f t="shared" si="0"/>
        <v>22.591649474875688</v>
      </c>
      <c r="AG50" s="416">
        <f t="shared" si="0"/>
        <v>22.591649474875688</v>
      </c>
      <c r="AH50" s="416">
        <f t="shared" si="0"/>
        <v>22.591649474875688</v>
      </c>
      <c r="AJ50" s="382"/>
      <c r="AK50" s="226"/>
    </row>
    <row r="51" spans="5:37">
      <c r="E51" s="416" t="s">
        <v>9</v>
      </c>
      <c r="F51" s="416">
        <v>0</v>
      </c>
      <c r="G51" s="416">
        <v>0</v>
      </c>
      <c r="H51" s="416">
        <v>0</v>
      </c>
      <c r="I51" s="416">
        <v>0</v>
      </c>
      <c r="J51" s="416">
        <v>0</v>
      </c>
      <c r="K51" s="416">
        <v>0</v>
      </c>
      <c r="L51" s="416">
        <v>0</v>
      </c>
      <c r="M51" s="416">
        <v>0</v>
      </c>
      <c r="N51" s="416">
        <v>0</v>
      </c>
      <c r="O51" s="416">
        <v>0</v>
      </c>
      <c r="P51" s="416">
        <v>0</v>
      </c>
      <c r="T51" s="634">
        <f>VLOOKUP(EG_CCGT_max[[#This Row],[SubGeography2]],'MaxCapacity-Input'!$G$65:$L$90,4,FALSE)</f>
        <v>0</v>
      </c>
      <c r="U51" s="344">
        <v>164.35599999999999</v>
      </c>
      <c r="V51" s="327">
        <f t="shared" si="1"/>
        <v>5.092959620734464E-3</v>
      </c>
      <c r="W51" s="416" t="s">
        <v>9</v>
      </c>
      <c r="X51" s="416">
        <f>EG_CCGT_min[[#This Row],[2021]]*(1+$T51)</f>
        <v>0</v>
      </c>
      <c r="Y51" s="416">
        <f>EG_CCGT_min[[#This Row],[2022]]*(1+$T51)</f>
        <v>0</v>
      </c>
      <c r="Z51" s="416">
        <f t="shared" si="0"/>
        <v>5.0929596207344643</v>
      </c>
      <c r="AA51" s="416">
        <f t="shared" si="0"/>
        <v>5.0929596207344643</v>
      </c>
      <c r="AB51" s="416">
        <f t="shared" si="0"/>
        <v>5.0929596207344643</v>
      </c>
      <c r="AC51" s="416">
        <f t="shared" si="0"/>
        <v>5.0929596207344643</v>
      </c>
      <c r="AD51" s="416">
        <f t="shared" si="0"/>
        <v>5.0929596207344643</v>
      </c>
      <c r="AE51" s="416">
        <f t="shared" si="0"/>
        <v>5.0929596207344643</v>
      </c>
      <c r="AF51" s="416">
        <f t="shared" si="0"/>
        <v>5.0929596207344643</v>
      </c>
      <c r="AG51" s="416">
        <f t="shared" si="0"/>
        <v>5.0929596207344643</v>
      </c>
      <c r="AH51" s="416">
        <f t="shared" si="0"/>
        <v>5.0929596207344643</v>
      </c>
      <c r="AJ51" s="382"/>
      <c r="AK51" s="226"/>
    </row>
    <row r="52" spans="5:37">
      <c r="E52" s="416" t="s">
        <v>10</v>
      </c>
      <c r="F52" s="416">
        <v>0</v>
      </c>
      <c r="G52" s="416">
        <v>0</v>
      </c>
      <c r="H52" s="416">
        <v>0</v>
      </c>
      <c r="I52" s="416">
        <v>0</v>
      </c>
      <c r="J52" s="416">
        <v>0</v>
      </c>
      <c r="K52" s="416">
        <v>0</v>
      </c>
      <c r="L52" s="416">
        <v>0</v>
      </c>
      <c r="M52" s="416">
        <v>0</v>
      </c>
      <c r="N52" s="416">
        <v>0</v>
      </c>
      <c r="O52" s="416">
        <v>0</v>
      </c>
      <c r="P52" s="416">
        <v>0</v>
      </c>
      <c r="T52" s="634">
        <f>VLOOKUP(EG_CCGT_max[[#This Row],[SubGeography2]],'MaxCapacity-Input'!$G$65:$L$90,4,FALSE)</f>
        <v>0.21939458947079588</v>
      </c>
      <c r="U52" s="344">
        <v>3910.6959999999999</v>
      </c>
      <c r="V52" s="327">
        <f t="shared" si="1"/>
        <v>0.12118217051381018</v>
      </c>
      <c r="W52" s="416" t="s">
        <v>10</v>
      </c>
      <c r="X52" s="416">
        <f>EG_CCGT_min[[#This Row],[2021]]*(1+$T52)</f>
        <v>0</v>
      </c>
      <c r="Y52" s="416">
        <f>EG_CCGT_min[[#This Row],[2022]]*(1+$T52)</f>
        <v>0</v>
      </c>
      <c r="Z52" s="416">
        <f t="shared" si="0"/>
        <v>121.18217051381018</v>
      </c>
      <c r="AA52" s="416">
        <f t="shared" si="0"/>
        <v>121.18217051381018</v>
      </c>
      <c r="AB52" s="416">
        <f t="shared" si="0"/>
        <v>121.18217051381018</v>
      </c>
      <c r="AC52" s="416">
        <f t="shared" si="0"/>
        <v>121.18217051381018</v>
      </c>
      <c r="AD52" s="416">
        <f t="shared" si="0"/>
        <v>121.18217051381018</v>
      </c>
      <c r="AE52" s="416">
        <f t="shared" si="0"/>
        <v>121.18217051381018</v>
      </c>
      <c r="AF52" s="416">
        <f t="shared" si="0"/>
        <v>121.18217051381018</v>
      </c>
      <c r="AG52" s="416">
        <f t="shared" si="0"/>
        <v>121.18217051381018</v>
      </c>
      <c r="AH52" s="416">
        <f t="shared" si="0"/>
        <v>121.18217051381018</v>
      </c>
      <c r="AJ52" s="382"/>
      <c r="AK52" s="226"/>
    </row>
    <row r="53" spans="5:37">
      <c r="E53" s="416" t="s">
        <v>16</v>
      </c>
      <c r="F53" s="416">
        <v>0</v>
      </c>
      <c r="G53" s="416">
        <v>0</v>
      </c>
      <c r="H53" s="416">
        <v>0</v>
      </c>
      <c r="I53" s="416">
        <v>0</v>
      </c>
      <c r="J53" s="416">
        <v>0</v>
      </c>
      <c r="K53" s="416">
        <v>0</v>
      </c>
      <c r="L53" s="416">
        <v>0</v>
      </c>
      <c r="M53" s="416">
        <v>0</v>
      </c>
      <c r="N53" s="416">
        <v>0</v>
      </c>
      <c r="O53" s="416">
        <v>0</v>
      </c>
      <c r="P53" s="416">
        <v>0</v>
      </c>
      <c r="T53" s="634">
        <f>VLOOKUP(EG_CCGT_max[[#This Row],[SubGeography2]],'MaxCapacity-Input'!$G$65:$L$90,4,FALSE)</f>
        <v>0</v>
      </c>
      <c r="U53" s="344">
        <v>373</v>
      </c>
      <c r="V53" s="327">
        <f t="shared" si="1"/>
        <v>1.155828773232468E-2</v>
      </c>
      <c r="W53" s="416" t="s">
        <v>16</v>
      </c>
      <c r="X53" s="416">
        <f>EG_CCGT_min[[#This Row],[2021]]*(1+$T53)</f>
        <v>0</v>
      </c>
      <c r="Y53" s="416">
        <f>EG_CCGT_min[[#This Row],[2022]]*(1+$T53)</f>
        <v>0</v>
      </c>
      <c r="Z53" s="416">
        <f t="shared" si="0"/>
        <v>11.558287732324681</v>
      </c>
      <c r="AA53" s="416">
        <f t="shared" si="0"/>
        <v>11.558287732324681</v>
      </c>
      <c r="AB53" s="416">
        <f t="shared" si="0"/>
        <v>11.558287732324681</v>
      </c>
      <c r="AC53" s="416">
        <f t="shared" si="0"/>
        <v>11.558287732324681</v>
      </c>
      <c r="AD53" s="416">
        <f t="shared" si="0"/>
        <v>11.558287732324681</v>
      </c>
      <c r="AE53" s="416">
        <f t="shared" si="0"/>
        <v>11.558287732324681</v>
      </c>
      <c r="AF53" s="416">
        <f t="shared" si="0"/>
        <v>11.558287732324681</v>
      </c>
      <c r="AG53" s="416">
        <f t="shared" si="0"/>
        <v>11.558287732324681</v>
      </c>
      <c r="AH53" s="416">
        <f t="shared" si="0"/>
        <v>11.558287732324681</v>
      </c>
      <c r="AJ53" s="382"/>
      <c r="AK53" s="226"/>
    </row>
    <row r="54" spans="5:37">
      <c r="E54" s="416" t="s">
        <v>1</v>
      </c>
      <c r="F54" s="416">
        <v>0</v>
      </c>
      <c r="G54" s="416">
        <v>0</v>
      </c>
      <c r="H54" s="416">
        <v>0</v>
      </c>
      <c r="I54" s="416">
        <v>0</v>
      </c>
      <c r="J54" s="416">
        <v>0</v>
      </c>
      <c r="K54" s="416">
        <v>0</v>
      </c>
      <c r="L54" s="416">
        <v>0</v>
      </c>
      <c r="M54" s="416">
        <v>0</v>
      </c>
      <c r="N54" s="416">
        <v>0</v>
      </c>
      <c r="O54" s="416">
        <v>0</v>
      </c>
      <c r="P54" s="416">
        <v>0</v>
      </c>
      <c r="T54" s="634">
        <f>VLOOKUP(EG_CCGT_max[[#This Row],[SubGeography2]],'MaxCapacity-Input'!$G$65:$L$90,4,FALSE)</f>
        <v>0</v>
      </c>
      <c r="U54" s="344">
        <v>75.242000000000004</v>
      </c>
      <c r="V54" s="327">
        <f t="shared" si="1"/>
        <v>2.3315514358058275E-3</v>
      </c>
      <c r="W54" s="416" t="s">
        <v>1</v>
      </c>
      <c r="X54" s="416">
        <f>EG_CCGT_min[[#This Row],[2021]]*(1+$T54)</f>
        <v>0</v>
      </c>
      <c r="Y54" s="416">
        <f>EG_CCGT_min[[#This Row],[2022]]*(1+$T54)</f>
        <v>0</v>
      </c>
      <c r="Z54" s="416">
        <f t="shared" si="0"/>
        <v>2.3315514358058276</v>
      </c>
      <c r="AA54" s="416">
        <f t="shared" si="0"/>
        <v>2.3315514358058276</v>
      </c>
      <c r="AB54" s="416">
        <f t="shared" si="0"/>
        <v>2.3315514358058276</v>
      </c>
      <c r="AC54" s="416">
        <f t="shared" si="0"/>
        <v>2.3315514358058276</v>
      </c>
      <c r="AD54" s="416">
        <f t="shared" si="0"/>
        <v>2.3315514358058276</v>
      </c>
      <c r="AE54" s="416">
        <f t="shared" si="0"/>
        <v>2.3315514358058276</v>
      </c>
      <c r="AF54" s="416">
        <f t="shared" si="0"/>
        <v>2.3315514358058276</v>
      </c>
      <c r="AG54" s="416">
        <f t="shared" si="0"/>
        <v>2.3315514358058276</v>
      </c>
      <c r="AH54" s="416">
        <f t="shared" si="0"/>
        <v>2.3315514358058276</v>
      </c>
      <c r="AJ54" s="382"/>
      <c r="AK54" s="226"/>
    </row>
    <row r="55" spans="5:37">
      <c r="E55" s="416" t="s">
        <v>6</v>
      </c>
      <c r="F55" s="416">
        <v>0</v>
      </c>
      <c r="G55" s="416">
        <v>0</v>
      </c>
      <c r="H55" s="416">
        <v>0</v>
      </c>
      <c r="I55" s="416">
        <v>0</v>
      </c>
      <c r="J55" s="416">
        <v>0</v>
      </c>
      <c r="K55" s="416">
        <v>0</v>
      </c>
      <c r="L55" s="416">
        <v>0</v>
      </c>
      <c r="M55" s="416">
        <v>0</v>
      </c>
      <c r="N55" s="416">
        <v>0</v>
      </c>
      <c r="O55" s="416">
        <v>0</v>
      </c>
      <c r="P55" s="416">
        <v>0</v>
      </c>
      <c r="T55" s="634">
        <f>VLOOKUP(EG_CCGT_max[[#This Row],[SubGeography2]],'MaxCapacity-Input'!$G$65:$L$90,4,FALSE)</f>
        <v>9.9008923597196846E-2</v>
      </c>
      <c r="U55" s="344">
        <v>1124.4290000000001</v>
      </c>
      <c r="V55" s="327">
        <f t="shared" si="1"/>
        <v>3.4843093610107533E-2</v>
      </c>
      <c r="W55" s="416" t="s">
        <v>6</v>
      </c>
      <c r="X55" s="416">
        <f>EG_CCGT_min[[#This Row],[2021]]*(1+$T55)</f>
        <v>0</v>
      </c>
      <c r="Y55" s="416">
        <f>EG_CCGT_min[[#This Row],[2022]]*(1+$T55)</f>
        <v>0</v>
      </c>
      <c r="Z55" s="416">
        <f t="shared" si="0"/>
        <v>34.84309361010753</v>
      </c>
      <c r="AA55" s="416">
        <f t="shared" si="0"/>
        <v>34.84309361010753</v>
      </c>
      <c r="AB55" s="416">
        <f t="shared" si="0"/>
        <v>34.84309361010753</v>
      </c>
      <c r="AC55" s="416">
        <f t="shared" si="0"/>
        <v>34.84309361010753</v>
      </c>
      <c r="AD55" s="416">
        <f t="shared" si="0"/>
        <v>34.84309361010753</v>
      </c>
      <c r="AE55" s="416">
        <f t="shared" si="0"/>
        <v>34.84309361010753</v>
      </c>
      <c r="AF55" s="416">
        <f t="shared" si="0"/>
        <v>34.84309361010753</v>
      </c>
      <c r="AG55" s="416">
        <f t="shared" si="0"/>
        <v>34.84309361010753</v>
      </c>
      <c r="AH55" s="416">
        <f t="shared" si="0"/>
        <v>34.84309361010753</v>
      </c>
      <c r="AJ55" s="382"/>
      <c r="AK55" s="226"/>
    </row>
    <row r="56" spans="5:37">
      <c r="E56" s="416" t="s">
        <v>13</v>
      </c>
      <c r="F56" s="416">
        <v>0</v>
      </c>
      <c r="G56" s="416">
        <v>0</v>
      </c>
      <c r="H56" s="416">
        <v>0</v>
      </c>
      <c r="I56" s="416">
        <v>0</v>
      </c>
      <c r="J56" s="416">
        <v>0</v>
      </c>
      <c r="K56" s="416">
        <v>0</v>
      </c>
      <c r="L56" s="416">
        <v>0</v>
      </c>
      <c r="M56" s="416">
        <v>0</v>
      </c>
      <c r="N56" s="416">
        <v>0</v>
      </c>
      <c r="O56" s="416">
        <v>0</v>
      </c>
      <c r="P56" s="416">
        <v>0</v>
      </c>
      <c r="T56" s="634">
        <f>VLOOKUP(EG_CCGT_max[[#This Row],[SubGeography2]],'MaxCapacity-Input'!$G$65:$L$90,4,FALSE)</f>
        <v>0.28960552191436745</v>
      </c>
      <c r="U56" s="344">
        <v>1324.6570000000002</v>
      </c>
      <c r="V56" s="327">
        <f t="shared" si="1"/>
        <v>4.1047632044605945E-2</v>
      </c>
      <c r="W56" s="416" t="s">
        <v>13</v>
      </c>
      <c r="X56" s="416">
        <f>EG_CCGT_min[[#This Row],[2021]]*(1+$T56)</f>
        <v>0</v>
      </c>
      <c r="Y56" s="416">
        <f>EG_CCGT_min[[#This Row],[2022]]*(1+$T56)</f>
        <v>0</v>
      </c>
      <c r="Z56" s="416">
        <f t="shared" si="0"/>
        <v>41.047632044605947</v>
      </c>
      <c r="AA56" s="416">
        <f t="shared" si="0"/>
        <v>41.047632044605947</v>
      </c>
      <c r="AB56" s="416">
        <f t="shared" si="0"/>
        <v>41.047632044605947</v>
      </c>
      <c r="AC56" s="416">
        <f t="shared" si="0"/>
        <v>41.047632044605947</v>
      </c>
      <c r="AD56" s="416">
        <f t="shared" si="0"/>
        <v>41.047632044605947</v>
      </c>
      <c r="AE56" s="416">
        <f t="shared" si="0"/>
        <v>41.047632044605947</v>
      </c>
      <c r="AF56" s="416">
        <f t="shared" si="0"/>
        <v>41.047632044605947</v>
      </c>
      <c r="AG56" s="416">
        <f t="shared" si="0"/>
        <v>41.047632044605947</v>
      </c>
      <c r="AH56" s="416">
        <f t="shared" si="0"/>
        <v>41.047632044605947</v>
      </c>
      <c r="AJ56" s="382"/>
      <c r="AK56" s="226"/>
    </row>
    <row r="57" spans="5:37">
      <c r="E57" s="416" t="s">
        <v>15</v>
      </c>
      <c r="F57" s="416">
        <v>0</v>
      </c>
      <c r="G57" s="416">
        <v>0</v>
      </c>
      <c r="H57" s="416">
        <v>0</v>
      </c>
      <c r="I57" s="416">
        <v>0</v>
      </c>
      <c r="J57" s="416">
        <v>0</v>
      </c>
      <c r="K57" s="416">
        <v>0</v>
      </c>
      <c r="L57" s="416">
        <v>0</v>
      </c>
      <c r="M57" s="416">
        <v>0</v>
      </c>
      <c r="N57" s="416">
        <v>0</v>
      </c>
      <c r="O57" s="416">
        <v>0</v>
      </c>
      <c r="P57" s="416">
        <v>0</v>
      </c>
      <c r="T57" s="634">
        <f>VLOOKUP(EG_CCGT_max[[#This Row],[SubGeography2]],'MaxCapacity-Input'!$G$65:$L$90,4,FALSE)</f>
        <v>0</v>
      </c>
      <c r="U57" s="344">
        <v>1</v>
      </c>
      <c r="V57" s="327">
        <f t="shared" si="1"/>
        <v>3.0987366574596998E-5</v>
      </c>
      <c r="W57" s="416" t="s">
        <v>15</v>
      </c>
      <c r="X57" s="416">
        <f>EG_CCGT_min[[#This Row],[2021]]*(1+$T57)</f>
        <v>0</v>
      </c>
      <c r="Y57" s="416">
        <f>EG_CCGT_min[[#This Row],[2022]]*(1+$T57)</f>
        <v>0</v>
      </c>
      <c r="Z57" s="416">
        <f t="shared" si="0"/>
        <v>3.0987366574596997E-2</v>
      </c>
      <c r="AA57" s="416">
        <f t="shared" si="0"/>
        <v>3.0987366574596997E-2</v>
      </c>
      <c r="AB57" s="416">
        <f t="shared" si="0"/>
        <v>3.0987366574596997E-2</v>
      </c>
      <c r="AC57" s="416">
        <f t="shared" si="0"/>
        <v>3.0987366574596997E-2</v>
      </c>
      <c r="AD57" s="416">
        <f t="shared" si="0"/>
        <v>3.0987366574596997E-2</v>
      </c>
      <c r="AE57" s="416">
        <f t="shared" si="0"/>
        <v>3.0987366574596997E-2</v>
      </c>
      <c r="AF57" s="416">
        <f t="shared" si="0"/>
        <v>3.0987366574596997E-2</v>
      </c>
      <c r="AG57" s="416">
        <f t="shared" si="0"/>
        <v>3.0987366574596997E-2</v>
      </c>
      <c r="AH57" s="416">
        <f t="shared" si="0"/>
        <v>3.0987366574596997E-2</v>
      </c>
      <c r="AJ57" s="382"/>
      <c r="AK57" s="226"/>
    </row>
    <row r="58" spans="5:37">
      <c r="E58" s="416" t="s">
        <v>0</v>
      </c>
      <c r="F58" s="416">
        <v>0</v>
      </c>
      <c r="G58" s="416">
        <v>0</v>
      </c>
      <c r="H58" s="416">
        <v>0</v>
      </c>
      <c r="I58" s="416">
        <v>0</v>
      </c>
      <c r="J58" s="416">
        <v>0</v>
      </c>
      <c r="K58" s="416">
        <v>0</v>
      </c>
      <c r="L58" s="416">
        <v>0</v>
      </c>
      <c r="M58" s="416">
        <v>0</v>
      </c>
      <c r="N58" s="416">
        <v>0</v>
      </c>
      <c r="O58" s="416">
        <v>0</v>
      </c>
      <c r="P58" s="416">
        <v>0</v>
      </c>
      <c r="T58" s="634">
        <f>VLOOKUP(EG_CCGT_max[[#This Row],[SubGeography2]],'MaxCapacity-Input'!$G$65:$L$90,4,FALSE)</f>
        <v>0.21278982546847583</v>
      </c>
      <c r="U58" s="344">
        <v>1810.8650000000002</v>
      </c>
      <c r="V58" s="327">
        <f t="shared" si="1"/>
        <v>5.61139375721076E-2</v>
      </c>
      <c r="W58" s="416" t="s">
        <v>0</v>
      </c>
      <c r="X58" s="416">
        <f>EG_CCGT_min[[#This Row],[2021]]*(1+$T58)</f>
        <v>0</v>
      </c>
      <c r="Y58" s="416">
        <f>EG_CCGT_min[[#This Row],[2022]]*(1+$T58)</f>
        <v>0</v>
      </c>
      <c r="Z58" s="416">
        <f t="shared" si="0"/>
        <v>56.113937572107602</v>
      </c>
      <c r="AA58" s="416">
        <f t="shared" si="0"/>
        <v>56.113937572107602</v>
      </c>
      <c r="AB58" s="416">
        <f t="shared" si="0"/>
        <v>56.113937572107602</v>
      </c>
      <c r="AC58" s="416">
        <f t="shared" si="0"/>
        <v>56.113937572107602</v>
      </c>
      <c r="AD58" s="416">
        <f t="shared" si="0"/>
        <v>56.113937572107602</v>
      </c>
      <c r="AE58" s="416">
        <f t="shared" si="0"/>
        <v>56.113937572107602</v>
      </c>
      <c r="AF58" s="416">
        <f t="shared" si="0"/>
        <v>56.113937572107602</v>
      </c>
      <c r="AG58" s="416">
        <f t="shared" si="0"/>
        <v>56.113937572107602</v>
      </c>
      <c r="AH58" s="416">
        <f t="shared" si="0"/>
        <v>56.113937572107602</v>
      </c>
      <c r="AJ58" s="382"/>
      <c r="AK58" s="226"/>
    </row>
    <row r="59" spans="5:37">
      <c r="E59" s="416" t="s">
        <v>4</v>
      </c>
      <c r="F59" s="416">
        <v>0</v>
      </c>
      <c r="G59" s="416">
        <v>0</v>
      </c>
      <c r="H59" s="416">
        <v>0</v>
      </c>
      <c r="I59" s="416">
        <v>0</v>
      </c>
      <c r="J59" s="416">
        <v>0</v>
      </c>
      <c r="K59" s="416">
        <v>0</v>
      </c>
      <c r="L59" s="416">
        <v>0</v>
      </c>
      <c r="M59" s="416">
        <v>0</v>
      </c>
      <c r="N59" s="416">
        <v>0</v>
      </c>
      <c r="O59" s="416">
        <v>0</v>
      </c>
      <c r="P59" s="416">
        <v>0</v>
      </c>
      <c r="T59" s="634">
        <f>VLOOKUP(EG_CCGT_max[[#This Row],[SubGeography2]],'MaxCapacity-Input'!$G$65:$L$90,4,FALSE)</f>
        <v>2.197777777777778E-2</v>
      </c>
      <c r="U59" s="344">
        <v>459.89</v>
      </c>
      <c r="V59" s="327">
        <f t="shared" si="1"/>
        <v>1.4250780013991413E-2</v>
      </c>
      <c r="W59" s="416" t="s">
        <v>4</v>
      </c>
      <c r="X59" s="416">
        <f>EG_CCGT_min[[#This Row],[2021]]*(1+$T59)</f>
        <v>0</v>
      </c>
      <c r="Y59" s="416">
        <f>EG_CCGT_min[[#This Row],[2022]]*(1+$T59)</f>
        <v>0</v>
      </c>
      <c r="Z59" s="416">
        <f t="shared" si="0"/>
        <v>14.250780013991413</v>
      </c>
      <c r="AA59" s="416">
        <f t="shared" si="0"/>
        <v>14.250780013991413</v>
      </c>
      <c r="AB59" s="416">
        <f t="shared" si="0"/>
        <v>14.250780013991413</v>
      </c>
      <c r="AC59" s="416">
        <f t="shared" si="0"/>
        <v>14.250780013991413</v>
      </c>
      <c r="AD59" s="416">
        <f t="shared" si="0"/>
        <v>14.250780013991413</v>
      </c>
      <c r="AE59" s="416">
        <f t="shared" si="0"/>
        <v>14.250780013991413</v>
      </c>
      <c r="AF59" s="416">
        <f t="shared" si="0"/>
        <v>14.250780013991413</v>
      </c>
      <c r="AG59" s="416">
        <f t="shared" si="0"/>
        <v>14.250780013991413</v>
      </c>
      <c r="AH59" s="416">
        <f t="shared" si="0"/>
        <v>14.250780013991413</v>
      </c>
      <c r="AJ59" s="382"/>
      <c r="AK59" s="226"/>
    </row>
    <row r="60" spans="5:37">
      <c r="E60" s="416" t="s">
        <v>17</v>
      </c>
      <c r="F60" s="416">
        <v>0</v>
      </c>
      <c r="G60" s="416">
        <v>0</v>
      </c>
      <c r="H60" s="416">
        <v>0</v>
      </c>
      <c r="I60" s="416">
        <v>0</v>
      </c>
      <c r="J60" s="416">
        <v>0</v>
      </c>
      <c r="K60" s="416">
        <v>0</v>
      </c>
      <c r="L60" s="416">
        <v>0</v>
      </c>
      <c r="M60" s="416">
        <v>0</v>
      </c>
      <c r="N60" s="416">
        <v>0</v>
      </c>
      <c r="O60" s="416">
        <v>0</v>
      </c>
      <c r="P60" s="416">
        <v>0</v>
      </c>
      <c r="T60" s="634">
        <f>VLOOKUP(EG_CCGT_max[[#This Row],[SubGeography2]],'MaxCapacity-Input'!$G$65:$L$90,4,FALSE)</f>
        <v>2.1182799999999999</v>
      </c>
      <c r="U60" s="344">
        <v>311.82799999999997</v>
      </c>
      <c r="V60" s="327">
        <f t="shared" si="1"/>
        <v>9.6627285442234326E-3</v>
      </c>
      <c r="W60" s="416" t="s">
        <v>17</v>
      </c>
      <c r="X60" s="416">
        <f>EG_CCGT_min[[#This Row],[2021]]*(1+$T60)</f>
        <v>0</v>
      </c>
      <c r="Y60" s="416">
        <f>EG_CCGT_min[[#This Row],[2022]]*(1+$T60)</f>
        <v>0</v>
      </c>
      <c r="Z60" s="416">
        <f t="shared" si="0"/>
        <v>9.6627285442234321</v>
      </c>
      <c r="AA60" s="416">
        <f t="shared" si="0"/>
        <v>9.6627285442234321</v>
      </c>
      <c r="AB60" s="416">
        <f t="shared" si="0"/>
        <v>9.6627285442234321</v>
      </c>
      <c r="AC60" s="416">
        <f t="shared" si="0"/>
        <v>9.6627285442234321</v>
      </c>
      <c r="AD60" s="416">
        <f t="shared" si="0"/>
        <v>9.6627285442234321</v>
      </c>
      <c r="AE60" s="416">
        <f t="shared" si="0"/>
        <v>9.6627285442234321</v>
      </c>
      <c r="AF60" s="416">
        <f t="shared" si="0"/>
        <v>9.6627285442234321</v>
      </c>
      <c r="AG60" s="416">
        <f t="shared" si="0"/>
        <v>9.6627285442234321</v>
      </c>
      <c r="AH60" s="416">
        <f t="shared" si="0"/>
        <v>9.6627285442234321</v>
      </c>
      <c r="AJ60" s="382"/>
      <c r="AK60" s="226"/>
    </row>
    <row r="61" spans="5:37">
      <c r="E61" s="416" t="s">
        <v>92</v>
      </c>
      <c r="F61" s="416">
        <v>0</v>
      </c>
      <c r="G61" s="416">
        <v>0</v>
      </c>
      <c r="H61" s="416">
        <v>0</v>
      </c>
      <c r="I61" s="416">
        <v>0</v>
      </c>
      <c r="J61" s="416">
        <v>0</v>
      </c>
      <c r="K61" s="416">
        <v>0</v>
      </c>
      <c r="L61" s="416">
        <v>0</v>
      </c>
      <c r="M61" s="416">
        <v>0</v>
      </c>
      <c r="N61" s="416">
        <v>0</v>
      </c>
      <c r="O61" s="416">
        <v>0</v>
      </c>
      <c r="P61" s="416">
        <v>0</v>
      </c>
      <c r="T61" s="634">
        <f>VLOOKUP(EG_CCGT_max[[#This Row],[SubGeography2]],'MaxCapacity-Input'!$G$65:$L$90,4,FALSE)</f>
        <v>1.1046153846153846</v>
      </c>
      <c r="U61" s="344">
        <v>68.400000000000006</v>
      </c>
      <c r="V61" s="327">
        <f t="shared" si="1"/>
        <v>2.1195358737024351E-3</v>
      </c>
      <c r="W61" s="416" t="s">
        <v>92</v>
      </c>
      <c r="X61" s="416">
        <f>EG_CCGT_min[[#This Row],[2021]]*(1+$T61)</f>
        <v>0</v>
      </c>
      <c r="Y61" s="416">
        <f>EG_CCGT_min[[#This Row],[2022]]*(1+$T61)</f>
        <v>0</v>
      </c>
      <c r="Z61" s="416">
        <f t="shared" si="0"/>
        <v>2.1195358737024352</v>
      </c>
      <c r="AA61" s="416">
        <f t="shared" si="0"/>
        <v>2.1195358737024352</v>
      </c>
      <c r="AB61" s="416">
        <f t="shared" si="0"/>
        <v>2.1195358737024352</v>
      </c>
      <c r="AC61" s="416">
        <f t="shared" si="0"/>
        <v>2.1195358737024352</v>
      </c>
      <c r="AD61" s="416">
        <f t="shared" si="0"/>
        <v>2.1195358737024352</v>
      </c>
      <c r="AE61" s="416">
        <f t="shared" si="0"/>
        <v>2.1195358737024352</v>
      </c>
      <c r="AF61" s="416">
        <f t="shared" si="0"/>
        <v>2.1195358737024352</v>
      </c>
      <c r="AG61" s="416">
        <f t="shared" si="0"/>
        <v>2.1195358737024352</v>
      </c>
      <c r="AH61" s="416">
        <f t="shared" si="0"/>
        <v>2.1195358737024352</v>
      </c>
      <c r="AJ61" s="382"/>
      <c r="AK61" s="226"/>
    </row>
    <row r="62" spans="5:37">
      <c r="E62" s="416" t="s">
        <v>93</v>
      </c>
      <c r="F62" s="416">
        <v>0</v>
      </c>
      <c r="G62" s="416">
        <v>0</v>
      </c>
      <c r="H62" s="416">
        <v>0</v>
      </c>
      <c r="I62" s="416">
        <v>0</v>
      </c>
      <c r="J62" s="416">
        <v>0</v>
      </c>
      <c r="K62" s="416">
        <v>0</v>
      </c>
      <c r="L62" s="416">
        <v>0</v>
      </c>
      <c r="M62" s="416">
        <v>0</v>
      </c>
      <c r="N62" s="416">
        <v>0</v>
      </c>
      <c r="O62" s="416">
        <v>0</v>
      </c>
      <c r="P62" s="416">
        <v>0</v>
      </c>
      <c r="T62" s="634">
        <f>VLOOKUP(EG_CCGT_max[[#This Row],[SubGeography2]],'MaxCapacity-Input'!$G$65:$L$90,4,FALSE)</f>
        <v>0</v>
      </c>
      <c r="U62" s="344">
        <v>2208.4</v>
      </c>
      <c r="V62" s="327">
        <f t="shared" si="1"/>
        <v>6.8432500343340016E-2</v>
      </c>
      <c r="W62" s="416" t="s">
        <v>93</v>
      </c>
      <c r="X62" s="416">
        <f>EG_CCGT_min[[#This Row],[2021]]*(1+$T62)</f>
        <v>0</v>
      </c>
      <c r="Y62" s="416">
        <f>EG_CCGT_min[[#This Row],[2022]]*(1+$T62)</f>
        <v>0</v>
      </c>
      <c r="Z62" s="416">
        <f t="shared" si="0"/>
        <v>68.43250034334001</v>
      </c>
      <c r="AA62" s="416">
        <f t="shared" si="0"/>
        <v>68.43250034334001</v>
      </c>
      <c r="AB62" s="416">
        <f t="shared" si="0"/>
        <v>68.43250034334001</v>
      </c>
      <c r="AC62" s="416">
        <f t="shared" si="0"/>
        <v>68.43250034334001</v>
      </c>
      <c r="AD62" s="416">
        <f t="shared" si="0"/>
        <v>68.43250034334001</v>
      </c>
      <c r="AE62" s="416">
        <f t="shared" si="0"/>
        <v>68.43250034334001</v>
      </c>
      <c r="AF62" s="416">
        <f t="shared" si="0"/>
        <v>68.43250034334001</v>
      </c>
      <c r="AG62" s="416">
        <f t="shared" si="0"/>
        <v>68.43250034334001</v>
      </c>
      <c r="AH62" s="416">
        <f t="shared" si="0"/>
        <v>68.43250034334001</v>
      </c>
    </row>
    <row r="63" spans="5:37">
      <c r="U63" s="41">
        <f>SUM(U38:U62)</f>
        <v>32271.216000000004</v>
      </c>
      <c r="W63" s="77" t="s">
        <v>1250</v>
      </c>
      <c r="Z63" s="416">
        <f>'MaxCapacity-Input'!E5</f>
        <v>1000</v>
      </c>
      <c r="AA63" s="416">
        <f>'MaxCapacity-Input'!F5</f>
        <v>1000</v>
      </c>
      <c r="AB63" s="416">
        <f>'MaxCapacity-Input'!G5</f>
        <v>1000</v>
      </c>
      <c r="AC63" s="416">
        <f>'MaxCapacity-Input'!H5</f>
        <v>1000</v>
      </c>
      <c r="AD63" s="416">
        <f>'MaxCapacity-Input'!I5</f>
        <v>1000</v>
      </c>
      <c r="AE63" s="416">
        <f>'MaxCapacity-Input'!J5</f>
        <v>1000</v>
      </c>
      <c r="AF63" s="416">
        <f>'MaxCapacity-Input'!K5</f>
        <v>1000</v>
      </c>
      <c r="AG63" s="416">
        <f>'MaxCapacity-Input'!L5</f>
        <v>1000</v>
      </c>
      <c r="AH63" s="416">
        <f>'MaxCapacity-Input'!M5</f>
        <v>1000</v>
      </c>
    </row>
    <row r="64" spans="5:37" ht="21.75" customHeight="1">
      <c r="E64" s="39" t="s">
        <v>1248</v>
      </c>
      <c r="W64" s="335" t="s">
        <v>1247</v>
      </c>
    </row>
    <row r="65" spans="5:34" ht="18" customHeight="1">
      <c r="E65" s="416" t="s">
        <v>1255</v>
      </c>
      <c r="W65" s="339" t="s">
        <v>1255</v>
      </c>
    </row>
    <row r="66" spans="5:34">
      <c r="E66" s="416" t="s">
        <v>621</v>
      </c>
      <c r="F66" s="416" t="s">
        <v>618</v>
      </c>
      <c r="G66" s="416" t="s">
        <v>619</v>
      </c>
      <c r="H66" s="416" t="s">
        <v>620</v>
      </c>
      <c r="I66" s="416" t="s">
        <v>660</v>
      </c>
      <c r="J66" s="416" t="s">
        <v>661</v>
      </c>
      <c r="K66" s="416" t="s">
        <v>662</v>
      </c>
      <c r="L66" s="416" t="s">
        <v>663</v>
      </c>
      <c r="M66" s="416" t="s">
        <v>664</v>
      </c>
      <c r="N66" s="416" t="s">
        <v>665</v>
      </c>
      <c r="O66" s="416" t="s">
        <v>666</v>
      </c>
      <c r="P66" s="416" t="s">
        <v>667</v>
      </c>
      <c r="W66" s="416" t="s">
        <v>621</v>
      </c>
      <c r="X66" s="416" t="s">
        <v>618</v>
      </c>
      <c r="Y66" s="416" t="s">
        <v>619</v>
      </c>
      <c r="Z66" s="416" t="s">
        <v>620</v>
      </c>
      <c r="AA66" s="416" t="s">
        <v>660</v>
      </c>
      <c r="AB66" s="416" t="s">
        <v>661</v>
      </c>
      <c r="AC66" s="416" t="s">
        <v>662</v>
      </c>
      <c r="AD66" s="416" t="s">
        <v>663</v>
      </c>
      <c r="AE66" s="416" t="s">
        <v>664</v>
      </c>
      <c r="AF66" s="416" t="s">
        <v>665</v>
      </c>
      <c r="AG66" s="416" t="s">
        <v>666</v>
      </c>
      <c r="AH66" s="416" t="s">
        <v>667</v>
      </c>
    </row>
    <row r="67" spans="5:34">
      <c r="E67" s="416" t="s">
        <v>14</v>
      </c>
      <c r="F67" s="416">
        <v>0</v>
      </c>
      <c r="G67" s="416">
        <v>0</v>
      </c>
      <c r="H67" s="416">
        <v>0</v>
      </c>
      <c r="I67" s="416">
        <v>0</v>
      </c>
      <c r="J67" s="416">
        <v>0</v>
      </c>
      <c r="K67" s="416">
        <v>0</v>
      </c>
      <c r="L67" s="416">
        <v>0</v>
      </c>
      <c r="M67" s="416">
        <v>0</v>
      </c>
      <c r="N67" s="416">
        <v>0</v>
      </c>
      <c r="O67" s="416">
        <v>0</v>
      </c>
      <c r="P67" s="416">
        <v>0</v>
      </c>
      <c r="W67" s="416" t="s">
        <v>14</v>
      </c>
      <c r="X67" s="416">
        <f>EG_OCGT_min[[#This Row],[2021]]</f>
        <v>0</v>
      </c>
      <c r="Y67" s="416">
        <f>EG_OCGT_min[[#This Row],[2022]]</f>
        <v>0</v>
      </c>
      <c r="Z67" s="416">
        <f t="shared" ref="Z67:AH67" si="2">Z$92*$V38</f>
        <v>473.91204595451245</v>
      </c>
      <c r="AA67" s="416">
        <f t="shared" si="2"/>
        <v>473.91204595451245</v>
      </c>
      <c r="AB67" s="416">
        <f t="shared" si="2"/>
        <v>473.91204595451245</v>
      </c>
      <c r="AC67" s="416">
        <f t="shared" si="2"/>
        <v>473.91204595451245</v>
      </c>
      <c r="AD67" s="416">
        <f t="shared" si="2"/>
        <v>473.91204595451245</v>
      </c>
      <c r="AE67" s="416">
        <f t="shared" si="2"/>
        <v>473.91204595451245</v>
      </c>
      <c r="AF67" s="416">
        <f t="shared" si="2"/>
        <v>473.91204595451245</v>
      </c>
      <c r="AG67" s="416">
        <f t="shared" si="2"/>
        <v>473.91204595451245</v>
      </c>
      <c r="AH67" s="416">
        <f t="shared" si="2"/>
        <v>473.91204595451245</v>
      </c>
    </row>
    <row r="68" spans="5:34">
      <c r="E68" s="416" t="s">
        <v>90</v>
      </c>
      <c r="F68" s="416">
        <v>0</v>
      </c>
      <c r="G68" s="416">
        <v>0</v>
      </c>
      <c r="H68" s="416">
        <v>0</v>
      </c>
      <c r="I68" s="416">
        <v>0</v>
      </c>
      <c r="J68" s="416">
        <v>0</v>
      </c>
      <c r="K68" s="416">
        <v>0</v>
      </c>
      <c r="L68" s="416">
        <v>0</v>
      </c>
      <c r="M68" s="416">
        <v>0</v>
      </c>
      <c r="N68" s="416">
        <v>0</v>
      </c>
      <c r="O68" s="416">
        <v>0</v>
      </c>
      <c r="P68" s="416">
        <v>0</v>
      </c>
      <c r="W68" s="416" t="s">
        <v>90</v>
      </c>
      <c r="X68" s="416">
        <f>EG_OCGT_min[[#This Row],[2021]]</f>
        <v>0</v>
      </c>
      <c r="Y68" s="416">
        <f>EG_OCGT_min[[#This Row],[2022]]</f>
        <v>0</v>
      </c>
      <c r="Z68" s="416">
        <f t="shared" ref="Z68:AH68" si="3">Z$92*$V39</f>
        <v>105.24239309730378</v>
      </c>
      <c r="AA68" s="416">
        <f t="shared" si="3"/>
        <v>105.24239309730378</v>
      </c>
      <c r="AB68" s="416">
        <f t="shared" si="3"/>
        <v>105.24239309730378</v>
      </c>
      <c r="AC68" s="416">
        <f t="shared" si="3"/>
        <v>105.24239309730378</v>
      </c>
      <c r="AD68" s="416">
        <f t="shared" si="3"/>
        <v>105.24239309730378</v>
      </c>
      <c r="AE68" s="416">
        <f t="shared" si="3"/>
        <v>105.24239309730378</v>
      </c>
      <c r="AF68" s="416">
        <f t="shared" si="3"/>
        <v>105.24239309730378</v>
      </c>
      <c r="AG68" s="416">
        <f t="shared" si="3"/>
        <v>105.24239309730378</v>
      </c>
      <c r="AH68" s="416">
        <f t="shared" si="3"/>
        <v>105.24239309730378</v>
      </c>
    </row>
    <row r="69" spans="5:34">
      <c r="E69" s="416" t="s">
        <v>29</v>
      </c>
      <c r="F69" s="416">
        <v>0</v>
      </c>
      <c r="G69" s="416">
        <v>0</v>
      </c>
      <c r="H69" s="416">
        <v>0</v>
      </c>
      <c r="I69" s="416">
        <v>0</v>
      </c>
      <c r="J69" s="416">
        <v>0</v>
      </c>
      <c r="K69" s="416">
        <v>0</v>
      </c>
      <c r="L69" s="416">
        <v>0</v>
      </c>
      <c r="M69" s="416">
        <v>0</v>
      </c>
      <c r="N69" s="416">
        <v>0</v>
      </c>
      <c r="O69" s="416">
        <v>0</v>
      </c>
      <c r="P69" s="416">
        <v>0</v>
      </c>
      <c r="W69" s="416" t="s">
        <v>29</v>
      </c>
      <c r="X69" s="416">
        <f>EG_OCGT_min[[#This Row],[2021]]</f>
        <v>0</v>
      </c>
      <c r="Y69" s="416">
        <f>EG_OCGT_min[[#This Row],[2022]]</f>
        <v>0</v>
      </c>
      <c r="Z69" s="416">
        <f t="shared" ref="Z69:AH69" si="4">Z$92*$V40</f>
        <v>94.162612279624057</v>
      </c>
      <c r="AA69" s="416">
        <f t="shared" si="4"/>
        <v>94.162612279624057</v>
      </c>
      <c r="AB69" s="416">
        <f t="shared" si="4"/>
        <v>94.162612279624057</v>
      </c>
      <c r="AC69" s="416">
        <f t="shared" si="4"/>
        <v>94.162612279624057</v>
      </c>
      <c r="AD69" s="416">
        <f t="shared" si="4"/>
        <v>94.162612279624057</v>
      </c>
      <c r="AE69" s="416">
        <f t="shared" si="4"/>
        <v>94.162612279624057</v>
      </c>
      <c r="AF69" s="416">
        <f t="shared" si="4"/>
        <v>94.162612279624057</v>
      </c>
      <c r="AG69" s="416">
        <f t="shared" si="4"/>
        <v>94.162612279624057</v>
      </c>
      <c r="AH69" s="416">
        <f t="shared" si="4"/>
        <v>94.162612279624057</v>
      </c>
    </row>
    <row r="70" spans="5:34">
      <c r="E70" s="416" t="s">
        <v>19</v>
      </c>
      <c r="F70" s="416">
        <v>0</v>
      </c>
      <c r="G70" s="416">
        <v>0</v>
      </c>
      <c r="H70" s="416">
        <v>0</v>
      </c>
      <c r="I70" s="416">
        <v>0</v>
      </c>
      <c r="J70" s="416">
        <v>0</v>
      </c>
      <c r="K70" s="416">
        <v>0</v>
      </c>
      <c r="L70" s="416">
        <v>0</v>
      </c>
      <c r="M70" s="416">
        <v>0</v>
      </c>
      <c r="N70" s="416">
        <v>0</v>
      </c>
      <c r="O70" s="416">
        <v>0</v>
      </c>
      <c r="P70" s="416">
        <v>0</v>
      </c>
      <c r="W70" s="416" t="s">
        <v>19</v>
      </c>
      <c r="X70" s="416">
        <f>EG_OCGT_min[[#This Row],[2021]]</f>
        <v>0</v>
      </c>
      <c r="Y70" s="416">
        <f>EG_OCGT_min[[#This Row],[2022]]</f>
        <v>0</v>
      </c>
      <c r="Z70" s="416">
        <f t="shared" ref="Z70:AH70" si="5">Z$92*$V41</f>
        <v>3.8620174709251733</v>
      </c>
      <c r="AA70" s="416">
        <f t="shared" si="5"/>
        <v>3.8620174709251733</v>
      </c>
      <c r="AB70" s="416">
        <f t="shared" si="5"/>
        <v>3.8620174709251733</v>
      </c>
      <c r="AC70" s="416">
        <f t="shared" si="5"/>
        <v>3.8620174709251733</v>
      </c>
      <c r="AD70" s="416">
        <f t="shared" si="5"/>
        <v>3.8620174709251733</v>
      </c>
      <c r="AE70" s="416">
        <f t="shared" si="5"/>
        <v>3.8620174709251733</v>
      </c>
      <c r="AF70" s="416">
        <f t="shared" si="5"/>
        <v>3.8620174709251733</v>
      </c>
      <c r="AG70" s="416">
        <f t="shared" si="5"/>
        <v>3.8620174709251733</v>
      </c>
      <c r="AH70" s="416">
        <f t="shared" si="5"/>
        <v>3.8620174709251733</v>
      </c>
    </row>
    <row r="71" spans="5:34">
      <c r="E71" s="416" t="s">
        <v>18</v>
      </c>
      <c r="F71" s="416">
        <v>0</v>
      </c>
      <c r="G71" s="416">
        <v>0</v>
      </c>
      <c r="H71" s="416">
        <v>0</v>
      </c>
      <c r="I71" s="416">
        <v>0</v>
      </c>
      <c r="J71" s="416">
        <v>0</v>
      </c>
      <c r="K71" s="416">
        <v>0</v>
      </c>
      <c r="L71" s="416">
        <v>0</v>
      </c>
      <c r="M71" s="416">
        <v>0</v>
      </c>
      <c r="N71" s="416">
        <v>0</v>
      </c>
      <c r="O71" s="416">
        <v>0</v>
      </c>
      <c r="P71" s="416">
        <v>0</v>
      </c>
      <c r="W71" s="416" t="s">
        <v>18</v>
      </c>
      <c r="X71" s="416">
        <f>EG_OCGT_min[[#This Row],[2021]]</f>
        <v>0</v>
      </c>
      <c r="Y71" s="416">
        <f>EG_OCGT_min[[#This Row],[2022]]</f>
        <v>0</v>
      </c>
      <c r="Z71" s="416">
        <f t="shared" ref="Z71:AH71" si="6">Z$92*$V42</f>
        <v>8.5034291859346087</v>
      </c>
      <c r="AA71" s="416">
        <f t="shared" si="6"/>
        <v>8.5034291859346087</v>
      </c>
      <c r="AB71" s="416">
        <f t="shared" si="6"/>
        <v>8.5034291859346087</v>
      </c>
      <c r="AC71" s="416">
        <f t="shared" si="6"/>
        <v>8.5034291859346087</v>
      </c>
      <c r="AD71" s="416">
        <f t="shared" si="6"/>
        <v>8.5034291859346087</v>
      </c>
      <c r="AE71" s="416">
        <f t="shared" si="6"/>
        <v>8.5034291859346087</v>
      </c>
      <c r="AF71" s="416">
        <f t="shared" si="6"/>
        <v>8.5034291859346087</v>
      </c>
      <c r="AG71" s="416">
        <f t="shared" si="6"/>
        <v>8.5034291859346087</v>
      </c>
      <c r="AH71" s="416">
        <f t="shared" si="6"/>
        <v>8.5034291859346087</v>
      </c>
    </row>
    <row r="72" spans="5:34">
      <c r="E72" s="416" t="s">
        <v>91</v>
      </c>
      <c r="F72" s="416">
        <v>0</v>
      </c>
      <c r="G72" s="416">
        <v>0</v>
      </c>
      <c r="H72" s="416">
        <v>0</v>
      </c>
      <c r="I72" s="416">
        <v>0</v>
      </c>
      <c r="J72" s="416">
        <v>0</v>
      </c>
      <c r="K72" s="416">
        <v>0</v>
      </c>
      <c r="L72" s="416">
        <v>0</v>
      </c>
      <c r="M72" s="416">
        <v>0</v>
      </c>
      <c r="N72" s="416">
        <v>0</v>
      </c>
      <c r="O72" s="416">
        <v>0</v>
      </c>
      <c r="P72" s="416">
        <v>0</v>
      </c>
      <c r="W72" s="416" t="s">
        <v>91</v>
      </c>
      <c r="X72" s="416">
        <f>EG_OCGT_min[[#This Row],[2021]]</f>
        <v>0</v>
      </c>
      <c r="Y72" s="416">
        <f>EG_OCGT_min[[#This Row],[2022]]</f>
        <v>0</v>
      </c>
      <c r="Z72" s="416">
        <f t="shared" ref="Z72:AH72" si="7">Z$92*$V43</f>
        <v>12.205923693733759</v>
      </c>
      <c r="AA72" s="416">
        <f t="shared" si="7"/>
        <v>12.205923693733759</v>
      </c>
      <c r="AB72" s="416">
        <f t="shared" si="7"/>
        <v>12.205923693733759</v>
      </c>
      <c r="AC72" s="416">
        <f t="shared" si="7"/>
        <v>12.205923693733759</v>
      </c>
      <c r="AD72" s="416">
        <f t="shared" si="7"/>
        <v>12.205923693733759</v>
      </c>
      <c r="AE72" s="416">
        <f t="shared" si="7"/>
        <v>12.205923693733759</v>
      </c>
      <c r="AF72" s="416">
        <f t="shared" si="7"/>
        <v>12.205923693733759</v>
      </c>
      <c r="AG72" s="416">
        <f t="shared" si="7"/>
        <v>12.205923693733759</v>
      </c>
      <c r="AH72" s="416">
        <f t="shared" si="7"/>
        <v>12.205923693733759</v>
      </c>
    </row>
    <row r="73" spans="5:34">
      <c r="E73" s="416" t="s">
        <v>8</v>
      </c>
      <c r="F73" s="416">
        <v>0</v>
      </c>
      <c r="G73" s="416">
        <v>0</v>
      </c>
      <c r="H73" s="416">
        <v>0</v>
      </c>
      <c r="I73" s="416">
        <v>0</v>
      </c>
      <c r="J73" s="416">
        <v>0</v>
      </c>
      <c r="K73" s="416">
        <v>0</v>
      </c>
      <c r="L73" s="416">
        <v>0</v>
      </c>
      <c r="M73" s="416">
        <v>0</v>
      </c>
      <c r="N73" s="416">
        <v>0</v>
      </c>
      <c r="O73" s="416">
        <v>0</v>
      </c>
      <c r="P73" s="416">
        <v>0</v>
      </c>
      <c r="W73" s="416" t="s">
        <v>8</v>
      </c>
      <c r="X73" s="416">
        <f>EG_OCGT_min[[#This Row],[2021]]</f>
        <v>0</v>
      </c>
      <c r="Y73" s="416">
        <f>EG_OCGT_min[[#This Row],[2022]]</f>
        <v>0</v>
      </c>
      <c r="Z73" s="416">
        <f t="shared" ref="Z73:AH73" si="8">Z$92*$V44</f>
        <v>977.31520250120082</v>
      </c>
      <c r="AA73" s="416">
        <f t="shared" si="8"/>
        <v>977.31520250120082</v>
      </c>
      <c r="AB73" s="416">
        <f t="shared" si="8"/>
        <v>977.31520250120082</v>
      </c>
      <c r="AC73" s="416">
        <f t="shared" si="8"/>
        <v>977.31520250120082</v>
      </c>
      <c r="AD73" s="416">
        <f t="shared" si="8"/>
        <v>977.31520250120082</v>
      </c>
      <c r="AE73" s="416">
        <f t="shared" si="8"/>
        <v>977.31520250120082</v>
      </c>
      <c r="AF73" s="416">
        <f t="shared" si="8"/>
        <v>977.31520250120082</v>
      </c>
      <c r="AG73" s="416">
        <f t="shared" si="8"/>
        <v>977.31520250120082</v>
      </c>
      <c r="AH73" s="416">
        <f t="shared" si="8"/>
        <v>977.31520250120082</v>
      </c>
    </row>
    <row r="74" spans="5:34">
      <c r="E74" s="416" t="s">
        <v>5</v>
      </c>
      <c r="F74" s="416">
        <v>0</v>
      </c>
      <c r="G74" s="416">
        <v>0</v>
      </c>
      <c r="H74" s="416">
        <v>0</v>
      </c>
      <c r="I74" s="416">
        <v>0</v>
      </c>
      <c r="J74" s="416">
        <v>0</v>
      </c>
      <c r="K74" s="416">
        <v>0</v>
      </c>
      <c r="L74" s="416">
        <v>0</v>
      </c>
      <c r="M74" s="416">
        <v>0</v>
      </c>
      <c r="N74" s="416">
        <v>0</v>
      </c>
      <c r="O74" s="416">
        <v>0</v>
      </c>
      <c r="P74" s="416">
        <v>0</v>
      </c>
      <c r="W74" s="416" t="s">
        <v>5</v>
      </c>
      <c r="X74" s="416">
        <f>EG_OCGT_min[[#This Row],[2021]]</f>
        <v>0</v>
      </c>
      <c r="Y74" s="416">
        <f>EG_OCGT_min[[#This Row],[2022]]</f>
        <v>0</v>
      </c>
      <c r="Z74" s="416">
        <f t="shared" ref="Z74:AH74" si="9">Z$92*$V45</f>
        <v>84.149943404673678</v>
      </c>
      <c r="AA74" s="416">
        <f t="shared" si="9"/>
        <v>84.149943404673678</v>
      </c>
      <c r="AB74" s="416">
        <f t="shared" si="9"/>
        <v>84.149943404673678</v>
      </c>
      <c r="AC74" s="416">
        <f t="shared" si="9"/>
        <v>84.149943404673678</v>
      </c>
      <c r="AD74" s="416">
        <f t="shared" si="9"/>
        <v>84.149943404673678</v>
      </c>
      <c r="AE74" s="416">
        <f t="shared" si="9"/>
        <v>84.149943404673678</v>
      </c>
      <c r="AF74" s="416">
        <f t="shared" si="9"/>
        <v>84.149943404673678</v>
      </c>
      <c r="AG74" s="416">
        <f t="shared" si="9"/>
        <v>84.149943404673678</v>
      </c>
      <c r="AH74" s="416">
        <f t="shared" si="9"/>
        <v>84.149943404673678</v>
      </c>
    </row>
    <row r="75" spans="5:34">
      <c r="E75" s="416" t="s">
        <v>88</v>
      </c>
      <c r="F75" s="416">
        <v>0</v>
      </c>
      <c r="G75" s="416">
        <v>0</v>
      </c>
      <c r="H75" s="416">
        <v>0</v>
      </c>
      <c r="I75" s="416">
        <v>0</v>
      </c>
      <c r="J75" s="416">
        <v>0</v>
      </c>
      <c r="K75" s="416">
        <v>0</v>
      </c>
      <c r="L75" s="416">
        <v>0</v>
      </c>
      <c r="M75" s="416">
        <v>0</v>
      </c>
      <c r="N75" s="416">
        <v>0</v>
      </c>
      <c r="O75" s="416">
        <v>0</v>
      </c>
      <c r="P75" s="416">
        <v>0</v>
      </c>
      <c r="W75" s="416" t="s">
        <v>88</v>
      </c>
      <c r="X75" s="416">
        <f>EG_OCGT_min[[#This Row],[2021]]</f>
        <v>0</v>
      </c>
      <c r="Y75" s="416">
        <f>EG_OCGT_min[[#This Row],[2022]]</f>
        <v>0</v>
      </c>
      <c r="Z75" s="416">
        <f t="shared" ref="Z75:AH75" si="10">Z$92*$V46</f>
        <v>0</v>
      </c>
      <c r="AA75" s="416">
        <f t="shared" si="10"/>
        <v>0</v>
      </c>
      <c r="AB75" s="416">
        <f t="shared" si="10"/>
        <v>0</v>
      </c>
      <c r="AC75" s="416">
        <f t="shared" si="10"/>
        <v>0</v>
      </c>
      <c r="AD75" s="416">
        <f t="shared" si="10"/>
        <v>0</v>
      </c>
      <c r="AE75" s="416">
        <f t="shared" si="10"/>
        <v>0</v>
      </c>
      <c r="AF75" s="416">
        <f t="shared" si="10"/>
        <v>0</v>
      </c>
      <c r="AG75" s="416">
        <f t="shared" si="10"/>
        <v>0</v>
      </c>
      <c r="AH75" s="416">
        <f t="shared" si="10"/>
        <v>0</v>
      </c>
    </row>
    <row r="76" spans="5:34">
      <c r="E76" s="416" t="s">
        <v>89</v>
      </c>
      <c r="F76" s="416">
        <v>0</v>
      </c>
      <c r="G76" s="416">
        <v>0</v>
      </c>
      <c r="H76" s="416">
        <v>0</v>
      </c>
      <c r="I76" s="416">
        <v>0</v>
      </c>
      <c r="J76" s="416">
        <v>0</v>
      </c>
      <c r="K76" s="416">
        <v>0</v>
      </c>
      <c r="L76" s="416">
        <v>0</v>
      </c>
      <c r="M76" s="416">
        <v>0</v>
      </c>
      <c r="N76" s="416">
        <v>0</v>
      </c>
      <c r="O76" s="416">
        <v>0</v>
      </c>
      <c r="P76" s="416">
        <v>0</v>
      </c>
      <c r="W76" s="416" t="s">
        <v>89</v>
      </c>
      <c r="X76" s="416">
        <f>EG_OCGT_min[[#This Row],[2021]]</f>
        <v>0</v>
      </c>
      <c r="Y76" s="416">
        <f>EG_OCGT_min[[#This Row],[2022]]</f>
        <v>0</v>
      </c>
      <c r="Z76" s="416">
        <f t="shared" ref="Z76:AH76" si="11">Z$92*$V47</f>
        <v>16.268367451663426</v>
      </c>
      <c r="AA76" s="416">
        <f t="shared" si="11"/>
        <v>16.268367451663426</v>
      </c>
      <c r="AB76" s="416">
        <f t="shared" si="11"/>
        <v>16.268367451663426</v>
      </c>
      <c r="AC76" s="416">
        <f t="shared" si="11"/>
        <v>16.268367451663426</v>
      </c>
      <c r="AD76" s="416">
        <f t="shared" si="11"/>
        <v>16.268367451663426</v>
      </c>
      <c r="AE76" s="416">
        <f t="shared" si="11"/>
        <v>16.268367451663426</v>
      </c>
      <c r="AF76" s="416">
        <f t="shared" si="11"/>
        <v>16.268367451663426</v>
      </c>
      <c r="AG76" s="416">
        <f t="shared" si="11"/>
        <v>16.268367451663426</v>
      </c>
      <c r="AH76" s="416">
        <f t="shared" si="11"/>
        <v>16.268367451663426</v>
      </c>
    </row>
    <row r="77" spans="5:34">
      <c r="E77" s="416" t="s">
        <v>20</v>
      </c>
      <c r="F77" s="416">
        <v>0</v>
      </c>
      <c r="G77" s="416">
        <v>0</v>
      </c>
      <c r="H77" s="416">
        <v>0</v>
      </c>
      <c r="I77" s="416">
        <v>0</v>
      </c>
      <c r="J77" s="416">
        <v>0</v>
      </c>
      <c r="K77" s="416">
        <v>0</v>
      </c>
      <c r="L77" s="416">
        <v>0</v>
      </c>
      <c r="M77" s="416">
        <v>0</v>
      </c>
      <c r="N77" s="416">
        <v>0</v>
      </c>
      <c r="O77" s="416">
        <v>0</v>
      </c>
      <c r="P77" s="416">
        <v>0</v>
      </c>
      <c r="W77" s="416" t="s">
        <v>20</v>
      </c>
      <c r="X77" s="416">
        <f>EG_OCGT_min[[#This Row],[2021]]</f>
        <v>0</v>
      </c>
      <c r="Y77" s="416">
        <f>EG_OCGT_min[[#This Row],[2022]]</f>
        <v>0</v>
      </c>
      <c r="Z77" s="416">
        <f t="shared" ref="Z77:AH77" si="12">Z$92*$V48</f>
        <v>9.4821341718266812</v>
      </c>
      <c r="AA77" s="416">
        <f t="shared" si="12"/>
        <v>9.4821341718266812</v>
      </c>
      <c r="AB77" s="416">
        <f t="shared" si="12"/>
        <v>9.4821341718266812</v>
      </c>
      <c r="AC77" s="416">
        <f t="shared" si="12"/>
        <v>9.4821341718266812</v>
      </c>
      <c r="AD77" s="416">
        <f t="shared" si="12"/>
        <v>9.4821341718266812</v>
      </c>
      <c r="AE77" s="416">
        <f t="shared" si="12"/>
        <v>9.4821341718266812</v>
      </c>
      <c r="AF77" s="416">
        <f t="shared" si="12"/>
        <v>9.4821341718266812</v>
      </c>
      <c r="AG77" s="416">
        <f t="shared" si="12"/>
        <v>9.4821341718266812</v>
      </c>
      <c r="AH77" s="416">
        <f t="shared" si="12"/>
        <v>9.4821341718266812</v>
      </c>
    </row>
    <row r="78" spans="5:34">
      <c r="E78" s="416" t="s">
        <v>11</v>
      </c>
      <c r="F78" s="416">
        <v>0</v>
      </c>
      <c r="G78" s="416">
        <v>0</v>
      </c>
      <c r="H78" s="416">
        <v>0</v>
      </c>
      <c r="I78" s="416">
        <v>0</v>
      </c>
      <c r="J78" s="416">
        <v>0</v>
      </c>
      <c r="K78" s="416">
        <v>0</v>
      </c>
      <c r="L78" s="416">
        <v>0</v>
      </c>
      <c r="M78" s="416">
        <v>0</v>
      </c>
      <c r="N78" s="416">
        <v>0</v>
      </c>
      <c r="O78" s="416">
        <v>0</v>
      </c>
      <c r="P78" s="416">
        <v>0</v>
      </c>
      <c r="W78" s="416" t="s">
        <v>11</v>
      </c>
      <c r="X78" s="416">
        <f>EG_OCGT_min[[#This Row],[2021]]</f>
        <v>0</v>
      </c>
      <c r="Y78" s="416">
        <f>EG_OCGT_min[[#This Row],[2022]]</f>
        <v>0</v>
      </c>
      <c r="Z78" s="416">
        <f t="shared" ref="Z78:AH78" si="13">Z$92*$V49</f>
        <v>47.122488349989659</v>
      </c>
      <c r="AA78" s="416">
        <f t="shared" si="13"/>
        <v>47.122488349989659</v>
      </c>
      <c r="AB78" s="416">
        <f t="shared" si="13"/>
        <v>47.122488349989659</v>
      </c>
      <c r="AC78" s="416">
        <f t="shared" si="13"/>
        <v>47.122488349989659</v>
      </c>
      <c r="AD78" s="416">
        <f t="shared" si="13"/>
        <v>47.122488349989659</v>
      </c>
      <c r="AE78" s="416">
        <f t="shared" si="13"/>
        <v>47.122488349989659</v>
      </c>
      <c r="AF78" s="416">
        <f t="shared" si="13"/>
        <v>47.122488349989659</v>
      </c>
      <c r="AG78" s="416">
        <f t="shared" si="13"/>
        <v>47.122488349989659</v>
      </c>
      <c r="AH78" s="416">
        <f t="shared" si="13"/>
        <v>47.122488349989659</v>
      </c>
    </row>
    <row r="79" spans="5:34">
      <c r="E79" s="416" t="s">
        <v>12</v>
      </c>
      <c r="F79" s="416">
        <v>0</v>
      </c>
      <c r="G79" s="416">
        <v>0</v>
      </c>
      <c r="H79" s="416">
        <v>0</v>
      </c>
      <c r="I79" s="416">
        <v>0</v>
      </c>
      <c r="J79" s="416">
        <v>0</v>
      </c>
      <c r="K79" s="416">
        <v>0</v>
      </c>
      <c r="L79" s="416">
        <v>0</v>
      </c>
      <c r="M79" s="416">
        <v>0</v>
      </c>
      <c r="N79" s="416">
        <v>0</v>
      </c>
      <c r="O79" s="416">
        <v>0</v>
      </c>
      <c r="P79" s="416">
        <v>0</v>
      </c>
      <c r="W79" s="416" t="s">
        <v>12</v>
      </c>
      <c r="X79" s="416">
        <f>EG_OCGT_min[[#This Row],[2021]]</f>
        <v>0</v>
      </c>
      <c r="Y79" s="416">
        <f>EG_OCGT_min[[#This Row],[2022]]</f>
        <v>0</v>
      </c>
      <c r="Z79" s="416">
        <f t="shared" ref="Z79:AH79" si="14">Z$92*$V50</f>
        <v>67.77494842462707</v>
      </c>
      <c r="AA79" s="416">
        <f t="shared" si="14"/>
        <v>67.77494842462707</v>
      </c>
      <c r="AB79" s="416">
        <f t="shared" si="14"/>
        <v>67.77494842462707</v>
      </c>
      <c r="AC79" s="416">
        <f t="shared" si="14"/>
        <v>67.77494842462707</v>
      </c>
      <c r="AD79" s="416">
        <f t="shared" si="14"/>
        <v>67.77494842462707</v>
      </c>
      <c r="AE79" s="416">
        <f t="shared" si="14"/>
        <v>67.77494842462707</v>
      </c>
      <c r="AF79" s="416">
        <f t="shared" si="14"/>
        <v>67.77494842462707</v>
      </c>
      <c r="AG79" s="416">
        <f t="shared" si="14"/>
        <v>67.77494842462707</v>
      </c>
      <c r="AH79" s="416">
        <f t="shared" si="14"/>
        <v>67.77494842462707</v>
      </c>
    </row>
    <row r="80" spans="5:34">
      <c r="E80" s="416" t="s">
        <v>9</v>
      </c>
      <c r="F80" s="416">
        <v>0</v>
      </c>
      <c r="G80" s="416">
        <v>0</v>
      </c>
      <c r="H80" s="416">
        <v>0</v>
      </c>
      <c r="I80" s="416">
        <v>0</v>
      </c>
      <c r="J80" s="416">
        <v>0</v>
      </c>
      <c r="K80" s="416">
        <v>0</v>
      </c>
      <c r="L80" s="416">
        <v>0</v>
      </c>
      <c r="M80" s="416">
        <v>0</v>
      </c>
      <c r="N80" s="416">
        <v>0</v>
      </c>
      <c r="O80" s="416">
        <v>0</v>
      </c>
      <c r="P80" s="416">
        <v>0</v>
      </c>
      <c r="W80" s="416" t="s">
        <v>9</v>
      </c>
      <c r="X80" s="416">
        <f>EG_OCGT_min[[#This Row],[2021]]</f>
        <v>0</v>
      </c>
      <c r="Y80" s="416">
        <f>EG_OCGT_min[[#This Row],[2022]]</f>
        <v>0</v>
      </c>
      <c r="Z80" s="416">
        <f t="shared" ref="Z80:AH80" si="15">Z$92*$V51</f>
        <v>15.278878862203392</v>
      </c>
      <c r="AA80" s="416">
        <f t="shared" si="15"/>
        <v>15.278878862203392</v>
      </c>
      <c r="AB80" s="416">
        <f t="shared" si="15"/>
        <v>15.278878862203392</v>
      </c>
      <c r="AC80" s="416">
        <f t="shared" si="15"/>
        <v>15.278878862203392</v>
      </c>
      <c r="AD80" s="416">
        <f t="shared" si="15"/>
        <v>15.278878862203392</v>
      </c>
      <c r="AE80" s="416">
        <f t="shared" si="15"/>
        <v>15.278878862203392</v>
      </c>
      <c r="AF80" s="416">
        <f t="shared" si="15"/>
        <v>15.278878862203392</v>
      </c>
      <c r="AG80" s="416">
        <f t="shared" si="15"/>
        <v>15.278878862203392</v>
      </c>
      <c r="AH80" s="416">
        <f t="shared" si="15"/>
        <v>15.278878862203392</v>
      </c>
    </row>
    <row r="81" spans="5:34">
      <c r="E81" s="416" t="s">
        <v>10</v>
      </c>
      <c r="F81" s="416">
        <v>0</v>
      </c>
      <c r="G81" s="416">
        <v>0</v>
      </c>
      <c r="H81" s="416">
        <v>0</v>
      </c>
      <c r="I81" s="416">
        <v>0</v>
      </c>
      <c r="J81" s="416">
        <v>0</v>
      </c>
      <c r="K81" s="416">
        <v>0</v>
      </c>
      <c r="L81" s="416">
        <v>0</v>
      </c>
      <c r="M81" s="416">
        <v>0</v>
      </c>
      <c r="N81" s="416">
        <v>0</v>
      </c>
      <c r="O81" s="416">
        <v>0</v>
      </c>
      <c r="P81" s="416">
        <v>0</v>
      </c>
      <c r="W81" s="416" t="s">
        <v>10</v>
      </c>
      <c r="X81" s="416">
        <f>EG_OCGT_min[[#This Row],[2021]]</f>
        <v>0</v>
      </c>
      <c r="Y81" s="416">
        <f>EG_OCGT_min[[#This Row],[2022]]</f>
        <v>0</v>
      </c>
      <c r="Z81" s="416">
        <f t="shared" ref="Z81:AH81" si="16">Z$92*$V52</f>
        <v>363.54651154143056</v>
      </c>
      <c r="AA81" s="416">
        <f t="shared" si="16"/>
        <v>363.54651154143056</v>
      </c>
      <c r="AB81" s="416">
        <f t="shared" si="16"/>
        <v>363.54651154143056</v>
      </c>
      <c r="AC81" s="416">
        <f t="shared" si="16"/>
        <v>363.54651154143056</v>
      </c>
      <c r="AD81" s="416">
        <f t="shared" si="16"/>
        <v>363.54651154143056</v>
      </c>
      <c r="AE81" s="416">
        <f t="shared" si="16"/>
        <v>363.54651154143056</v>
      </c>
      <c r="AF81" s="416">
        <f t="shared" si="16"/>
        <v>363.54651154143056</v>
      </c>
      <c r="AG81" s="416">
        <f t="shared" si="16"/>
        <v>363.54651154143056</v>
      </c>
      <c r="AH81" s="416">
        <f t="shared" si="16"/>
        <v>363.54651154143056</v>
      </c>
    </row>
    <row r="82" spans="5:34">
      <c r="E82" s="416" t="s">
        <v>16</v>
      </c>
      <c r="F82" s="416">
        <v>0</v>
      </c>
      <c r="G82" s="416">
        <v>0</v>
      </c>
      <c r="H82" s="416">
        <v>0</v>
      </c>
      <c r="I82" s="416">
        <v>0</v>
      </c>
      <c r="J82" s="416">
        <v>0</v>
      </c>
      <c r="K82" s="416">
        <v>0</v>
      </c>
      <c r="L82" s="416">
        <v>0</v>
      </c>
      <c r="M82" s="416">
        <v>0</v>
      </c>
      <c r="N82" s="416">
        <v>0</v>
      </c>
      <c r="O82" s="416">
        <v>0</v>
      </c>
      <c r="P82" s="416">
        <v>0</v>
      </c>
      <c r="W82" s="416" t="s">
        <v>16</v>
      </c>
      <c r="X82" s="416">
        <f>EG_OCGT_min[[#This Row],[2021]]</f>
        <v>0</v>
      </c>
      <c r="Y82" s="416">
        <f>EG_OCGT_min[[#This Row],[2022]]</f>
        <v>0</v>
      </c>
      <c r="Z82" s="416">
        <f t="shared" ref="Z82:AH82" si="17">Z$92*$V53</f>
        <v>34.674863196974044</v>
      </c>
      <c r="AA82" s="416">
        <f t="shared" si="17"/>
        <v>34.674863196974044</v>
      </c>
      <c r="AB82" s="416">
        <f t="shared" si="17"/>
        <v>34.674863196974044</v>
      </c>
      <c r="AC82" s="416">
        <f t="shared" si="17"/>
        <v>34.674863196974044</v>
      </c>
      <c r="AD82" s="416">
        <f t="shared" si="17"/>
        <v>34.674863196974044</v>
      </c>
      <c r="AE82" s="416">
        <f t="shared" si="17"/>
        <v>34.674863196974044</v>
      </c>
      <c r="AF82" s="416">
        <f t="shared" si="17"/>
        <v>34.674863196974044</v>
      </c>
      <c r="AG82" s="416">
        <f t="shared" si="17"/>
        <v>34.674863196974044</v>
      </c>
      <c r="AH82" s="416">
        <f t="shared" si="17"/>
        <v>34.674863196974044</v>
      </c>
    </row>
    <row r="83" spans="5:34">
      <c r="E83" s="416" t="s">
        <v>1</v>
      </c>
      <c r="F83" s="416">
        <v>0</v>
      </c>
      <c r="G83" s="416">
        <v>0</v>
      </c>
      <c r="H83" s="416">
        <v>0</v>
      </c>
      <c r="I83" s="416">
        <v>0</v>
      </c>
      <c r="J83" s="416">
        <v>0</v>
      </c>
      <c r="K83" s="416">
        <v>0</v>
      </c>
      <c r="L83" s="416">
        <v>0</v>
      </c>
      <c r="M83" s="416">
        <v>0</v>
      </c>
      <c r="N83" s="416">
        <v>0</v>
      </c>
      <c r="O83" s="416">
        <v>0</v>
      </c>
      <c r="P83" s="416">
        <v>0</v>
      </c>
      <c r="W83" s="416" t="s">
        <v>1</v>
      </c>
      <c r="X83" s="416">
        <f>EG_OCGT_min[[#This Row],[2021]]</f>
        <v>0</v>
      </c>
      <c r="Y83" s="416">
        <f>EG_OCGT_min[[#This Row],[2022]]</f>
        <v>0</v>
      </c>
      <c r="Z83" s="416">
        <f t="shared" ref="Z83:AH83" si="18">Z$92*$V54</f>
        <v>6.9946543074174823</v>
      </c>
      <c r="AA83" s="416">
        <f t="shared" si="18"/>
        <v>6.9946543074174823</v>
      </c>
      <c r="AB83" s="416">
        <f t="shared" si="18"/>
        <v>6.9946543074174823</v>
      </c>
      <c r="AC83" s="416">
        <f t="shared" si="18"/>
        <v>6.9946543074174823</v>
      </c>
      <c r="AD83" s="416">
        <f t="shared" si="18"/>
        <v>6.9946543074174823</v>
      </c>
      <c r="AE83" s="416">
        <f t="shared" si="18"/>
        <v>6.9946543074174823</v>
      </c>
      <c r="AF83" s="416">
        <f t="shared" si="18"/>
        <v>6.9946543074174823</v>
      </c>
      <c r="AG83" s="416">
        <f t="shared" si="18"/>
        <v>6.9946543074174823</v>
      </c>
      <c r="AH83" s="416">
        <f t="shared" si="18"/>
        <v>6.9946543074174823</v>
      </c>
    </row>
    <row r="84" spans="5:34">
      <c r="E84" s="416" t="s">
        <v>6</v>
      </c>
      <c r="F84" s="416">
        <v>0</v>
      </c>
      <c r="G84" s="416">
        <v>0</v>
      </c>
      <c r="H84" s="416">
        <v>0</v>
      </c>
      <c r="I84" s="416">
        <v>0</v>
      </c>
      <c r="J84" s="416">
        <v>0</v>
      </c>
      <c r="K84" s="416">
        <v>0</v>
      </c>
      <c r="L84" s="416">
        <v>0</v>
      </c>
      <c r="M84" s="416">
        <v>0</v>
      </c>
      <c r="N84" s="416">
        <v>0</v>
      </c>
      <c r="O84" s="416">
        <v>0</v>
      </c>
      <c r="P84" s="416">
        <v>0</v>
      </c>
      <c r="W84" s="416" t="s">
        <v>6</v>
      </c>
      <c r="X84" s="416">
        <f>EG_OCGT_min[[#This Row],[2021]]</f>
        <v>0</v>
      </c>
      <c r="Y84" s="416">
        <f>EG_OCGT_min[[#This Row],[2022]]</f>
        <v>0</v>
      </c>
      <c r="Z84" s="416">
        <f t="shared" ref="Z84:AH84" si="19">Z$92*$V55</f>
        <v>104.52928083032259</v>
      </c>
      <c r="AA84" s="416">
        <f t="shared" si="19"/>
        <v>104.52928083032259</v>
      </c>
      <c r="AB84" s="416">
        <f t="shared" si="19"/>
        <v>104.52928083032259</v>
      </c>
      <c r="AC84" s="416">
        <f t="shared" si="19"/>
        <v>104.52928083032259</v>
      </c>
      <c r="AD84" s="416">
        <f t="shared" si="19"/>
        <v>104.52928083032259</v>
      </c>
      <c r="AE84" s="416">
        <f t="shared" si="19"/>
        <v>104.52928083032259</v>
      </c>
      <c r="AF84" s="416">
        <f t="shared" si="19"/>
        <v>104.52928083032259</v>
      </c>
      <c r="AG84" s="416">
        <f t="shared" si="19"/>
        <v>104.52928083032259</v>
      </c>
      <c r="AH84" s="416">
        <f t="shared" si="19"/>
        <v>104.52928083032259</v>
      </c>
    </row>
    <row r="85" spans="5:34">
      <c r="E85" s="416" t="s">
        <v>13</v>
      </c>
      <c r="F85" s="416">
        <v>0</v>
      </c>
      <c r="G85" s="416">
        <v>0</v>
      </c>
      <c r="H85" s="416">
        <v>0</v>
      </c>
      <c r="I85" s="416">
        <v>0</v>
      </c>
      <c r="J85" s="416">
        <v>0</v>
      </c>
      <c r="K85" s="416">
        <v>0</v>
      </c>
      <c r="L85" s="416">
        <v>0</v>
      </c>
      <c r="M85" s="416">
        <v>0</v>
      </c>
      <c r="N85" s="416">
        <v>0</v>
      </c>
      <c r="O85" s="416">
        <v>0</v>
      </c>
      <c r="P85" s="416">
        <v>0</v>
      </c>
      <c r="W85" s="416" t="s">
        <v>13</v>
      </c>
      <c r="X85" s="416">
        <f>EG_OCGT_min[[#This Row],[2021]]</f>
        <v>0</v>
      </c>
      <c r="Y85" s="416">
        <f>EG_OCGT_min[[#This Row],[2022]]</f>
        <v>0</v>
      </c>
      <c r="Z85" s="416">
        <f t="shared" ref="Z85:AH85" si="20">Z$92*$V56</f>
        <v>123.14289613381783</v>
      </c>
      <c r="AA85" s="416">
        <f t="shared" si="20"/>
        <v>123.14289613381783</v>
      </c>
      <c r="AB85" s="416">
        <f t="shared" si="20"/>
        <v>123.14289613381783</v>
      </c>
      <c r="AC85" s="416">
        <f t="shared" si="20"/>
        <v>123.14289613381783</v>
      </c>
      <c r="AD85" s="416">
        <f t="shared" si="20"/>
        <v>123.14289613381783</v>
      </c>
      <c r="AE85" s="416">
        <f t="shared" si="20"/>
        <v>123.14289613381783</v>
      </c>
      <c r="AF85" s="416">
        <f t="shared" si="20"/>
        <v>123.14289613381783</v>
      </c>
      <c r="AG85" s="416">
        <f t="shared" si="20"/>
        <v>123.14289613381783</v>
      </c>
      <c r="AH85" s="416">
        <f t="shared" si="20"/>
        <v>123.14289613381783</v>
      </c>
    </row>
    <row r="86" spans="5:34">
      <c r="E86" s="416" t="s">
        <v>15</v>
      </c>
      <c r="F86" s="416">
        <v>0</v>
      </c>
      <c r="G86" s="416">
        <v>0</v>
      </c>
      <c r="H86" s="416">
        <v>0</v>
      </c>
      <c r="I86" s="416">
        <v>0</v>
      </c>
      <c r="J86" s="416">
        <v>0</v>
      </c>
      <c r="K86" s="416">
        <v>0</v>
      </c>
      <c r="L86" s="416">
        <v>0</v>
      </c>
      <c r="M86" s="416">
        <v>0</v>
      </c>
      <c r="N86" s="416">
        <v>0</v>
      </c>
      <c r="O86" s="416">
        <v>0</v>
      </c>
      <c r="P86" s="416">
        <v>0</v>
      </c>
      <c r="W86" s="416" t="s">
        <v>15</v>
      </c>
      <c r="X86" s="416">
        <f>EG_OCGT_min[[#This Row],[2021]]</f>
        <v>0</v>
      </c>
      <c r="Y86" s="416">
        <f>EG_OCGT_min[[#This Row],[2022]]</f>
        <v>0</v>
      </c>
      <c r="Z86" s="416">
        <f t="shared" ref="Z86:AH86" si="21">Z$92*$V57</f>
        <v>9.2962099723790992E-2</v>
      </c>
      <c r="AA86" s="416">
        <f t="shared" si="21"/>
        <v>9.2962099723790992E-2</v>
      </c>
      <c r="AB86" s="416">
        <f t="shared" si="21"/>
        <v>9.2962099723790992E-2</v>
      </c>
      <c r="AC86" s="416">
        <f t="shared" si="21"/>
        <v>9.2962099723790992E-2</v>
      </c>
      <c r="AD86" s="416">
        <f t="shared" si="21"/>
        <v>9.2962099723790992E-2</v>
      </c>
      <c r="AE86" s="416">
        <f t="shared" si="21"/>
        <v>9.2962099723790992E-2</v>
      </c>
      <c r="AF86" s="416">
        <f t="shared" si="21"/>
        <v>9.2962099723790992E-2</v>
      </c>
      <c r="AG86" s="416">
        <f t="shared" si="21"/>
        <v>9.2962099723790992E-2</v>
      </c>
      <c r="AH86" s="416">
        <f t="shared" si="21"/>
        <v>9.2962099723790992E-2</v>
      </c>
    </row>
    <row r="87" spans="5:34">
      <c r="E87" s="416" t="s">
        <v>0</v>
      </c>
      <c r="F87" s="416">
        <v>0</v>
      </c>
      <c r="G87" s="416">
        <v>0</v>
      </c>
      <c r="H87" s="416">
        <v>0</v>
      </c>
      <c r="I87" s="416">
        <v>0</v>
      </c>
      <c r="J87" s="416">
        <v>0</v>
      </c>
      <c r="K87" s="416">
        <v>0</v>
      </c>
      <c r="L87" s="416">
        <v>0</v>
      </c>
      <c r="M87" s="416">
        <v>0</v>
      </c>
      <c r="N87" s="416">
        <v>0</v>
      </c>
      <c r="O87" s="416">
        <v>0</v>
      </c>
      <c r="P87" s="416">
        <v>0</v>
      </c>
      <c r="W87" s="416" t="s">
        <v>0</v>
      </c>
      <c r="X87" s="416">
        <f>EG_OCGT_min[[#This Row],[2021]]</f>
        <v>0</v>
      </c>
      <c r="Y87" s="416">
        <f>EG_OCGT_min[[#This Row],[2022]]</f>
        <v>0</v>
      </c>
      <c r="Z87" s="416">
        <f t="shared" ref="Z87:AH87" si="22">Z$92*$V58</f>
        <v>168.34181271632281</v>
      </c>
      <c r="AA87" s="416">
        <f t="shared" si="22"/>
        <v>168.34181271632281</v>
      </c>
      <c r="AB87" s="416">
        <f t="shared" si="22"/>
        <v>168.34181271632281</v>
      </c>
      <c r="AC87" s="416">
        <f t="shared" si="22"/>
        <v>168.34181271632281</v>
      </c>
      <c r="AD87" s="416">
        <f t="shared" si="22"/>
        <v>168.34181271632281</v>
      </c>
      <c r="AE87" s="416">
        <f t="shared" si="22"/>
        <v>168.34181271632281</v>
      </c>
      <c r="AF87" s="416">
        <f t="shared" si="22"/>
        <v>168.34181271632281</v>
      </c>
      <c r="AG87" s="416">
        <f t="shared" si="22"/>
        <v>168.34181271632281</v>
      </c>
      <c r="AH87" s="416">
        <f t="shared" si="22"/>
        <v>168.34181271632281</v>
      </c>
    </row>
    <row r="88" spans="5:34">
      <c r="E88" s="416" t="s">
        <v>4</v>
      </c>
      <c r="F88" s="416">
        <v>0</v>
      </c>
      <c r="G88" s="416">
        <v>0</v>
      </c>
      <c r="H88" s="416">
        <v>0</v>
      </c>
      <c r="I88" s="416">
        <v>0</v>
      </c>
      <c r="J88" s="416">
        <v>0</v>
      </c>
      <c r="K88" s="416">
        <v>0</v>
      </c>
      <c r="L88" s="416">
        <v>0</v>
      </c>
      <c r="M88" s="416">
        <v>0</v>
      </c>
      <c r="N88" s="416">
        <v>0</v>
      </c>
      <c r="O88" s="416">
        <v>0</v>
      </c>
      <c r="P88" s="416">
        <v>0</v>
      </c>
      <c r="W88" s="416" t="s">
        <v>4</v>
      </c>
      <c r="X88" s="416">
        <f>EG_OCGT_min[[#This Row],[2021]]</f>
        <v>0</v>
      </c>
      <c r="Y88" s="416">
        <f>EG_OCGT_min[[#This Row],[2022]]</f>
        <v>0</v>
      </c>
      <c r="Z88" s="416">
        <f t="shared" ref="Z88:AH88" si="23">Z$92*$V59</f>
        <v>42.752340041974243</v>
      </c>
      <c r="AA88" s="416">
        <f t="shared" si="23"/>
        <v>42.752340041974243</v>
      </c>
      <c r="AB88" s="416">
        <f t="shared" si="23"/>
        <v>42.752340041974243</v>
      </c>
      <c r="AC88" s="416">
        <f t="shared" si="23"/>
        <v>42.752340041974243</v>
      </c>
      <c r="AD88" s="416">
        <f t="shared" si="23"/>
        <v>42.752340041974243</v>
      </c>
      <c r="AE88" s="416">
        <f t="shared" si="23"/>
        <v>42.752340041974243</v>
      </c>
      <c r="AF88" s="416">
        <f t="shared" si="23"/>
        <v>42.752340041974243</v>
      </c>
      <c r="AG88" s="416">
        <f t="shared" si="23"/>
        <v>42.752340041974243</v>
      </c>
      <c r="AH88" s="416">
        <f t="shared" si="23"/>
        <v>42.752340041974243</v>
      </c>
    </row>
    <row r="89" spans="5:34">
      <c r="E89" s="416" t="s">
        <v>17</v>
      </c>
      <c r="F89" s="416">
        <v>0</v>
      </c>
      <c r="G89" s="416">
        <v>0</v>
      </c>
      <c r="H89" s="416">
        <v>0</v>
      </c>
      <c r="I89" s="416">
        <v>0</v>
      </c>
      <c r="J89" s="416">
        <v>0</v>
      </c>
      <c r="K89" s="416">
        <v>0</v>
      </c>
      <c r="L89" s="416">
        <v>0</v>
      </c>
      <c r="M89" s="416">
        <v>0</v>
      </c>
      <c r="N89" s="416">
        <v>0</v>
      </c>
      <c r="O89" s="416">
        <v>0</v>
      </c>
      <c r="P89" s="416">
        <v>0</v>
      </c>
      <c r="W89" s="416" t="s">
        <v>17</v>
      </c>
      <c r="X89" s="416">
        <f>EG_OCGT_min[[#This Row],[2021]]</f>
        <v>0</v>
      </c>
      <c r="Y89" s="416">
        <f>EG_OCGT_min[[#This Row],[2022]]</f>
        <v>0</v>
      </c>
      <c r="Z89" s="416">
        <f t="shared" ref="Z89:AH89" si="24">Z$92*$V60</f>
        <v>28.988185632670298</v>
      </c>
      <c r="AA89" s="416">
        <f t="shared" si="24"/>
        <v>28.988185632670298</v>
      </c>
      <c r="AB89" s="416">
        <f t="shared" si="24"/>
        <v>28.988185632670298</v>
      </c>
      <c r="AC89" s="416">
        <f t="shared" si="24"/>
        <v>28.988185632670298</v>
      </c>
      <c r="AD89" s="416">
        <f t="shared" si="24"/>
        <v>28.988185632670298</v>
      </c>
      <c r="AE89" s="416">
        <f t="shared" si="24"/>
        <v>28.988185632670298</v>
      </c>
      <c r="AF89" s="416">
        <f t="shared" si="24"/>
        <v>28.988185632670298</v>
      </c>
      <c r="AG89" s="416">
        <f t="shared" si="24"/>
        <v>28.988185632670298</v>
      </c>
      <c r="AH89" s="416">
        <f t="shared" si="24"/>
        <v>28.988185632670298</v>
      </c>
    </row>
    <row r="90" spans="5:34">
      <c r="E90" s="416" t="s">
        <v>92</v>
      </c>
      <c r="F90" s="416">
        <v>0</v>
      </c>
      <c r="G90" s="416">
        <v>0</v>
      </c>
      <c r="H90" s="416">
        <v>0</v>
      </c>
      <c r="I90" s="416">
        <v>0</v>
      </c>
      <c r="J90" s="416">
        <v>0</v>
      </c>
      <c r="K90" s="416">
        <v>0</v>
      </c>
      <c r="L90" s="416">
        <v>0</v>
      </c>
      <c r="M90" s="416">
        <v>0</v>
      </c>
      <c r="N90" s="416">
        <v>0</v>
      </c>
      <c r="O90" s="416">
        <v>0</v>
      </c>
      <c r="P90" s="416">
        <v>0</v>
      </c>
      <c r="W90" s="416" t="s">
        <v>92</v>
      </c>
      <c r="X90" s="416">
        <f>EG_OCGT_min[[#This Row],[2021]]</f>
        <v>0</v>
      </c>
      <c r="Y90" s="416">
        <f>EG_OCGT_min[[#This Row],[2022]]</f>
        <v>0</v>
      </c>
      <c r="Z90" s="416">
        <f t="shared" ref="Z90:AH90" si="25">Z$92*$V61</f>
        <v>6.3586076211073053</v>
      </c>
      <c r="AA90" s="416">
        <f t="shared" si="25"/>
        <v>6.3586076211073053</v>
      </c>
      <c r="AB90" s="416">
        <f t="shared" si="25"/>
        <v>6.3586076211073053</v>
      </c>
      <c r="AC90" s="416">
        <f t="shared" si="25"/>
        <v>6.3586076211073053</v>
      </c>
      <c r="AD90" s="416">
        <f t="shared" si="25"/>
        <v>6.3586076211073053</v>
      </c>
      <c r="AE90" s="416">
        <f t="shared" si="25"/>
        <v>6.3586076211073053</v>
      </c>
      <c r="AF90" s="416">
        <f t="shared" si="25"/>
        <v>6.3586076211073053</v>
      </c>
      <c r="AG90" s="416">
        <f t="shared" si="25"/>
        <v>6.3586076211073053</v>
      </c>
      <c r="AH90" s="416">
        <f t="shared" si="25"/>
        <v>6.3586076211073053</v>
      </c>
    </row>
    <row r="91" spans="5:34">
      <c r="E91" s="416" t="s">
        <v>93</v>
      </c>
      <c r="F91" s="416">
        <v>0</v>
      </c>
      <c r="G91" s="416">
        <v>0</v>
      </c>
      <c r="H91" s="416">
        <v>0</v>
      </c>
      <c r="I91" s="416">
        <v>0</v>
      </c>
      <c r="J91" s="416">
        <v>0</v>
      </c>
      <c r="K91" s="416">
        <v>0</v>
      </c>
      <c r="L91" s="416">
        <v>0</v>
      </c>
      <c r="M91" s="416">
        <v>0</v>
      </c>
      <c r="N91" s="416">
        <v>0</v>
      </c>
      <c r="O91" s="416">
        <v>0</v>
      </c>
      <c r="P91" s="416">
        <v>0</v>
      </c>
      <c r="W91" s="416" t="s">
        <v>93</v>
      </c>
      <c r="X91" s="416">
        <f>EG_OCGT_min[[#This Row],[2021]]</f>
        <v>0</v>
      </c>
      <c r="Y91" s="416">
        <f>EG_OCGT_min[[#This Row],[2022]]</f>
        <v>0</v>
      </c>
      <c r="Z91" s="416">
        <f t="shared" ref="Z91:AH91" si="26">Z$92*$V62</f>
        <v>205.29750103002004</v>
      </c>
      <c r="AA91" s="416">
        <f t="shared" si="26"/>
        <v>205.29750103002004</v>
      </c>
      <c r="AB91" s="416">
        <f t="shared" si="26"/>
        <v>205.29750103002004</v>
      </c>
      <c r="AC91" s="416">
        <f t="shared" si="26"/>
        <v>205.29750103002004</v>
      </c>
      <c r="AD91" s="416">
        <f t="shared" si="26"/>
        <v>205.29750103002004</v>
      </c>
      <c r="AE91" s="416">
        <f t="shared" si="26"/>
        <v>205.29750103002004</v>
      </c>
      <c r="AF91" s="416">
        <f t="shared" si="26"/>
        <v>205.29750103002004</v>
      </c>
      <c r="AG91" s="416">
        <f t="shared" si="26"/>
        <v>205.29750103002004</v>
      </c>
      <c r="AH91" s="416">
        <f t="shared" si="26"/>
        <v>205.29750103002004</v>
      </c>
    </row>
    <row r="92" spans="5:34">
      <c r="W92" s="77" t="s">
        <v>1250</v>
      </c>
      <c r="Z92" s="416">
        <f>'MaxCapacity-Input'!E6</f>
        <v>3000</v>
      </c>
      <c r="AA92" s="416">
        <f>'MaxCapacity-Input'!F6</f>
        <v>3000</v>
      </c>
      <c r="AB92" s="416">
        <f>'MaxCapacity-Input'!G6</f>
        <v>3000</v>
      </c>
      <c r="AC92" s="416">
        <f>'MaxCapacity-Input'!H6</f>
        <v>3000</v>
      </c>
      <c r="AD92" s="416">
        <f>'MaxCapacity-Input'!I6</f>
        <v>3000</v>
      </c>
      <c r="AE92" s="416">
        <f>'MaxCapacity-Input'!J6</f>
        <v>3000</v>
      </c>
      <c r="AF92" s="416">
        <f>'MaxCapacity-Input'!K6</f>
        <v>3000</v>
      </c>
      <c r="AG92" s="416">
        <f>'MaxCapacity-Input'!L6</f>
        <v>3000</v>
      </c>
      <c r="AH92" s="416">
        <f>'MaxCapacity-Input'!M6</f>
        <v>3000</v>
      </c>
    </row>
  </sheetData>
  <mergeCells count="10">
    <mergeCell ref="G6:P7"/>
    <mergeCell ref="A6:A7"/>
    <mergeCell ref="B6:B7"/>
    <mergeCell ref="C6:C7"/>
    <mergeCell ref="A2:A3"/>
    <mergeCell ref="B2:B3"/>
    <mergeCell ref="C2:C3"/>
    <mergeCell ref="A4:A5"/>
    <mergeCell ref="B4:B5"/>
    <mergeCell ref="C4:C5"/>
  </mergeCells>
  <hyperlinks>
    <hyperlink ref="B2" r:id="rId1" display="https://www.npcil.nic.in/content/301_1_KakraparAtomicPowerProject.aspx"/>
    <hyperlink ref="B4" r:id="rId2" display="https://www.npcil.nic.in/content/300_1_RajasthanAtomicPowerProject.aspx"/>
    <hyperlink ref="B6" r:id="rId3" display="https://www.npcil.nic.in/content/831_1_KudankulamNuclearPowerProject.aspx"/>
    <hyperlink ref="E1" r:id="rId4"/>
  </hyperlinks>
  <pageMargins left="0.7" right="0.7" top="0.75" bottom="0.75" header="0.3" footer="0.3"/>
  <pageSetup orientation="portrait" r:id="rId5"/>
  <drawing r:id="rId6"/>
  <tableParts count="6">
    <tablePart r:id="rId7"/>
    <tablePart r:id="rId8"/>
    <tablePart r:id="rId9"/>
    <tablePart r:id="rId10"/>
    <tablePart r:id="rId11"/>
    <tablePart r:id="rId1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BH67"/>
  <sheetViews>
    <sheetView zoomScaleNormal="100" workbookViewId="0"/>
  </sheetViews>
  <sheetFormatPr defaultRowHeight="12.75"/>
  <cols>
    <col min="1" max="1" width="9.140625" style="87"/>
    <col min="2" max="2" width="18.28515625" style="58" customWidth="1"/>
    <col min="3" max="6" width="18.42578125" style="58" bestFit="1" customWidth="1"/>
    <col min="7" max="7" width="18.7109375" style="58" customWidth="1"/>
    <col min="8" max="8" width="9.28515625" style="58" bestFit="1" customWidth="1"/>
    <col min="9" max="9" width="9.28515625" style="58" customWidth="1"/>
    <col min="10" max="10" width="13" style="62" bestFit="1" customWidth="1"/>
    <col min="11" max="14" width="13" style="62" customWidth="1"/>
    <col min="15" max="18" width="13" style="249" customWidth="1"/>
    <col min="19" max="19" width="17.7109375" style="58" customWidth="1"/>
    <col min="20" max="21" width="13" style="68" bestFit="1" customWidth="1"/>
    <col min="22" max="22" width="11.28515625" style="219" bestFit="1" customWidth="1"/>
    <col min="23" max="23" width="10.28515625" style="87" bestFit="1" customWidth="1"/>
    <col min="24" max="33" width="9.140625" style="87"/>
    <col min="34" max="34" width="24.140625" style="87" customWidth="1"/>
    <col min="35" max="35" width="9.140625" style="87"/>
    <col min="36" max="36" width="12.5703125" style="87" bestFit="1" customWidth="1"/>
    <col min="37" max="39" width="9.140625" style="87"/>
    <col min="40" max="40" width="9.85546875" style="87" bestFit="1" customWidth="1"/>
    <col min="41" max="41" width="9.7109375" style="87" bestFit="1" customWidth="1"/>
    <col min="42" max="48" width="10.7109375" style="87" bestFit="1" customWidth="1"/>
    <col min="49" max="50" width="9.140625" style="87"/>
    <col min="51" max="51" width="11.5703125" style="87" bestFit="1" customWidth="1"/>
    <col min="52" max="16384" width="9.140625" style="87"/>
  </cols>
  <sheetData>
    <row r="1" spans="2:51" s="77" customFormat="1">
      <c r="B1" s="58"/>
      <c r="C1" s="59" t="s">
        <v>98</v>
      </c>
      <c r="D1" s="60" t="s">
        <v>99</v>
      </c>
      <c r="E1" s="60" t="s">
        <v>99</v>
      </c>
      <c r="F1" s="61"/>
      <c r="G1" s="76"/>
      <c r="H1" s="58"/>
      <c r="I1" s="58"/>
      <c r="J1" s="62"/>
      <c r="K1" s="62"/>
      <c r="L1" s="62"/>
      <c r="M1" s="62"/>
      <c r="N1" s="62"/>
      <c r="O1" s="249"/>
      <c r="P1" s="249"/>
      <c r="Q1" s="249"/>
      <c r="R1" s="249"/>
      <c r="S1" s="58"/>
      <c r="T1" s="68"/>
      <c r="U1" s="68"/>
      <c r="V1" s="86"/>
      <c r="AI1" s="68"/>
    </row>
    <row r="2" spans="2:51" s="77" customFormat="1" ht="51.75" customHeight="1">
      <c r="B2" s="58"/>
      <c r="C2" s="63" t="s">
        <v>97</v>
      </c>
      <c r="D2" s="64" t="s">
        <v>100</v>
      </c>
      <c r="E2" s="64" t="s">
        <v>102</v>
      </c>
      <c r="F2" s="697" t="s">
        <v>112</v>
      </c>
      <c r="G2" s="65" t="s">
        <v>111</v>
      </c>
      <c r="H2" s="64" t="s">
        <v>1385</v>
      </c>
      <c r="I2" s="64"/>
      <c r="J2" s="66"/>
      <c r="K2" s="910" t="s">
        <v>947</v>
      </c>
      <c r="L2" s="910"/>
      <c r="M2" s="910"/>
      <c r="N2" s="646"/>
      <c r="O2" s="250"/>
      <c r="P2" s="911" t="s">
        <v>950</v>
      </c>
      <c r="Q2" s="911"/>
      <c r="R2" s="911"/>
      <c r="S2" s="58" t="s">
        <v>110</v>
      </c>
      <c r="T2" s="912" t="s">
        <v>638</v>
      </c>
      <c r="U2" s="912"/>
      <c r="V2" s="912"/>
      <c r="W2" s="912"/>
      <c r="X2" s="912"/>
      <c r="Y2" s="912"/>
      <c r="Z2" s="912"/>
      <c r="AA2" s="912"/>
      <c r="AB2" s="912"/>
      <c r="AC2" s="912"/>
      <c r="AD2" s="912"/>
      <c r="AE2" s="647"/>
      <c r="AF2" s="647"/>
      <c r="AG2" s="647"/>
      <c r="AH2" s="636" t="s">
        <v>1939</v>
      </c>
      <c r="AI2" s="84" t="s">
        <v>1382</v>
      </c>
    </row>
    <row r="3" spans="2:51" s="77" customFormat="1">
      <c r="B3" s="58"/>
      <c r="C3" s="67" t="s">
        <v>103</v>
      </c>
      <c r="D3" s="58" t="s">
        <v>104</v>
      </c>
      <c r="E3" s="58" t="s">
        <v>105</v>
      </c>
      <c r="F3" s="698" t="s">
        <v>106</v>
      </c>
      <c r="G3" s="78"/>
      <c r="H3" s="58"/>
      <c r="I3" s="58"/>
      <c r="J3" s="62"/>
      <c r="K3" s="62"/>
      <c r="L3" s="62"/>
      <c r="M3" s="62"/>
      <c r="N3" s="62"/>
      <c r="O3" s="249"/>
      <c r="P3" s="699">
        <v>0.2</v>
      </c>
      <c r="Q3" s="700">
        <v>0.3</v>
      </c>
      <c r="R3" s="700">
        <v>0.5</v>
      </c>
      <c r="S3" s="84" t="s">
        <v>117</v>
      </c>
      <c r="T3" s="68"/>
      <c r="U3" s="68"/>
      <c r="V3" s="86"/>
      <c r="AI3" s="84" t="s">
        <v>955</v>
      </c>
      <c r="AJ3" s="84" t="s">
        <v>1237</v>
      </c>
      <c r="AK3" s="350" t="s">
        <v>978</v>
      </c>
      <c r="AL3" s="68"/>
      <c r="AM3" s="68"/>
      <c r="AN3" s="86"/>
      <c r="AY3" s="248"/>
    </row>
    <row r="4" spans="2:51" s="77" customFormat="1">
      <c r="B4" s="58"/>
      <c r="C4" s="79" t="s">
        <v>96</v>
      </c>
      <c r="D4" s="80" t="s">
        <v>96</v>
      </c>
      <c r="E4" s="80" t="s">
        <v>96</v>
      </c>
      <c r="F4" s="701" t="s">
        <v>96</v>
      </c>
      <c r="G4" s="81" t="s">
        <v>110</v>
      </c>
      <c r="H4" s="81" t="s">
        <v>110</v>
      </c>
      <c r="I4" s="82"/>
      <c r="J4" s="83"/>
      <c r="K4" s="247">
        <v>2021</v>
      </c>
      <c r="L4" s="247">
        <v>2022</v>
      </c>
      <c r="M4" s="247">
        <v>2023</v>
      </c>
      <c r="N4" s="247">
        <v>2024</v>
      </c>
      <c r="O4" s="247" t="s">
        <v>949</v>
      </c>
      <c r="P4" s="702">
        <v>2022</v>
      </c>
      <c r="Q4" s="702">
        <v>2023</v>
      </c>
      <c r="R4" s="702">
        <v>2024</v>
      </c>
      <c r="S4" s="82" t="s">
        <v>621</v>
      </c>
      <c r="T4" s="223" t="s">
        <v>618</v>
      </c>
      <c r="U4" s="224" t="s">
        <v>619</v>
      </c>
      <c r="V4" s="225" t="s">
        <v>620</v>
      </c>
      <c r="W4" s="234" t="s">
        <v>660</v>
      </c>
      <c r="X4" s="234" t="s">
        <v>661</v>
      </c>
      <c r="Y4" s="234" t="s">
        <v>662</v>
      </c>
      <c r="Z4" s="234" t="s">
        <v>663</v>
      </c>
      <c r="AA4" s="234" t="s">
        <v>664</v>
      </c>
      <c r="AB4" s="234" t="s">
        <v>665</v>
      </c>
      <c r="AC4" s="234" t="s">
        <v>666</v>
      </c>
      <c r="AD4" s="234" t="s">
        <v>667</v>
      </c>
      <c r="AE4" s="234"/>
      <c r="AF4" s="234"/>
      <c r="AG4" s="234"/>
      <c r="AK4" s="82" t="s">
        <v>621</v>
      </c>
      <c r="AL4" s="223" t="s">
        <v>618</v>
      </c>
      <c r="AM4" s="224" t="s">
        <v>619</v>
      </c>
      <c r="AN4" s="225" t="s">
        <v>620</v>
      </c>
      <c r="AO4" s="234" t="s">
        <v>660</v>
      </c>
      <c r="AP4" s="234" t="s">
        <v>661</v>
      </c>
      <c r="AQ4" s="234" t="s">
        <v>662</v>
      </c>
      <c r="AR4" s="234" t="s">
        <v>663</v>
      </c>
      <c r="AS4" s="234" t="s">
        <v>664</v>
      </c>
      <c r="AT4" s="234" t="s">
        <v>665</v>
      </c>
      <c r="AU4" s="234" t="s">
        <v>666</v>
      </c>
      <c r="AV4" s="234" t="s">
        <v>667</v>
      </c>
    </row>
    <row r="5" spans="2:51" s="77" customFormat="1" ht="15">
      <c r="B5" s="58" t="s">
        <v>14</v>
      </c>
      <c r="C5" s="67">
        <f>SUMIF('Source-MNRE'!$A$6:$A$42,$B5,'Source-MNRE'!$E$6:$E$42)</f>
        <v>4092.45</v>
      </c>
      <c r="D5" s="68">
        <f>SUMIF('Source-BTI'!$B$6:$B$25,'PV&amp;WIND'!B5,'Source-BTI'!$K$6:$K$25)</f>
        <v>4038</v>
      </c>
      <c r="E5" s="68">
        <f>SUMIF('Source-BTI'!$B$6:$B$25,'PV&amp;WIND'!B5,'Source-BTI'!$N$6:$N$25)</f>
        <v>0</v>
      </c>
      <c r="F5" s="703">
        <f t="shared" ref="F5:F30" si="0">IF(D5&gt;C5,(E5+(D5-C5)),E5)</f>
        <v>0</v>
      </c>
      <c r="G5" s="69">
        <f>C5</f>
        <v>4092.45</v>
      </c>
      <c r="H5" s="77">
        <f>SUMIF('Source-MNRE'!$AA$6:$AA$42,'PV&amp;WIND'!B5,'Source-MNRE'!$AB$6:$AB$42)</f>
        <v>4.1999999999998181</v>
      </c>
      <c r="J5" s="248"/>
      <c r="K5" s="215">
        <f>SUMIFS('CEA-underConsWIND2'!$G$4:$G$52,'CEA-underConsWIND2'!$A$4:$A$52,'PV&amp;WIND'!$B5,'CEA-underConsWIND2'!$M$4:$M$52,'PV&amp;WIND'!K$4)</f>
        <v>0</v>
      </c>
      <c r="L5" s="215">
        <f>SUMIFS('CEA-underConsWIND2'!$G$4:$G$52,'CEA-underConsWIND2'!$A$4:$A$52,'PV&amp;WIND'!$B5,'CEA-underConsWIND2'!$M$4:$M$52,'PV&amp;WIND'!L$4)</f>
        <v>0</v>
      </c>
      <c r="M5" s="215">
        <f>SUMIFS('CEA-underConsWIND2'!$G$4:$G$52,'CEA-underConsWIND2'!$A$4:$A$52,'PV&amp;WIND'!$B5,'CEA-underConsWIND2'!$M$4:$M$52,'PV&amp;WIND'!M$4)</f>
        <v>0</v>
      </c>
      <c r="N5" s="215">
        <f>SUMIFS('CEA-underConsWIND2'!$G$4:$G$52,'CEA-underConsWIND2'!$A$4:$A$52,'PV&amp;WIND'!$B5,'CEA-underConsWIND2'!$M$4:$M$52,'PV&amp;WIND'!N$4)</f>
        <v>0</v>
      </c>
      <c r="O5" s="251">
        <f>F5-SUM(K5:N5)</f>
        <v>0</v>
      </c>
      <c r="P5" s="251">
        <f>IF($O5&lt;=0,0,$O5*P$3)</f>
        <v>0</v>
      </c>
      <c r="Q5" s="251">
        <f t="shared" ref="Q5:R20" si="1">IF($O5&lt;=0,0,$O5*Q$3)</f>
        <v>0</v>
      </c>
      <c r="R5" s="251">
        <f t="shared" si="1"/>
        <v>0</v>
      </c>
      <c r="S5" s="77" t="str">
        <f>B5</f>
        <v>AP</v>
      </c>
      <c r="T5" s="243">
        <f t="shared" ref="T5:T29" si="2">H5</f>
        <v>4.1999999999998181</v>
      </c>
      <c r="U5" s="243">
        <f>L5+P5</f>
        <v>0</v>
      </c>
      <c r="V5" s="243">
        <f t="shared" ref="V5" si="3">M5+Q5</f>
        <v>0</v>
      </c>
      <c r="W5" s="243">
        <f t="shared" ref="W5:W29" si="4">N5+R5</f>
        <v>0</v>
      </c>
      <c r="X5" s="243">
        <v>0</v>
      </c>
      <c r="Y5" s="243">
        <v>0</v>
      </c>
      <c r="Z5" s="243">
        <v>0</v>
      </c>
      <c r="AA5" s="243">
        <v>0</v>
      </c>
      <c r="AB5" s="243">
        <v>0</v>
      </c>
      <c r="AC5" s="243">
        <v>0</v>
      </c>
      <c r="AD5" s="243">
        <v>0</v>
      </c>
      <c r="AE5" s="243"/>
      <c r="AF5" s="243"/>
      <c r="AG5" s="243"/>
      <c r="AH5" s="635">
        <f>VLOOKUP(EG_WIND_max[[#This Row],[SubGeography2]],'MaxCapacity-Input'!$G$65:$L$90,6,FALSE)</f>
        <v>5.2215777197910261E-3</v>
      </c>
      <c r="AI5" s="77">
        <f>SUMIFS('Electricity Potential'!$G$5:$G$190,'Electricity Potential'!$C$5:$C$190,'PV&amp;WIND'!S5,'Electricity Potential'!$D$5:$D$190,'PV&amp;WIND'!AI$3)</f>
        <v>74906</v>
      </c>
      <c r="AJ5" s="420">
        <f>AI5/$AI$30</f>
        <v>0.10790246628858212</v>
      </c>
      <c r="AK5" s="77" t="str">
        <f>EG_WIND_min[[#This Row],[SubGeography2]]</f>
        <v>AP</v>
      </c>
      <c r="AL5" s="243">
        <f>EG_WIND_min[[#This Row],[2021]]*(1+$AH5)</f>
        <v>4.2219306264229397</v>
      </c>
      <c r="AM5" s="243">
        <f>EG_WIND_min[[#This Row],[2022]]*(1+$AH5)</f>
        <v>0</v>
      </c>
      <c r="AN5" s="243">
        <f>EG_WIND_min[[#This Row],[2023]]*(1+$AH5)</f>
        <v>0</v>
      </c>
      <c r="AO5" s="243">
        <f>MAX($AJ5*AO$31,EG_WIND_min[[#This Row],[2024]]*(1+$AH11))</f>
        <v>323.70739886574637</v>
      </c>
      <c r="AP5" s="243">
        <f t="shared" ref="AP5:AV14" si="5">$AJ5*AP$31</f>
        <v>539.51233144291064</v>
      </c>
      <c r="AQ5" s="243">
        <f t="shared" si="5"/>
        <v>755.31726402007484</v>
      </c>
      <c r="AR5" s="243">
        <f t="shared" si="5"/>
        <v>755.31726402007484</v>
      </c>
      <c r="AS5" s="243">
        <f t="shared" si="5"/>
        <v>755.31726402007484</v>
      </c>
      <c r="AT5" s="243">
        <f t="shared" si="5"/>
        <v>755.31726402007484</v>
      </c>
      <c r="AU5" s="243">
        <f t="shared" si="5"/>
        <v>755.31726402007484</v>
      </c>
      <c r="AV5" s="243">
        <f t="shared" si="5"/>
        <v>755.31726402007484</v>
      </c>
    </row>
    <row r="6" spans="2:51" s="77" customFormat="1" ht="15">
      <c r="B6" s="58" t="s">
        <v>90</v>
      </c>
      <c r="C6" s="67">
        <f>SUMIF('Source-MNRE'!$A$6:$A$42,$B6,'Source-MNRE'!$E$6:$E$42)</f>
        <v>0</v>
      </c>
      <c r="D6" s="68">
        <f>SUMIF('Source-BTI'!$B$6:$B$25,'PV&amp;WIND'!B6,'Source-BTI'!$K$6:$K$25)</f>
        <v>0</v>
      </c>
      <c r="E6" s="68">
        <f>SUMIF('Source-BTI'!$B$6:$B$25,'PV&amp;WIND'!B6,'Source-BTI'!$N$6:$N$25)</f>
        <v>0</v>
      </c>
      <c r="F6" s="703">
        <f t="shared" si="0"/>
        <v>0</v>
      </c>
      <c r="G6" s="69">
        <f t="shared" ref="G6:G30" si="6">C6</f>
        <v>0</v>
      </c>
      <c r="H6" s="77">
        <f>SUMIF('Source-MNRE'!$AA$6:$AA$42,'PV&amp;WIND'!B6,'Source-MNRE'!$AB$6:$AB$42)</f>
        <v>0</v>
      </c>
      <c r="J6" s="248"/>
      <c r="K6" s="215">
        <f>SUMIFS('CEA-underConsWIND2'!$G$4:$G$52,'CEA-underConsWIND2'!$A$4:$A$52,'PV&amp;WIND'!$B6,'CEA-underConsWIND2'!$M$4:$M$52,'PV&amp;WIND'!K$4)</f>
        <v>0</v>
      </c>
      <c r="L6" s="215">
        <f>SUMIFS('CEA-underConsWIND2'!$G$4:$G$52,'CEA-underConsWIND2'!$A$4:$A$52,'PV&amp;WIND'!$B6,'CEA-underConsWIND2'!$M$4:$M$52,'PV&amp;WIND'!L$4)</f>
        <v>0</v>
      </c>
      <c r="M6" s="215">
        <f>SUMIFS('CEA-underConsWIND2'!$G$4:$G$52,'CEA-underConsWIND2'!$A$4:$A$52,'PV&amp;WIND'!$B6,'CEA-underConsWIND2'!$M$4:$M$52,'PV&amp;WIND'!M$4)</f>
        <v>0</v>
      </c>
      <c r="N6" s="215">
        <f>SUMIFS('CEA-underConsWIND2'!$G$4:$G$52,'CEA-underConsWIND2'!$A$4:$A$52,'PV&amp;WIND'!$B6,'CEA-underConsWIND2'!$M$4:$M$52,'PV&amp;WIND'!N$4)</f>
        <v>0</v>
      </c>
      <c r="O6" s="251">
        <f t="shared" ref="O6:O30" si="7">F6-SUM(K6:N6)</f>
        <v>0</v>
      </c>
      <c r="P6" s="251">
        <f t="shared" ref="P6:R30" si="8">IF($O6&lt;=0,0,$O6*P$3)</f>
        <v>0</v>
      </c>
      <c r="Q6" s="251">
        <f t="shared" si="1"/>
        <v>0</v>
      </c>
      <c r="R6" s="251">
        <f t="shared" si="1"/>
        <v>0</v>
      </c>
      <c r="S6" s="77" t="str">
        <f t="shared" ref="S6:S29" si="9">B6</f>
        <v>NE</v>
      </c>
      <c r="T6" s="243">
        <f t="shared" si="2"/>
        <v>0</v>
      </c>
      <c r="U6" s="243">
        <f t="shared" ref="U6:U29" si="10">L6+P6</f>
        <v>0</v>
      </c>
      <c r="V6" s="243">
        <f t="shared" ref="V6:V29" si="11">M6+Q6</f>
        <v>0</v>
      </c>
      <c r="W6" s="243">
        <f t="shared" si="4"/>
        <v>0</v>
      </c>
      <c r="X6" s="243">
        <v>0</v>
      </c>
      <c r="Y6" s="243">
        <v>0</v>
      </c>
      <c r="Z6" s="243">
        <v>0</v>
      </c>
      <c r="AA6" s="243">
        <v>0</v>
      </c>
      <c r="AB6" s="243">
        <v>0</v>
      </c>
      <c r="AC6" s="243">
        <v>0</v>
      </c>
      <c r="AD6" s="243">
        <v>0</v>
      </c>
      <c r="AE6" s="243"/>
      <c r="AF6" s="243"/>
      <c r="AG6" s="243"/>
      <c r="AH6" s="635">
        <f>VLOOKUP(EG_WIND_max[[#This Row],[SubGeography2]],'MaxCapacity-Input'!$G$65:$L$90,6,FALSE)</f>
        <v>0</v>
      </c>
      <c r="AI6" s="77">
        <f>SUMIFS('Electricity Potential'!$G$5:$G$190,'Electricity Potential'!$C$5:$C$190,'PV&amp;WIND'!S6,'Electricity Potential'!$D$5:$D$190,'PV&amp;WIND'!AI$3)</f>
        <v>275</v>
      </c>
      <c r="AJ6" s="420">
        <f t="shared" ref="AJ6:AJ29" si="12">AI6/$AI$30</f>
        <v>3.9613887044242228E-4</v>
      </c>
      <c r="AK6" s="77" t="str">
        <f>EG_WIND_min[[#This Row],[SubGeography2]]</f>
        <v>NE</v>
      </c>
      <c r="AL6" s="243">
        <f>EG_WIND_min[[#This Row],[2021]]*(1+$AH6)</f>
        <v>0</v>
      </c>
      <c r="AM6" s="243">
        <f>EG_WIND_min[[#This Row],[2022]]*(1+$AH6)</f>
        <v>0</v>
      </c>
      <c r="AN6" s="243">
        <f>EG_WIND_min[[#This Row],[2023]]*(1+$AH6)</f>
        <v>0</v>
      </c>
      <c r="AO6" s="243">
        <f>MAX($AJ6*AO$31,EG_WIND_min[[#This Row],[2024]]*(1+$AH12))</f>
        <v>1.1884166113272667</v>
      </c>
      <c r="AP6" s="243">
        <f t="shared" si="5"/>
        <v>1.9806943522121114</v>
      </c>
      <c r="AQ6" s="243">
        <f t="shared" si="5"/>
        <v>2.7729720930969561</v>
      </c>
      <c r="AR6" s="243">
        <f t="shared" si="5"/>
        <v>2.7729720930969561</v>
      </c>
      <c r="AS6" s="243">
        <f t="shared" si="5"/>
        <v>2.7729720930969561</v>
      </c>
      <c r="AT6" s="243">
        <f t="shared" si="5"/>
        <v>2.7729720930969561</v>
      </c>
      <c r="AU6" s="243">
        <f t="shared" si="5"/>
        <v>2.7729720930969561</v>
      </c>
      <c r="AV6" s="243">
        <f t="shared" si="5"/>
        <v>2.7729720930969561</v>
      </c>
    </row>
    <row r="7" spans="2:51" s="77" customFormat="1" ht="15">
      <c r="B7" s="58" t="s">
        <v>29</v>
      </c>
      <c r="C7" s="67">
        <f>SUMIF('Source-MNRE'!$A$6:$A$42,$B7,'Source-MNRE'!$E$6:$E$42)</f>
        <v>0</v>
      </c>
      <c r="D7" s="68">
        <f>SUMIF('Source-BTI'!$B$6:$B$25,'PV&amp;WIND'!B7,'Source-BTI'!$K$6:$K$25)</f>
        <v>0</v>
      </c>
      <c r="E7" s="68">
        <f>SUMIF('Source-BTI'!$B$6:$B$25,'PV&amp;WIND'!B7,'Source-BTI'!$N$6:$N$25)</f>
        <v>0</v>
      </c>
      <c r="F7" s="703">
        <f t="shared" si="0"/>
        <v>0</v>
      </c>
      <c r="G7" s="69">
        <f t="shared" si="6"/>
        <v>0</v>
      </c>
      <c r="H7" s="77">
        <f>SUMIF('Source-MNRE'!$AA$6:$AA$42,'PV&amp;WIND'!B7,'Source-MNRE'!$AB$6:$AB$42)</f>
        <v>0</v>
      </c>
      <c r="J7" s="248"/>
      <c r="K7" s="215">
        <f>SUMIFS('CEA-underConsWIND2'!$G$4:$G$52,'CEA-underConsWIND2'!$A$4:$A$52,'PV&amp;WIND'!$B7,'CEA-underConsWIND2'!$M$4:$M$52,'PV&amp;WIND'!K$4)</f>
        <v>0</v>
      </c>
      <c r="L7" s="215">
        <f>SUMIFS('CEA-underConsWIND2'!$G$4:$G$52,'CEA-underConsWIND2'!$A$4:$A$52,'PV&amp;WIND'!$B7,'CEA-underConsWIND2'!$M$4:$M$52,'PV&amp;WIND'!L$4)</f>
        <v>0</v>
      </c>
      <c r="M7" s="215">
        <f>SUMIFS('CEA-underConsWIND2'!$G$4:$G$52,'CEA-underConsWIND2'!$A$4:$A$52,'PV&amp;WIND'!$B7,'CEA-underConsWIND2'!$M$4:$M$52,'PV&amp;WIND'!M$4)</f>
        <v>0</v>
      </c>
      <c r="N7" s="215">
        <f>SUMIFS('CEA-underConsWIND2'!$G$4:$G$52,'CEA-underConsWIND2'!$A$4:$A$52,'PV&amp;WIND'!$B7,'CEA-underConsWIND2'!$M$4:$M$52,'PV&amp;WIND'!N$4)</f>
        <v>0</v>
      </c>
      <c r="O7" s="251">
        <f t="shared" si="7"/>
        <v>0</v>
      </c>
      <c r="P7" s="251">
        <f t="shared" si="8"/>
        <v>0</v>
      </c>
      <c r="Q7" s="251">
        <f t="shared" si="1"/>
        <v>0</v>
      </c>
      <c r="R7" s="251">
        <f t="shared" si="1"/>
        <v>0</v>
      </c>
      <c r="S7" s="77" t="str">
        <f t="shared" si="9"/>
        <v>AS</v>
      </c>
      <c r="T7" s="243">
        <f t="shared" si="2"/>
        <v>0</v>
      </c>
      <c r="U7" s="243">
        <f t="shared" si="10"/>
        <v>0</v>
      </c>
      <c r="V7" s="243">
        <f t="shared" si="11"/>
        <v>0</v>
      </c>
      <c r="W7" s="243">
        <f t="shared" si="4"/>
        <v>0</v>
      </c>
      <c r="X7" s="243">
        <v>0</v>
      </c>
      <c r="Y7" s="243">
        <v>0</v>
      </c>
      <c r="Z7" s="243">
        <v>0</v>
      </c>
      <c r="AA7" s="243">
        <v>0</v>
      </c>
      <c r="AB7" s="243">
        <v>0</v>
      </c>
      <c r="AC7" s="243">
        <v>0</v>
      </c>
      <c r="AD7" s="243">
        <v>0</v>
      </c>
      <c r="AE7" s="243"/>
      <c r="AF7" s="243"/>
      <c r="AG7" s="243"/>
      <c r="AH7" s="635">
        <f>VLOOKUP(EG_WIND_max[[#This Row],[SubGeography2]],'MaxCapacity-Input'!$G$65:$L$90,6,FALSE)</f>
        <v>0</v>
      </c>
      <c r="AI7" s="77">
        <f>SUMIFS('Electricity Potential'!$G$5:$G$190,'Electricity Potential'!$C$5:$C$190,'PV&amp;WIND'!S7,'Electricity Potential'!$D$5:$D$190,'PV&amp;WIND'!AI$3)</f>
        <v>246</v>
      </c>
      <c r="AJ7" s="420">
        <f t="shared" si="12"/>
        <v>3.5436422592303958E-4</v>
      </c>
      <c r="AK7" s="77" t="str">
        <f>EG_WIND_min[[#This Row],[SubGeography2]]</f>
        <v>AS</v>
      </c>
      <c r="AL7" s="243">
        <f>EG_WIND_min[[#This Row],[2021]]*(1+$AH7)</f>
        <v>0</v>
      </c>
      <c r="AM7" s="243">
        <f>EG_WIND_min[[#This Row],[2022]]*(1+$AH7)</f>
        <v>0</v>
      </c>
      <c r="AN7" s="243">
        <f>EG_WIND_min[[#This Row],[2023]]*(1+$AH7)</f>
        <v>0</v>
      </c>
      <c r="AO7" s="243">
        <f>MAX($AJ7*AO$31,EG_WIND_min[[#This Row],[2024]]*(1+$AH13))</f>
        <v>1.0630926777691188</v>
      </c>
      <c r="AP7" s="243">
        <f t="shared" si="5"/>
        <v>1.771821129615198</v>
      </c>
      <c r="AQ7" s="243">
        <f t="shared" si="5"/>
        <v>2.4805495814612772</v>
      </c>
      <c r="AR7" s="243">
        <f t="shared" si="5"/>
        <v>2.4805495814612772</v>
      </c>
      <c r="AS7" s="243">
        <f t="shared" si="5"/>
        <v>2.4805495814612772</v>
      </c>
      <c r="AT7" s="243">
        <f t="shared" si="5"/>
        <v>2.4805495814612772</v>
      </c>
      <c r="AU7" s="243">
        <f t="shared" si="5"/>
        <v>2.4805495814612772</v>
      </c>
      <c r="AV7" s="243">
        <f t="shared" si="5"/>
        <v>2.4805495814612772</v>
      </c>
    </row>
    <row r="8" spans="2:51" s="77" customFormat="1" ht="15">
      <c r="B8" s="58" t="s">
        <v>19</v>
      </c>
      <c r="C8" s="67">
        <f>SUMIF('Source-MNRE'!$A$6:$A$42,$B8,'Source-MNRE'!$E$6:$E$42)</f>
        <v>0</v>
      </c>
      <c r="D8" s="68">
        <f>SUMIF('Source-BTI'!$B$6:$B$25,'PV&amp;WIND'!B8,'Source-BTI'!$K$6:$K$25)</f>
        <v>0</v>
      </c>
      <c r="E8" s="68">
        <f>SUMIF('Source-BTI'!$B$6:$B$25,'PV&amp;WIND'!B8,'Source-BTI'!$N$6:$N$25)</f>
        <v>0</v>
      </c>
      <c r="F8" s="703">
        <f t="shared" si="0"/>
        <v>0</v>
      </c>
      <c r="G8" s="69">
        <f t="shared" si="6"/>
        <v>0</v>
      </c>
      <c r="H8" s="77">
        <f>SUMIF('Source-MNRE'!$AA$6:$AA$42,'PV&amp;WIND'!B8,'Source-MNRE'!$AB$6:$AB$42)</f>
        <v>0</v>
      </c>
      <c r="J8" s="248"/>
      <c r="K8" s="215">
        <f>SUMIFS('CEA-underConsWIND2'!$G$4:$G$52,'CEA-underConsWIND2'!$A$4:$A$52,'PV&amp;WIND'!$B8,'CEA-underConsWIND2'!$M$4:$M$52,'PV&amp;WIND'!K$4)</f>
        <v>0</v>
      </c>
      <c r="L8" s="215">
        <f>SUMIFS('CEA-underConsWIND2'!$G$4:$G$52,'CEA-underConsWIND2'!$A$4:$A$52,'PV&amp;WIND'!$B8,'CEA-underConsWIND2'!$M$4:$M$52,'PV&amp;WIND'!L$4)</f>
        <v>0</v>
      </c>
      <c r="M8" s="215">
        <f>SUMIFS('CEA-underConsWIND2'!$G$4:$G$52,'CEA-underConsWIND2'!$A$4:$A$52,'PV&amp;WIND'!$B8,'CEA-underConsWIND2'!$M$4:$M$52,'PV&amp;WIND'!M$4)</f>
        <v>0</v>
      </c>
      <c r="N8" s="215">
        <f>SUMIFS('CEA-underConsWIND2'!$G$4:$G$52,'CEA-underConsWIND2'!$A$4:$A$52,'PV&amp;WIND'!$B8,'CEA-underConsWIND2'!$M$4:$M$52,'PV&amp;WIND'!N$4)</f>
        <v>0</v>
      </c>
      <c r="O8" s="251">
        <f t="shared" si="7"/>
        <v>0</v>
      </c>
      <c r="P8" s="251">
        <f t="shared" si="8"/>
        <v>0</v>
      </c>
      <c r="Q8" s="251">
        <f t="shared" si="1"/>
        <v>0</v>
      </c>
      <c r="R8" s="251">
        <f t="shared" si="1"/>
        <v>0</v>
      </c>
      <c r="S8" s="77" t="str">
        <f t="shared" si="9"/>
        <v>BR</v>
      </c>
      <c r="T8" s="243">
        <f t="shared" si="2"/>
        <v>0</v>
      </c>
      <c r="U8" s="243">
        <f t="shared" si="10"/>
        <v>0</v>
      </c>
      <c r="V8" s="243">
        <f t="shared" si="11"/>
        <v>0</v>
      </c>
      <c r="W8" s="243">
        <f t="shared" si="4"/>
        <v>0</v>
      </c>
      <c r="X8" s="243">
        <v>0</v>
      </c>
      <c r="Y8" s="243">
        <v>0</v>
      </c>
      <c r="Z8" s="243">
        <v>0</v>
      </c>
      <c r="AA8" s="243">
        <v>0</v>
      </c>
      <c r="AB8" s="243">
        <v>0</v>
      </c>
      <c r="AC8" s="243">
        <v>0</v>
      </c>
      <c r="AD8" s="243">
        <v>0</v>
      </c>
      <c r="AE8" s="243"/>
      <c r="AF8" s="243"/>
      <c r="AG8" s="243"/>
      <c r="AH8" s="635">
        <f>VLOOKUP(EG_WIND_max[[#This Row],[SubGeography2]],'MaxCapacity-Input'!$G$65:$L$90,6,FALSE)</f>
        <v>0</v>
      </c>
      <c r="AI8" s="77">
        <f>SUMIFS('Electricity Potential'!$G$5:$G$190,'Electricity Potential'!$C$5:$C$190,'PV&amp;WIND'!S8,'Electricity Potential'!$D$5:$D$190,'PV&amp;WIND'!AI$3)</f>
        <v>3650</v>
      </c>
      <c r="AJ8" s="420">
        <f t="shared" si="12"/>
        <v>5.2578431895085138E-3</v>
      </c>
      <c r="AK8" s="77" t="str">
        <f>EG_WIND_min[[#This Row],[SubGeography2]]</f>
        <v>BR</v>
      </c>
      <c r="AL8" s="243">
        <f>EG_WIND_min[[#This Row],[2021]]*(1+$AH8)</f>
        <v>0</v>
      </c>
      <c r="AM8" s="243">
        <f>EG_WIND_min[[#This Row],[2022]]*(1+$AH8)</f>
        <v>0</v>
      </c>
      <c r="AN8" s="243">
        <f>EG_WIND_min[[#This Row],[2023]]*(1+$AH8)</f>
        <v>0</v>
      </c>
      <c r="AO8" s="243">
        <f>MAX($AJ8*AO$31,EG_WIND_min[[#This Row],[2024]]*(1+$AH14))</f>
        <v>15.773529568525541</v>
      </c>
      <c r="AP8" s="243">
        <f t="shared" si="5"/>
        <v>26.289215947542569</v>
      </c>
      <c r="AQ8" s="243">
        <f t="shared" si="5"/>
        <v>36.804902326559599</v>
      </c>
      <c r="AR8" s="243">
        <f t="shared" si="5"/>
        <v>36.804902326559599</v>
      </c>
      <c r="AS8" s="243">
        <f t="shared" si="5"/>
        <v>36.804902326559599</v>
      </c>
      <c r="AT8" s="243">
        <f t="shared" si="5"/>
        <v>36.804902326559599</v>
      </c>
      <c r="AU8" s="243">
        <f t="shared" si="5"/>
        <v>36.804902326559599</v>
      </c>
      <c r="AV8" s="243">
        <f t="shared" si="5"/>
        <v>36.804902326559599</v>
      </c>
    </row>
    <row r="9" spans="2:51" s="77" customFormat="1" ht="15">
      <c r="B9" s="58" t="s">
        <v>18</v>
      </c>
      <c r="C9" s="67">
        <f>SUMIF('Source-MNRE'!$A$6:$A$42,$B9,'Source-MNRE'!$E$6:$E$42)</f>
        <v>0</v>
      </c>
      <c r="D9" s="68">
        <f>SUMIF('Source-BTI'!$B$6:$B$25,'PV&amp;WIND'!B9,'Source-BTI'!$K$6:$K$25)</f>
        <v>0</v>
      </c>
      <c r="E9" s="68">
        <f>SUMIF('Source-BTI'!$B$6:$B$25,'PV&amp;WIND'!B9,'Source-BTI'!$N$6:$N$25)</f>
        <v>0</v>
      </c>
      <c r="F9" s="703">
        <f t="shared" si="0"/>
        <v>0</v>
      </c>
      <c r="G9" s="69">
        <f t="shared" si="6"/>
        <v>0</v>
      </c>
      <c r="H9" s="77">
        <f>SUMIF('Source-MNRE'!$AA$6:$AA$42,'PV&amp;WIND'!B9,'Source-MNRE'!$AB$6:$AB$42)</f>
        <v>0</v>
      </c>
      <c r="J9" s="248"/>
      <c r="K9" s="215">
        <f>SUMIFS('CEA-underConsWIND2'!$G$4:$G$52,'CEA-underConsWIND2'!$A$4:$A$52,'PV&amp;WIND'!$B9,'CEA-underConsWIND2'!$M$4:$M$52,'PV&amp;WIND'!K$4)</f>
        <v>0</v>
      </c>
      <c r="L9" s="215">
        <f>SUMIFS('CEA-underConsWIND2'!$G$4:$G$52,'CEA-underConsWIND2'!$A$4:$A$52,'PV&amp;WIND'!$B9,'CEA-underConsWIND2'!$M$4:$M$52,'PV&amp;WIND'!L$4)</f>
        <v>0</v>
      </c>
      <c r="M9" s="215">
        <f>SUMIFS('CEA-underConsWIND2'!$G$4:$G$52,'CEA-underConsWIND2'!$A$4:$A$52,'PV&amp;WIND'!$B9,'CEA-underConsWIND2'!$M$4:$M$52,'PV&amp;WIND'!M$4)</f>
        <v>0</v>
      </c>
      <c r="N9" s="215">
        <f>SUMIFS('CEA-underConsWIND2'!$G$4:$G$52,'CEA-underConsWIND2'!$A$4:$A$52,'PV&amp;WIND'!$B9,'CEA-underConsWIND2'!$M$4:$M$52,'PV&amp;WIND'!N$4)</f>
        <v>0</v>
      </c>
      <c r="O9" s="251">
        <f t="shared" si="7"/>
        <v>0</v>
      </c>
      <c r="P9" s="251">
        <f t="shared" si="8"/>
        <v>0</v>
      </c>
      <c r="Q9" s="251">
        <f t="shared" si="1"/>
        <v>0</v>
      </c>
      <c r="R9" s="251">
        <f t="shared" si="1"/>
        <v>0</v>
      </c>
      <c r="S9" s="77" t="str">
        <f t="shared" si="9"/>
        <v>CG</v>
      </c>
      <c r="T9" s="243">
        <f t="shared" si="2"/>
        <v>0</v>
      </c>
      <c r="U9" s="243">
        <f t="shared" si="10"/>
        <v>0</v>
      </c>
      <c r="V9" s="243">
        <f t="shared" si="11"/>
        <v>0</v>
      </c>
      <c r="W9" s="243">
        <f t="shared" si="4"/>
        <v>0</v>
      </c>
      <c r="X9" s="243">
        <v>0</v>
      </c>
      <c r="Y9" s="243">
        <v>0</v>
      </c>
      <c r="Z9" s="243">
        <v>0</v>
      </c>
      <c r="AA9" s="243">
        <v>0</v>
      </c>
      <c r="AB9" s="243">
        <v>0</v>
      </c>
      <c r="AC9" s="243">
        <v>0</v>
      </c>
      <c r="AD9" s="243">
        <v>0</v>
      </c>
      <c r="AE9" s="243"/>
      <c r="AF9" s="243"/>
      <c r="AG9" s="243"/>
      <c r="AH9" s="635">
        <f>VLOOKUP(EG_WIND_max[[#This Row],[SubGeography2]],'MaxCapacity-Input'!$G$65:$L$90,6,FALSE)</f>
        <v>0</v>
      </c>
      <c r="AI9" s="77">
        <f>SUMIFS('Electricity Potential'!$G$5:$G$190,'Electricity Potential'!$C$5:$C$190,'PV&amp;WIND'!S9,'Electricity Potential'!$D$5:$D$190,'PV&amp;WIND'!AI$3)</f>
        <v>348</v>
      </c>
      <c r="AJ9" s="420">
        <f t="shared" si="12"/>
        <v>5.012957342325926E-4</v>
      </c>
      <c r="AK9" s="77" t="str">
        <f>EG_WIND_min[[#This Row],[SubGeography2]]</f>
        <v>CG</v>
      </c>
      <c r="AL9" s="243">
        <f>EG_WIND_min[[#This Row],[2021]]*(1+$AH9)</f>
        <v>0</v>
      </c>
      <c r="AM9" s="243">
        <f>EG_WIND_min[[#This Row],[2022]]*(1+$AH9)</f>
        <v>0</v>
      </c>
      <c r="AN9" s="243">
        <f>EG_WIND_min[[#This Row],[2023]]*(1+$AH9)</f>
        <v>0</v>
      </c>
      <c r="AO9" s="243">
        <f>MAX($AJ9*AO$31,EG_WIND_min[[#This Row],[2024]]*(1+$AH15))</f>
        <v>1.5038872026977779</v>
      </c>
      <c r="AP9" s="243">
        <f t="shared" si="5"/>
        <v>2.506478671162963</v>
      </c>
      <c r="AQ9" s="243">
        <f t="shared" si="5"/>
        <v>3.5090701396281481</v>
      </c>
      <c r="AR9" s="243">
        <f t="shared" si="5"/>
        <v>3.5090701396281481</v>
      </c>
      <c r="AS9" s="243">
        <f t="shared" si="5"/>
        <v>3.5090701396281481</v>
      </c>
      <c r="AT9" s="243">
        <f t="shared" si="5"/>
        <v>3.5090701396281481</v>
      </c>
      <c r="AU9" s="243">
        <f t="shared" si="5"/>
        <v>3.5090701396281481</v>
      </c>
      <c r="AV9" s="243">
        <f t="shared" si="5"/>
        <v>3.5090701396281481</v>
      </c>
    </row>
    <row r="10" spans="2:51" s="77" customFormat="1" ht="15">
      <c r="B10" s="58" t="s">
        <v>91</v>
      </c>
      <c r="C10" s="67">
        <f>SUMIF('Source-MNRE'!$A$6:$A$42,$B10,'Source-MNRE'!$E$6:$E$42)</f>
        <v>0</v>
      </c>
      <c r="D10" s="68">
        <f>SUMIF('Source-BTI'!$B$6:$B$25,'PV&amp;WIND'!B10,'Source-BTI'!$K$6:$K$25)</f>
        <v>0</v>
      </c>
      <c r="E10" s="68">
        <f>SUMIF('Source-BTI'!$B$6:$B$25,'PV&amp;WIND'!B10,'Source-BTI'!$N$6:$N$25)</f>
        <v>0</v>
      </c>
      <c r="F10" s="703">
        <f t="shared" si="0"/>
        <v>0</v>
      </c>
      <c r="G10" s="69">
        <f t="shared" si="6"/>
        <v>0</v>
      </c>
      <c r="H10" s="77">
        <f>SUMIF('Source-MNRE'!$AA$6:$AA$42,'PV&amp;WIND'!B10,'Source-MNRE'!$AB$6:$AB$42)</f>
        <v>0</v>
      </c>
      <c r="J10" s="248"/>
      <c r="K10" s="215">
        <f>SUMIFS('CEA-underConsWIND2'!$G$4:$G$52,'CEA-underConsWIND2'!$A$4:$A$52,'PV&amp;WIND'!$B10,'CEA-underConsWIND2'!$M$4:$M$52,'PV&amp;WIND'!K$4)</f>
        <v>0</v>
      </c>
      <c r="L10" s="215">
        <f>SUMIFS('CEA-underConsWIND2'!$G$4:$G$52,'CEA-underConsWIND2'!$A$4:$A$52,'PV&amp;WIND'!$B10,'CEA-underConsWIND2'!$M$4:$M$52,'PV&amp;WIND'!L$4)</f>
        <v>0</v>
      </c>
      <c r="M10" s="215">
        <f>SUMIFS('CEA-underConsWIND2'!$G$4:$G$52,'CEA-underConsWIND2'!$A$4:$A$52,'PV&amp;WIND'!$B10,'CEA-underConsWIND2'!$M$4:$M$52,'PV&amp;WIND'!M$4)</f>
        <v>0</v>
      </c>
      <c r="N10" s="215">
        <f>SUMIFS('CEA-underConsWIND2'!$G$4:$G$52,'CEA-underConsWIND2'!$A$4:$A$52,'PV&amp;WIND'!$B10,'CEA-underConsWIND2'!$M$4:$M$52,'PV&amp;WIND'!N$4)</f>
        <v>0</v>
      </c>
      <c r="O10" s="251">
        <f t="shared" si="7"/>
        <v>0</v>
      </c>
      <c r="P10" s="251">
        <f t="shared" si="8"/>
        <v>0</v>
      </c>
      <c r="Q10" s="251">
        <f t="shared" si="1"/>
        <v>0</v>
      </c>
      <c r="R10" s="251">
        <f t="shared" si="1"/>
        <v>0</v>
      </c>
      <c r="S10" s="77" t="str">
        <f t="shared" si="9"/>
        <v>GA</v>
      </c>
      <c r="T10" s="243">
        <f t="shared" si="2"/>
        <v>0</v>
      </c>
      <c r="U10" s="243">
        <f t="shared" si="10"/>
        <v>0</v>
      </c>
      <c r="V10" s="243">
        <f t="shared" si="11"/>
        <v>0</v>
      </c>
      <c r="W10" s="243">
        <f t="shared" si="4"/>
        <v>0</v>
      </c>
      <c r="X10" s="243">
        <v>0</v>
      </c>
      <c r="Y10" s="243">
        <v>0</v>
      </c>
      <c r="Z10" s="243">
        <v>0</v>
      </c>
      <c r="AA10" s="243">
        <v>0</v>
      </c>
      <c r="AB10" s="243">
        <v>0</v>
      </c>
      <c r="AC10" s="243">
        <v>0</v>
      </c>
      <c r="AD10" s="243">
        <v>0</v>
      </c>
      <c r="AE10" s="243"/>
      <c r="AF10" s="243"/>
      <c r="AG10" s="243"/>
      <c r="AH10" s="635">
        <f>VLOOKUP(EG_WIND_max[[#This Row],[SubGeography2]],'MaxCapacity-Input'!$G$65:$L$90,6,FALSE)</f>
        <v>0</v>
      </c>
      <c r="AI10" s="77">
        <f>SUMIFS('Electricity Potential'!$G$5:$G$190,'Electricity Potential'!$C$5:$C$190,'PV&amp;WIND'!S10,'Electricity Potential'!$D$5:$D$190,'PV&amp;WIND'!AI$3)</f>
        <v>8</v>
      </c>
      <c r="AJ10" s="420">
        <f t="shared" si="12"/>
        <v>1.1524039867415921E-5</v>
      </c>
      <c r="AK10" s="77" t="str">
        <f>EG_WIND_min[[#This Row],[SubGeography2]]</f>
        <v>GA</v>
      </c>
      <c r="AL10" s="243">
        <f>EG_WIND_min[[#This Row],[2021]]*(1+$AH10)</f>
        <v>0</v>
      </c>
      <c r="AM10" s="243">
        <f>EG_WIND_min[[#This Row],[2022]]*(1+$AH10)</f>
        <v>0</v>
      </c>
      <c r="AN10" s="243">
        <f>EG_WIND_min[[#This Row],[2023]]*(1+$AH10)</f>
        <v>0</v>
      </c>
      <c r="AO10" s="243">
        <f>MAX($AJ10*AO$31,EG_WIND_min[[#This Row],[2024]]*(1+$AH16))</f>
        <v>3.4572119602247764E-2</v>
      </c>
      <c r="AP10" s="243">
        <f t="shared" si="5"/>
        <v>5.7620199337079604E-2</v>
      </c>
      <c r="AQ10" s="243">
        <f t="shared" si="5"/>
        <v>8.0668279071911445E-2</v>
      </c>
      <c r="AR10" s="243">
        <f t="shared" si="5"/>
        <v>8.0668279071911445E-2</v>
      </c>
      <c r="AS10" s="243">
        <f t="shared" si="5"/>
        <v>8.0668279071911445E-2</v>
      </c>
      <c r="AT10" s="243">
        <f t="shared" si="5"/>
        <v>8.0668279071911445E-2</v>
      </c>
      <c r="AU10" s="243">
        <f t="shared" si="5"/>
        <v>8.0668279071911445E-2</v>
      </c>
      <c r="AV10" s="243">
        <f t="shared" si="5"/>
        <v>8.0668279071911445E-2</v>
      </c>
    </row>
    <row r="11" spans="2:51" s="77" customFormat="1" ht="15">
      <c r="B11" s="58" t="s">
        <v>8</v>
      </c>
      <c r="C11" s="67">
        <f>SUMIF('Source-MNRE'!$A$6:$A$42,$B11,'Source-MNRE'!$E$6:$E$42)</f>
        <v>7541.52</v>
      </c>
      <c r="D11" s="68">
        <f>SUMIF('Source-BTI'!$B$6:$B$25,'PV&amp;WIND'!B11,'Source-BTI'!$K$6:$K$25)</f>
        <v>7223</v>
      </c>
      <c r="E11" s="68">
        <f>SUMIF('Source-BTI'!$B$6:$B$25,'PV&amp;WIND'!B11,'Source-BTI'!$N$6:$N$25)</f>
        <v>6189</v>
      </c>
      <c r="F11" s="703">
        <f t="shared" si="0"/>
        <v>6189</v>
      </c>
      <c r="G11" s="69">
        <f t="shared" si="6"/>
        <v>7541.52</v>
      </c>
      <c r="H11" s="77">
        <f>SUMIF('Source-MNRE'!$AA$6:$AA$42,'PV&amp;WIND'!B11,'Source-MNRE'!$AB$6:$AB$42)</f>
        <v>764.89999999999964</v>
      </c>
      <c r="J11" s="248"/>
      <c r="K11" s="215">
        <f>SUMIFS('CEA-underConsWIND2'!$G$4:$G$52,'CEA-underConsWIND2'!$A$4:$A$52,'PV&amp;WIND'!$B11,'CEA-underConsWIND2'!$M$4:$M$52,'PV&amp;WIND'!K$4)</f>
        <v>50</v>
      </c>
      <c r="L11" s="215">
        <f>SUMIFS('CEA-underConsWIND2'!$G$4:$G$52,'CEA-underConsWIND2'!$A$4:$A$52,'PV&amp;WIND'!$B11,'CEA-underConsWIND2'!$M$4:$M$52,'PV&amp;WIND'!L$4)</f>
        <v>1830.8999999999999</v>
      </c>
      <c r="M11" s="215">
        <f>SUMIFS('CEA-underConsWIND2'!$G$4:$G$52,'CEA-underConsWIND2'!$A$4:$A$52,'PV&amp;WIND'!$B11,'CEA-underConsWIND2'!$M$4:$M$52,'PV&amp;WIND'!M$4)</f>
        <v>1485</v>
      </c>
      <c r="N11" s="215">
        <f>SUMIFS('CEA-underConsWIND2'!$G$4:$G$52,'CEA-underConsWIND2'!$A$4:$A$52,'PV&amp;WIND'!$B11,'CEA-underConsWIND2'!$M$4:$M$52,'PV&amp;WIND'!N$4)</f>
        <v>2020.8</v>
      </c>
      <c r="O11" s="251">
        <f t="shared" si="7"/>
        <v>802.30000000000018</v>
      </c>
      <c r="P11" s="251">
        <f>IF($O11&lt;=0,0,$O11*P$3)</f>
        <v>160.46000000000004</v>
      </c>
      <c r="Q11" s="251">
        <f t="shared" si="1"/>
        <v>240.69000000000005</v>
      </c>
      <c r="R11" s="251">
        <f t="shared" si="1"/>
        <v>401.15000000000009</v>
      </c>
      <c r="S11" s="77" t="str">
        <f t="shared" si="9"/>
        <v>GJ</v>
      </c>
      <c r="T11" s="243">
        <f t="shared" si="2"/>
        <v>764.89999999999964</v>
      </c>
      <c r="U11" s="243">
        <f t="shared" si="10"/>
        <v>1991.36</v>
      </c>
      <c r="V11" s="243">
        <f t="shared" si="11"/>
        <v>1725.69</v>
      </c>
      <c r="W11" s="243">
        <f t="shared" si="4"/>
        <v>2421.9499999999998</v>
      </c>
      <c r="X11" s="243">
        <v>0</v>
      </c>
      <c r="Y11" s="243">
        <v>0</v>
      </c>
      <c r="Z11" s="243">
        <v>0</v>
      </c>
      <c r="AA11" s="243">
        <v>0</v>
      </c>
      <c r="AB11" s="243">
        <v>0</v>
      </c>
      <c r="AC11" s="243">
        <v>0</v>
      </c>
      <c r="AD11" s="243">
        <v>0</v>
      </c>
      <c r="AE11" s="243"/>
      <c r="AF11" s="243"/>
      <c r="AG11" s="243"/>
      <c r="AH11" s="635">
        <f>VLOOKUP(EG_WIND_max[[#This Row],[SubGeography2]],'MaxCapacity-Input'!$G$65:$L$90,6,FALSE)</f>
        <v>0.2157347958363435</v>
      </c>
      <c r="AI11" s="77">
        <f>SUMIFS('Electricity Potential'!$G$5:$G$190,'Electricity Potential'!$C$5:$C$190,'PV&amp;WIND'!S11,'Electricity Potential'!$D$5:$D$190,'PV&amp;WIND'!AI$3)</f>
        <v>142560</v>
      </c>
      <c r="AJ11" s="420">
        <f t="shared" si="12"/>
        <v>0.20535839043735171</v>
      </c>
      <c r="AK11" s="77" t="str">
        <f>EG_WIND_min[[#This Row],[SubGeography2]]</f>
        <v>GJ</v>
      </c>
      <c r="AL11" s="243">
        <f>EG_WIND_min[[#This Row],[2021]]*(1+$AH11)</f>
        <v>929.91554533521878</v>
      </c>
      <c r="AM11" s="243">
        <f>EG_WIND_min[[#This Row],[2022]]*(1+$AH11)</f>
        <v>2420.9656430366608</v>
      </c>
      <c r="AN11" s="243">
        <f>EG_WIND_min[[#This Row],[2023]]*(1+$AH11)</f>
        <v>2097.9813798268196</v>
      </c>
      <c r="AO11" s="243">
        <f>MAX($AJ11*AO$31,EG_WIND_min[[#This Row],[2024]]*(1+$AH17))</f>
        <v>2421.9499999999998</v>
      </c>
      <c r="AP11" s="243">
        <f t="shared" si="5"/>
        <v>1026.7919521867586</v>
      </c>
      <c r="AQ11" s="243">
        <f t="shared" si="5"/>
        <v>1437.508733061462</v>
      </c>
      <c r="AR11" s="243">
        <f t="shared" si="5"/>
        <v>1437.508733061462</v>
      </c>
      <c r="AS11" s="243">
        <f t="shared" si="5"/>
        <v>1437.508733061462</v>
      </c>
      <c r="AT11" s="243">
        <f t="shared" si="5"/>
        <v>1437.508733061462</v>
      </c>
      <c r="AU11" s="243">
        <f t="shared" si="5"/>
        <v>1437.508733061462</v>
      </c>
      <c r="AV11" s="243">
        <f t="shared" si="5"/>
        <v>1437.508733061462</v>
      </c>
    </row>
    <row r="12" spans="2:51" s="77" customFormat="1" ht="15">
      <c r="B12" s="58" t="s">
        <v>5</v>
      </c>
      <c r="C12" s="67">
        <f>SUMIF('Source-MNRE'!$A$6:$A$42,$B12,'Source-MNRE'!$E$6:$E$42)</f>
        <v>0</v>
      </c>
      <c r="D12" s="68">
        <f>SUMIF('Source-BTI'!$B$6:$B$25,'PV&amp;WIND'!B12,'Source-BTI'!$K$6:$K$25)</f>
        <v>0</v>
      </c>
      <c r="E12" s="68">
        <f>SUMIF('Source-BTI'!$B$6:$B$25,'PV&amp;WIND'!B12,'Source-BTI'!$N$6:$N$25)</f>
        <v>0</v>
      </c>
      <c r="F12" s="703">
        <f t="shared" si="0"/>
        <v>0</v>
      </c>
      <c r="G12" s="69">
        <f t="shared" si="6"/>
        <v>0</v>
      </c>
      <c r="H12" s="77">
        <f>SUMIF('Source-MNRE'!$AA$6:$AA$42,'PV&amp;WIND'!B12,'Source-MNRE'!$AB$6:$AB$42)</f>
        <v>0</v>
      </c>
      <c r="J12" s="248"/>
      <c r="K12" s="215">
        <f>SUMIFS('CEA-underConsWIND2'!$G$4:$G$52,'CEA-underConsWIND2'!$A$4:$A$52,'PV&amp;WIND'!$B12,'CEA-underConsWIND2'!$M$4:$M$52,'PV&amp;WIND'!K$4)</f>
        <v>0</v>
      </c>
      <c r="L12" s="215">
        <f>SUMIFS('CEA-underConsWIND2'!$G$4:$G$52,'CEA-underConsWIND2'!$A$4:$A$52,'PV&amp;WIND'!$B12,'CEA-underConsWIND2'!$M$4:$M$52,'PV&amp;WIND'!L$4)</f>
        <v>0</v>
      </c>
      <c r="M12" s="215">
        <f>SUMIFS('CEA-underConsWIND2'!$G$4:$G$52,'CEA-underConsWIND2'!$A$4:$A$52,'PV&amp;WIND'!$B12,'CEA-underConsWIND2'!$M$4:$M$52,'PV&amp;WIND'!M$4)</f>
        <v>0</v>
      </c>
      <c r="N12" s="215">
        <f>SUMIFS('CEA-underConsWIND2'!$G$4:$G$52,'CEA-underConsWIND2'!$A$4:$A$52,'PV&amp;WIND'!$B12,'CEA-underConsWIND2'!$M$4:$M$52,'PV&amp;WIND'!N$4)</f>
        <v>0</v>
      </c>
      <c r="O12" s="251">
        <f t="shared" si="7"/>
        <v>0</v>
      </c>
      <c r="P12" s="251">
        <f t="shared" si="8"/>
        <v>0</v>
      </c>
      <c r="Q12" s="251">
        <f t="shared" si="1"/>
        <v>0</v>
      </c>
      <c r="R12" s="251">
        <f t="shared" si="1"/>
        <v>0</v>
      </c>
      <c r="S12" s="77" t="str">
        <f t="shared" si="9"/>
        <v>HR</v>
      </c>
      <c r="T12" s="243">
        <f t="shared" si="2"/>
        <v>0</v>
      </c>
      <c r="U12" s="243">
        <f t="shared" si="10"/>
        <v>0</v>
      </c>
      <c r="V12" s="243">
        <f t="shared" si="11"/>
        <v>0</v>
      </c>
      <c r="W12" s="243">
        <f t="shared" si="4"/>
        <v>0</v>
      </c>
      <c r="X12" s="243">
        <v>0</v>
      </c>
      <c r="Y12" s="243">
        <v>0</v>
      </c>
      <c r="Z12" s="243">
        <v>0</v>
      </c>
      <c r="AA12" s="243">
        <v>0</v>
      </c>
      <c r="AB12" s="243">
        <v>0</v>
      </c>
      <c r="AC12" s="243">
        <v>0</v>
      </c>
      <c r="AD12" s="243">
        <v>0</v>
      </c>
      <c r="AE12" s="243"/>
      <c r="AF12" s="243"/>
      <c r="AG12" s="243"/>
      <c r="AH12" s="635">
        <f>VLOOKUP(EG_WIND_max[[#This Row],[SubGeography2]],'MaxCapacity-Input'!$G$65:$L$90,6,FALSE)</f>
        <v>0</v>
      </c>
      <c r="AI12" s="77">
        <f>SUMIFS('Electricity Potential'!$G$5:$G$190,'Electricity Potential'!$C$5:$C$190,'PV&amp;WIND'!S12,'Electricity Potential'!$D$5:$D$190,'PV&amp;WIND'!AI$3)</f>
        <v>419</v>
      </c>
      <c r="AJ12" s="420">
        <f t="shared" si="12"/>
        <v>6.0357158805590888E-4</v>
      </c>
      <c r="AK12" s="77" t="str">
        <f>EG_WIND_min[[#This Row],[SubGeography2]]</f>
        <v>HR</v>
      </c>
      <c r="AL12" s="243">
        <f>EG_WIND_min[[#This Row],[2021]]*(1+$AH12)</f>
        <v>0</v>
      </c>
      <c r="AM12" s="243">
        <f>EG_WIND_min[[#This Row],[2022]]*(1+$AH12)</f>
        <v>0</v>
      </c>
      <c r="AN12" s="243">
        <f>EG_WIND_min[[#This Row],[2023]]*(1+$AH12)</f>
        <v>0</v>
      </c>
      <c r="AO12" s="243">
        <f>MAX($AJ12*AO$31,EG_WIND_min[[#This Row],[2024]]*(1+$AH18))</f>
        <v>1.8107147641677266</v>
      </c>
      <c r="AP12" s="243">
        <f t="shared" si="5"/>
        <v>3.0178579402795442</v>
      </c>
      <c r="AQ12" s="243">
        <f t="shared" si="5"/>
        <v>4.2250011163913621</v>
      </c>
      <c r="AR12" s="243">
        <f t="shared" si="5"/>
        <v>4.2250011163913621</v>
      </c>
      <c r="AS12" s="243">
        <f t="shared" si="5"/>
        <v>4.2250011163913621</v>
      </c>
      <c r="AT12" s="243">
        <f t="shared" si="5"/>
        <v>4.2250011163913621</v>
      </c>
      <c r="AU12" s="243">
        <f t="shared" si="5"/>
        <v>4.2250011163913621</v>
      </c>
      <c r="AV12" s="243">
        <f t="shared" si="5"/>
        <v>4.2250011163913621</v>
      </c>
    </row>
    <row r="13" spans="2:51" s="77" customFormat="1" ht="15">
      <c r="B13" s="58" t="s">
        <v>88</v>
      </c>
      <c r="C13" s="67">
        <f>SUMIF('Source-MNRE'!$A$6:$A$42,$B13,'Source-MNRE'!$E$6:$E$42)</f>
        <v>0</v>
      </c>
      <c r="D13" s="68">
        <f>SUMIF('Source-BTI'!$B$6:$B$25,'PV&amp;WIND'!B13,'Source-BTI'!$K$6:$K$25)</f>
        <v>0</v>
      </c>
      <c r="E13" s="68">
        <f>SUMIF('Source-BTI'!$B$6:$B$25,'PV&amp;WIND'!B13,'Source-BTI'!$N$6:$N$25)</f>
        <v>0</v>
      </c>
      <c r="F13" s="703">
        <f t="shared" si="0"/>
        <v>0</v>
      </c>
      <c r="G13" s="69">
        <f t="shared" si="6"/>
        <v>0</v>
      </c>
      <c r="H13" s="77">
        <f>SUMIF('Source-MNRE'!$AA$6:$AA$42,'PV&amp;WIND'!B13,'Source-MNRE'!$AB$6:$AB$42)</f>
        <v>0</v>
      </c>
      <c r="J13" s="248"/>
      <c r="K13" s="215">
        <f>SUMIFS('CEA-underConsWIND2'!$G$4:$G$52,'CEA-underConsWIND2'!$A$4:$A$52,'PV&amp;WIND'!$B13,'CEA-underConsWIND2'!$M$4:$M$52,'PV&amp;WIND'!K$4)</f>
        <v>0</v>
      </c>
      <c r="L13" s="215">
        <f>SUMIFS('CEA-underConsWIND2'!$G$4:$G$52,'CEA-underConsWIND2'!$A$4:$A$52,'PV&amp;WIND'!$B13,'CEA-underConsWIND2'!$M$4:$M$52,'PV&amp;WIND'!L$4)</f>
        <v>0</v>
      </c>
      <c r="M13" s="215">
        <f>SUMIFS('CEA-underConsWIND2'!$G$4:$G$52,'CEA-underConsWIND2'!$A$4:$A$52,'PV&amp;WIND'!$B13,'CEA-underConsWIND2'!$M$4:$M$52,'PV&amp;WIND'!M$4)</f>
        <v>0</v>
      </c>
      <c r="N13" s="215">
        <f>SUMIFS('CEA-underConsWIND2'!$G$4:$G$52,'CEA-underConsWIND2'!$A$4:$A$52,'PV&amp;WIND'!$B13,'CEA-underConsWIND2'!$M$4:$M$52,'PV&amp;WIND'!N$4)</f>
        <v>0</v>
      </c>
      <c r="O13" s="251">
        <f t="shared" si="7"/>
        <v>0</v>
      </c>
      <c r="P13" s="251">
        <f t="shared" si="8"/>
        <v>0</v>
      </c>
      <c r="Q13" s="251">
        <f t="shared" si="1"/>
        <v>0</v>
      </c>
      <c r="R13" s="251">
        <f t="shared" si="1"/>
        <v>0</v>
      </c>
      <c r="S13" s="77" t="str">
        <f t="shared" si="9"/>
        <v>HP</v>
      </c>
      <c r="T13" s="243">
        <f t="shared" si="2"/>
        <v>0</v>
      </c>
      <c r="U13" s="243">
        <f t="shared" si="10"/>
        <v>0</v>
      </c>
      <c r="V13" s="243">
        <f t="shared" si="11"/>
        <v>0</v>
      </c>
      <c r="W13" s="243">
        <f t="shared" si="4"/>
        <v>0</v>
      </c>
      <c r="X13" s="243">
        <v>0</v>
      </c>
      <c r="Y13" s="243">
        <v>0</v>
      </c>
      <c r="Z13" s="243">
        <v>0</v>
      </c>
      <c r="AA13" s="243">
        <v>0</v>
      </c>
      <c r="AB13" s="243">
        <v>0</v>
      </c>
      <c r="AC13" s="243">
        <v>0</v>
      </c>
      <c r="AD13" s="243">
        <v>0</v>
      </c>
      <c r="AE13" s="243"/>
      <c r="AF13" s="243"/>
      <c r="AG13" s="243"/>
      <c r="AH13" s="635">
        <f>VLOOKUP(EG_WIND_max[[#This Row],[SubGeography2]],'MaxCapacity-Input'!$G$65:$L$90,6,FALSE)</f>
        <v>0</v>
      </c>
      <c r="AI13" s="77">
        <f>SUMIFS('Electricity Potential'!$G$5:$G$190,'Electricity Potential'!$C$5:$C$190,'PV&amp;WIND'!S13,'Electricity Potential'!$D$5:$D$190,'PV&amp;WIND'!AI$3)</f>
        <v>151</v>
      </c>
      <c r="AJ13" s="420">
        <f t="shared" si="12"/>
        <v>2.1751625249747552E-4</v>
      </c>
      <c r="AK13" s="77" t="str">
        <f>EG_WIND_min[[#This Row],[SubGeography2]]</f>
        <v>HP</v>
      </c>
      <c r="AL13" s="243">
        <f>EG_WIND_min[[#This Row],[2021]]*(1+$AH13)</f>
        <v>0</v>
      </c>
      <c r="AM13" s="243">
        <f>EG_WIND_min[[#This Row],[2022]]*(1+$AH13)</f>
        <v>0</v>
      </c>
      <c r="AN13" s="243">
        <f>EG_WIND_min[[#This Row],[2023]]*(1+$AH13)</f>
        <v>0</v>
      </c>
      <c r="AO13" s="243">
        <f>MAX($AJ13*AO$31,EG_WIND_min[[#This Row],[2024]]*(1+$AH19))</f>
        <v>0.65254875749242658</v>
      </c>
      <c r="AP13" s="243">
        <f t="shared" si="5"/>
        <v>1.0875812624873775</v>
      </c>
      <c r="AQ13" s="243">
        <f t="shared" si="5"/>
        <v>1.5226137674823286</v>
      </c>
      <c r="AR13" s="243">
        <f t="shared" si="5"/>
        <v>1.5226137674823286</v>
      </c>
      <c r="AS13" s="243">
        <f t="shared" si="5"/>
        <v>1.5226137674823286</v>
      </c>
      <c r="AT13" s="243">
        <f t="shared" si="5"/>
        <v>1.5226137674823286</v>
      </c>
      <c r="AU13" s="243">
        <f t="shared" si="5"/>
        <v>1.5226137674823286</v>
      </c>
      <c r="AV13" s="243">
        <f t="shared" si="5"/>
        <v>1.5226137674823286</v>
      </c>
    </row>
    <row r="14" spans="2:51" s="77" customFormat="1" ht="15">
      <c r="B14" s="58" t="s">
        <v>89</v>
      </c>
      <c r="C14" s="67">
        <f>SUMIF('Source-MNRE'!$A$6:$A$42,$B14,'Source-MNRE'!$E$6:$E$42)</f>
        <v>0</v>
      </c>
      <c r="D14" s="68">
        <f>SUMIF('Source-BTI'!$B$6:$B$25,'PV&amp;WIND'!B14,'Source-BTI'!$K$6:$K$25)</f>
        <v>0</v>
      </c>
      <c r="E14" s="68">
        <f>SUMIF('Source-BTI'!$B$6:$B$25,'PV&amp;WIND'!B14,'Source-BTI'!$N$6:$N$25)</f>
        <v>0</v>
      </c>
      <c r="F14" s="703">
        <f t="shared" si="0"/>
        <v>0</v>
      </c>
      <c r="G14" s="69">
        <f t="shared" si="6"/>
        <v>0</v>
      </c>
      <c r="H14" s="77">
        <f>SUMIF('Source-MNRE'!$AA$6:$AA$42,'PV&amp;WIND'!B14,'Source-MNRE'!$AB$6:$AB$42)</f>
        <v>0</v>
      </c>
      <c r="J14" s="248"/>
      <c r="K14" s="215">
        <f>SUMIFS('CEA-underConsWIND2'!$G$4:$G$52,'CEA-underConsWIND2'!$A$4:$A$52,'PV&amp;WIND'!$B14,'CEA-underConsWIND2'!$M$4:$M$52,'PV&amp;WIND'!K$4)</f>
        <v>0</v>
      </c>
      <c r="L14" s="215">
        <f>SUMIFS('CEA-underConsWIND2'!$G$4:$G$52,'CEA-underConsWIND2'!$A$4:$A$52,'PV&amp;WIND'!$B14,'CEA-underConsWIND2'!$M$4:$M$52,'PV&amp;WIND'!L$4)</f>
        <v>0</v>
      </c>
      <c r="M14" s="215">
        <f>SUMIFS('CEA-underConsWIND2'!$G$4:$G$52,'CEA-underConsWIND2'!$A$4:$A$52,'PV&amp;WIND'!$B14,'CEA-underConsWIND2'!$M$4:$M$52,'PV&amp;WIND'!M$4)</f>
        <v>0</v>
      </c>
      <c r="N14" s="215">
        <f>SUMIFS('CEA-underConsWIND2'!$G$4:$G$52,'CEA-underConsWIND2'!$A$4:$A$52,'PV&amp;WIND'!$B14,'CEA-underConsWIND2'!$M$4:$M$52,'PV&amp;WIND'!N$4)</f>
        <v>0</v>
      </c>
      <c r="O14" s="251">
        <f t="shared" si="7"/>
        <v>0</v>
      </c>
      <c r="P14" s="251">
        <f t="shared" si="8"/>
        <v>0</v>
      </c>
      <c r="Q14" s="251">
        <f t="shared" si="1"/>
        <v>0</v>
      </c>
      <c r="R14" s="251">
        <f t="shared" si="1"/>
        <v>0</v>
      </c>
      <c r="S14" s="77" t="str">
        <f t="shared" si="9"/>
        <v>JK</v>
      </c>
      <c r="T14" s="243">
        <f t="shared" si="2"/>
        <v>0</v>
      </c>
      <c r="U14" s="243">
        <f t="shared" si="10"/>
        <v>0</v>
      </c>
      <c r="V14" s="243">
        <f t="shared" si="11"/>
        <v>0</v>
      </c>
      <c r="W14" s="243">
        <f t="shared" si="4"/>
        <v>0</v>
      </c>
      <c r="X14" s="243">
        <v>0</v>
      </c>
      <c r="Y14" s="243">
        <v>0</v>
      </c>
      <c r="Z14" s="243">
        <v>0</v>
      </c>
      <c r="AA14" s="243">
        <v>0</v>
      </c>
      <c r="AB14" s="243">
        <v>0</v>
      </c>
      <c r="AC14" s="243">
        <v>0</v>
      </c>
      <c r="AD14" s="243">
        <v>0</v>
      </c>
      <c r="AE14" s="243"/>
      <c r="AF14" s="243"/>
      <c r="AG14" s="243"/>
      <c r="AH14" s="635">
        <f>VLOOKUP(EG_WIND_max[[#This Row],[SubGeography2]],'MaxCapacity-Input'!$G$65:$L$90,6,FALSE)</f>
        <v>0</v>
      </c>
      <c r="AI14" s="77">
        <f>SUMIFS('Electricity Potential'!$G$5:$G$190,'Electricity Potential'!$C$5:$C$190,'PV&amp;WIND'!S14,'Electricity Potential'!$D$5:$D$190,'PV&amp;WIND'!AI$3)</f>
        <v>3</v>
      </c>
      <c r="AJ14" s="420">
        <f t="shared" si="12"/>
        <v>4.3215149502809704E-6</v>
      </c>
      <c r="AK14" s="77" t="str">
        <f>EG_WIND_min[[#This Row],[SubGeography2]]</f>
        <v>JK</v>
      </c>
      <c r="AL14" s="243">
        <f>EG_WIND_min[[#This Row],[2021]]*(1+$AH14)</f>
        <v>0</v>
      </c>
      <c r="AM14" s="243">
        <f>EG_WIND_min[[#This Row],[2022]]*(1+$AH14)</f>
        <v>0</v>
      </c>
      <c r="AN14" s="243">
        <f>EG_WIND_min[[#This Row],[2023]]*(1+$AH14)</f>
        <v>0</v>
      </c>
      <c r="AO14" s="243">
        <f>MAX($AJ14*AO$31,EG_WIND_min[[#This Row],[2024]]*(1+$AH20))</f>
        <v>1.2964544850842911E-2</v>
      </c>
      <c r="AP14" s="243">
        <f t="shared" si="5"/>
        <v>2.1607574751404852E-2</v>
      </c>
      <c r="AQ14" s="243">
        <f t="shared" si="5"/>
        <v>3.0250604651966793E-2</v>
      </c>
      <c r="AR14" s="243">
        <f t="shared" si="5"/>
        <v>3.0250604651966793E-2</v>
      </c>
      <c r="AS14" s="243">
        <f t="shared" si="5"/>
        <v>3.0250604651966793E-2</v>
      </c>
      <c r="AT14" s="243">
        <f t="shared" si="5"/>
        <v>3.0250604651966793E-2</v>
      </c>
      <c r="AU14" s="243">
        <f t="shared" si="5"/>
        <v>3.0250604651966793E-2</v>
      </c>
      <c r="AV14" s="243">
        <f t="shared" si="5"/>
        <v>3.0250604651966793E-2</v>
      </c>
    </row>
    <row r="15" spans="2:51" s="77" customFormat="1" ht="15">
      <c r="B15" s="58" t="s">
        <v>20</v>
      </c>
      <c r="C15" s="67">
        <f>SUMIF('Source-MNRE'!$A$6:$A$42,$B15,'Source-MNRE'!$E$6:$E$42)</f>
        <v>0</v>
      </c>
      <c r="D15" s="68">
        <f>SUMIF('Source-BTI'!$B$6:$B$25,'PV&amp;WIND'!B15,'Source-BTI'!$K$6:$K$25)</f>
        <v>0</v>
      </c>
      <c r="E15" s="68">
        <f>SUMIF('Source-BTI'!$B$6:$B$25,'PV&amp;WIND'!B15,'Source-BTI'!$N$6:$N$25)</f>
        <v>0</v>
      </c>
      <c r="F15" s="703">
        <f t="shared" si="0"/>
        <v>0</v>
      </c>
      <c r="G15" s="69">
        <f t="shared" si="6"/>
        <v>0</v>
      </c>
      <c r="H15" s="77">
        <f>SUMIF('Source-MNRE'!$AA$6:$AA$42,'PV&amp;WIND'!B15,'Source-MNRE'!$AB$6:$AB$42)</f>
        <v>0</v>
      </c>
      <c r="J15" s="248"/>
      <c r="K15" s="215">
        <f>SUMIFS('CEA-underConsWIND2'!$G$4:$G$52,'CEA-underConsWIND2'!$A$4:$A$52,'PV&amp;WIND'!$B15,'CEA-underConsWIND2'!$M$4:$M$52,'PV&amp;WIND'!K$4)</f>
        <v>0</v>
      </c>
      <c r="L15" s="215">
        <f>SUMIFS('CEA-underConsWIND2'!$G$4:$G$52,'CEA-underConsWIND2'!$A$4:$A$52,'PV&amp;WIND'!$B15,'CEA-underConsWIND2'!$M$4:$M$52,'PV&amp;WIND'!L$4)</f>
        <v>0</v>
      </c>
      <c r="M15" s="215">
        <f>SUMIFS('CEA-underConsWIND2'!$G$4:$G$52,'CEA-underConsWIND2'!$A$4:$A$52,'PV&amp;WIND'!$B15,'CEA-underConsWIND2'!$M$4:$M$52,'PV&amp;WIND'!M$4)</f>
        <v>0</v>
      </c>
      <c r="N15" s="215">
        <f>SUMIFS('CEA-underConsWIND2'!$G$4:$G$52,'CEA-underConsWIND2'!$A$4:$A$52,'PV&amp;WIND'!$B15,'CEA-underConsWIND2'!$M$4:$M$52,'PV&amp;WIND'!N$4)</f>
        <v>0</v>
      </c>
      <c r="O15" s="251">
        <f t="shared" si="7"/>
        <v>0</v>
      </c>
      <c r="P15" s="251">
        <f t="shared" si="8"/>
        <v>0</v>
      </c>
      <c r="Q15" s="251">
        <f t="shared" si="1"/>
        <v>0</v>
      </c>
      <c r="R15" s="251">
        <f t="shared" si="1"/>
        <v>0</v>
      </c>
      <c r="S15" s="77" t="str">
        <f t="shared" si="9"/>
        <v>JH</v>
      </c>
      <c r="T15" s="243">
        <f t="shared" si="2"/>
        <v>0</v>
      </c>
      <c r="U15" s="243">
        <f t="shared" si="10"/>
        <v>0</v>
      </c>
      <c r="V15" s="243">
        <f t="shared" si="11"/>
        <v>0</v>
      </c>
      <c r="W15" s="243">
        <f t="shared" si="4"/>
        <v>0</v>
      </c>
      <c r="X15" s="243">
        <v>0</v>
      </c>
      <c r="Y15" s="243">
        <v>0</v>
      </c>
      <c r="Z15" s="243">
        <v>0</v>
      </c>
      <c r="AA15" s="243">
        <v>0</v>
      </c>
      <c r="AB15" s="243">
        <v>0</v>
      </c>
      <c r="AC15" s="243">
        <v>0</v>
      </c>
      <c r="AD15" s="243">
        <v>0</v>
      </c>
      <c r="AE15" s="243"/>
      <c r="AF15" s="243"/>
      <c r="AG15" s="243"/>
      <c r="AH15" s="635">
        <f>VLOOKUP(EG_WIND_max[[#This Row],[SubGeography2]],'MaxCapacity-Input'!$G$65:$L$90,6,FALSE)</f>
        <v>0</v>
      </c>
      <c r="AI15" s="77">
        <f>SUMIFS('Electricity Potential'!$G$5:$G$190,'Electricity Potential'!$C$5:$C$190,'PV&amp;WIND'!S15,'Electricity Potential'!$D$5:$D$190,'PV&amp;WIND'!AI$3)</f>
        <v>0</v>
      </c>
      <c r="AJ15" s="420">
        <f t="shared" si="12"/>
        <v>0</v>
      </c>
      <c r="AK15" s="77" t="str">
        <f>EG_WIND_min[[#This Row],[SubGeography2]]</f>
        <v>JH</v>
      </c>
      <c r="AL15" s="243">
        <f>EG_WIND_min[[#This Row],[2021]]*(1+$AH15)</f>
        <v>0</v>
      </c>
      <c r="AM15" s="243">
        <f>EG_WIND_min[[#This Row],[2022]]*(1+$AH15)</f>
        <v>0</v>
      </c>
      <c r="AN15" s="243">
        <f>EG_WIND_min[[#This Row],[2023]]*(1+$AH15)</f>
        <v>0</v>
      </c>
      <c r="AO15" s="243">
        <f>MAX($AJ15*AO$31,EG_WIND_min[[#This Row],[2024]]*(1+$AH21))</f>
        <v>0</v>
      </c>
      <c r="AP15" s="243">
        <f t="shared" ref="AP15:AV29" si="13">$AJ15*AP$31</f>
        <v>0</v>
      </c>
      <c r="AQ15" s="243">
        <f t="shared" si="13"/>
        <v>0</v>
      </c>
      <c r="AR15" s="243">
        <f t="shared" si="13"/>
        <v>0</v>
      </c>
      <c r="AS15" s="243">
        <f t="shared" si="13"/>
        <v>0</v>
      </c>
      <c r="AT15" s="243">
        <f t="shared" si="13"/>
        <v>0</v>
      </c>
      <c r="AU15" s="243">
        <f t="shared" si="13"/>
        <v>0</v>
      </c>
      <c r="AV15" s="243">
        <f t="shared" si="13"/>
        <v>0</v>
      </c>
    </row>
    <row r="16" spans="2:51" s="77" customFormat="1" ht="15">
      <c r="B16" s="58" t="s">
        <v>11</v>
      </c>
      <c r="C16" s="67">
        <f>SUMIF('Source-MNRE'!$A$6:$A$42,$B16,'Source-MNRE'!$E$6:$E$42)</f>
        <v>4790.6000000000004</v>
      </c>
      <c r="D16" s="68">
        <f>SUMIF('Source-BTI'!$B$6:$B$25,'PV&amp;WIND'!B16,'Source-BTI'!$K$6:$K$25)</f>
        <v>5109</v>
      </c>
      <c r="E16" s="68">
        <f>SUMIF('Source-BTI'!$B$6:$B$25,'PV&amp;WIND'!B16,'Source-BTI'!$N$6:$N$25)</f>
        <v>1175</v>
      </c>
      <c r="F16" s="703">
        <f t="shared" si="0"/>
        <v>1493.3999999999996</v>
      </c>
      <c r="G16" s="69">
        <f t="shared" si="6"/>
        <v>4790.6000000000004</v>
      </c>
      <c r="H16" s="77">
        <f>SUMIF('Source-MNRE'!$AA$6:$AA$42,'PV&amp;WIND'!B16,'Source-MNRE'!$AB$6:$AB$42)</f>
        <v>122</v>
      </c>
      <c r="J16" s="248"/>
      <c r="K16" s="215">
        <f>SUMIFS('CEA-underConsWIND2'!$G$4:$G$52,'CEA-underConsWIND2'!$A$4:$A$52,'PV&amp;WIND'!$B16,'CEA-underConsWIND2'!$M$4:$M$52,'PV&amp;WIND'!K$4)</f>
        <v>0</v>
      </c>
      <c r="L16" s="215">
        <f>SUMIFS('CEA-underConsWIND2'!$G$4:$G$52,'CEA-underConsWIND2'!$A$4:$A$52,'PV&amp;WIND'!$B16,'CEA-underConsWIND2'!$M$4:$M$52,'PV&amp;WIND'!L$4)</f>
        <v>0</v>
      </c>
      <c r="M16" s="215">
        <f>SUMIFS('CEA-underConsWIND2'!$G$4:$G$52,'CEA-underConsWIND2'!$A$4:$A$52,'PV&amp;WIND'!$B16,'CEA-underConsWIND2'!$M$4:$M$52,'PV&amp;WIND'!M$4)</f>
        <v>300</v>
      </c>
      <c r="N16" s="215">
        <f>SUMIFS('CEA-underConsWIND2'!$G$4:$G$52,'CEA-underConsWIND2'!$A$4:$A$52,'PV&amp;WIND'!$B16,'CEA-underConsWIND2'!$M$4:$M$52,'PV&amp;WIND'!N$4)</f>
        <v>0</v>
      </c>
      <c r="O16" s="251">
        <f t="shared" si="7"/>
        <v>1193.3999999999996</v>
      </c>
      <c r="P16" s="251">
        <f t="shared" si="8"/>
        <v>238.67999999999995</v>
      </c>
      <c r="Q16" s="251">
        <f t="shared" si="1"/>
        <v>358.01999999999987</v>
      </c>
      <c r="R16" s="251">
        <f t="shared" si="1"/>
        <v>596.69999999999982</v>
      </c>
      <c r="S16" s="77" t="str">
        <f t="shared" si="9"/>
        <v>KA</v>
      </c>
      <c r="T16" s="243">
        <f t="shared" si="2"/>
        <v>122</v>
      </c>
      <c r="U16" s="243">
        <f t="shared" si="10"/>
        <v>238.67999999999995</v>
      </c>
      <c r="V16" s="243">
        <f t="shared" si="11"/>
        <v>658.01999999999987</v>
      </c>
      <c r="W16" s="243">
        <f t="shared" si="4"/>
        <v>596.69999999999982</v>
      </c>
      <c r="X16" s="243">
        <v>0</v>
      </c>
      <c r="Y16" s="243">
        <v>0</v>
      </c>
      <c r="Z16" s="243">
        <v>0</v>
      </c>
      <c r="AA16" s="243">
        <v>0</v>
      </c>
      <c r="AB16" s="243">
        <v>0</v>
      </c>
      <c r="AC16" s="243">
        <v>0</v>
      </c>
      <c r="AD16" s="243">
        <v>0</v>
      </c>
      <c r="AE16" s="243"/>
      <c r="AF16" s="243"/>
      <c r="AG16" s="243"/>
      <c r="AH16" s="635">
        <f>VLOOKUP(EG_WIND_max[[#This Row],[SubGeography2]],'MaxCapacity-Input'!$G$65:$L$90,6,FALSE)</f>
        <v>2.1245738829584786E-2</v>
      </c>
      <c r="AI16" s="77">
        <f>SUMIFS('Electricity Potential'!$G$5:$G$190,'Electricity Potential'!$C$5:$C$190,'PV&amp;WIND'!S16,'Electricity Potential'!$D$5:$D$190,'PV&amp;WIND'!AI$3)</f>
        <v>124155</v>
      </c>
      <c r="AJ16" s="420">
        <f t="shared" si="12"/>
        <v>0.17884589621737795</v>
      </c>
      <c r="AK16" s="77" t="str">
        <f>EG_WIND_min[[#This Row],[SubGeography2]]</f>
        <v>KA</v>
      </c>
      <c r="AL16" s="243">
        <f>EG_WIND_min[[#This Row],[2021]]*(1+$AH16)</f>
        <v>124.59198013720935</v>
      </c>
      <c r="AM16" s="243">
        <f>EG_WIND_min[[#This Row],[2022]]*(1+$AH16)</f>
        <v>243.75093294384524</v>
      </c>
      <c r="AN16" s="243">
        <f>EG_WIND_min[[#This Row],[2023]]*(1+$AH16)</f>
        <v>672.00012106464328</v>
      </c>
      <c r="AO16" s="243">
        <f>MAX($AJ16*AO$31,EG_WIND_min[[#This Row],[2024]]*(1+$AH22))</f>
        <v>609.01920226317691</v>
      </c>
      <c r="AP16" s="243">
        <f t="shared" si="13"/>
        <v>894.22948108688979</v>
      </c>
      <c r="AQ16" s="243">
        <f t="shared" si="13"/>
        <v>1251.9212735216456</v>
      </c>
      <c r="AR16" s="243">
        <f t="shared" si="13"/>
        <v>1251.9212735216456</v>
      </c>
      <c r="AS16" s="243">
        <f t="shared" si="13"/>
        <v>1251.9212735216456</v>
      </c>
      <c r="AT16" s="243">
        <f t="shared" si="13"/>
        <v>1251.9212735216456</v>
      </c>
      <c r="AU16" s="243">
        <f t="shared" si="13"/>
        <v>1251.9212735216456</v>
      </c>
      <c r="AV16" s="243">
        <f t="shared" si="13"/>
        <v>1251.9212735216456</v>
      </c>
    </row>
    <row r="17" spans="2:48" s="77" customFormat="1" ht="15">
      <c r="B17" s="58" t="s">
        <v>12</v>
      </c>
      <c r="C17" s="67">
        <f>SUMIF('Source-MNRE'!$A$6:$A$42,$B17,'Source-MNRE'!$E$6:$E$42)</f>
        <v>62.5</v>
      </c>
      <c r="D17" s="68">
        <f>SUMIF('Source-BTI'!$B$6:$B$25,'PV&amp;WIND'!B17,'Source-BTI'!$K$6:$K$25)</f>
        <v>58</v>
      </c>
      <c r="E17" s="68">
        <f>SUMIF('Source-BTI'!$B$6:$B$25,'PV&amp;WIND'!B17,'Source-BTI'!$N$6:$N$25)</f>
        <v>0</v>
      </c>
      <c r="F17" s="703">
        <f t="shared" si="0"/>
        <v>0</v>
      </c>
      <c r="G17" s="69">
        <f t="shared" si="6"/>
        <v>62.5</v>
      </c>
      <c r="H17" s="77">
        <f>SUMIF('Source-MNRE'!$AA$6:$AA$42,'PV&amp;WIND'!B17,'Source-MNRE'!$AB$6:$AB$42)</f>
        <v>0</v>
      </c>
      <c r="J17" s="248"/>
      <c r="K17" s="215">
        <f>SUMIFS('CEA-underConsWIND2'!$G$4:$G$52,'CEA-underConsWIND2'!$A$4:$A$52,'PV&amp;WIND'!$B17,'CEA-underConsWIND2'!$M$4:$M$52,'PV&amp;WIND'!K$4)</f>
        <v>0</v>
      </c>
      <c r="L17" s="215">
        <f>SUMIFS('CEA-underConsWIND2'!$G$4:$G$52,'CEA-underConsWIND2'!$A$4:$A$52,'PV&amp;WIND'!$B17,'CEA-underConsWIND2'!$M$4:$M$52,'PV&amp;WIND'!L$4)</f>
        <v>300</v>
      </c>
      <c r="M17" s="215">
        <f>SUMIFS('CEA-underConsWIND2'!$G$4:$G$52,'CEA-underConsWIND2'!$A$4:$A$52,'PV&amp;WIND'!$B17,'CEA-underConsWIND2'!$M$4:$M$52,'PV&amp;WIND'!M$4)</f>
        <v>0</v>
      </c>
      <c r="N17" s="215">
        <f>SUMIFS('CEA-underConsWIND2'!$G$4:$G$52,'CEA-underConsWIND2'!$A$4:$A$52,'PV&amp;WIND'!$B17,'CEA-underConsWIND2'!$M$4:$M$52,'PV&amp;WIND'!N$4)</f>
        <v>0</v>
      </c>
      <c r="O17" s="251">
        <f t="shared" si="7"/>
        <v>-300</v>
      </c>
      <c r="P17" s="251">
        <f>IF($O17&lt;=0,0,$O17*P$3)</f>
        <v>0</v>
      </c>
      <c r="Q17" s="251">
        <f t="shared" si="1"/>
        <v>0</v>
      </c>
      <c r="R17" s="251">
        <f t="shared" si="1"/>
        <v>0</v>
      </c>
      <c r="S17" s="77" t="str">
        <f t="shared" si="9"/>
        <v>KL</v>
      </c>
      <c r="T17" s="243">
        <f t="shared" si="2"/>
        <v>0</v>
      </c>
      <c r="U17" s="243">
        <f t="shared" si="10"/>
        <v>300</v>
      </c>
      <c r="V17" s="243">
        <f t="shared" si="11"/>
        <v>0</v>
      </c>
      <c r="W17" s="243">
        <f t="shared" si="4"/>
        <v>0</v>
      </c>
      <c r="X17" s="243">
        <v>0</v>
      </c>
      <c r="Y17" s="243">
        <v>0</v>
      </c>
      <c r="Z17" s="243">
        <v>0</v>
      </c>
      <c r="AA17" s="243">
        <v>0</v>
      </c>
      <c r="AB17" s="243">
        <v>0</v>
      </c>
      <c r="AC17" s="243">
        <v>0</v>
      </c>
      <c r="AD17" s="243">
        <v>0</v>
      </c>
      <c r="AE17" s="243"/>
      <c r="AF17" s="243"/>
      <c r="AG17" s="243"/>
      <c r="AH17" s="635">
        <f>VLOOKUP(EG_WIND_max[[#This Row],[SubGeography2]],'MaxCapacity-Input'!$G$65:$L$90,6,FALSE)</f>
        <v>0</v>
      </c>
      <c r="AI17" s="77">
        <f>SUMIFS('Electricity Potential'!$G$5:$G$190,'Electricity Potential'!$C$5:$C$190,'PV&amp;WIND'!S17,'Electricity Potential'!$D$5:$D$190,'PV&amp;WIND'!AI$3)</f>
        <v>2311</v>
      </c>
      <c r="AJ17" s="420">
        <f t="shared" si="12"/>
        <v>3.3290070166997741E-3</v>
      </c>
      <c r="AK17" s="77" t="str">
        <f>EG_WIND_min[[#This Row],[SubGeography2]]</f>
        <v>KL</v>
      </c>
      <c r="AL17" s="243">
        <f>EG_WIND_min[[#This Row],[2021]]*(1+$AH17)</f>
        <v>0</v>
      </c>
      <c r="AM17" s="243">
        <f>EG_WIND_min[[#This Row],[2022]]*(1+$AH17)</f>
        <v>300</v>
      </c>
      <c r="AN17" s="243">
        <f>EG_WIND_min[[#This Row],[2023]]*(1+$AH17)</f>
        <v>0</v>
      </c>
      <c r="AO17" s="243">
        <f>MAX($AJ17*AO$31,EG_WIND_min[[#This Row],[2024]]*(1+$AH23))</f>
        <v>9.9870210500993224</v>
      </c>
      <c r="AP17" s="243">
        <f t="shared" si="13"/>
        <v>16.645035083498872</v>
      </c>
      <c r="AQ17" s="243">
        <f t="shared" si="13"/>
        <v>23.303049116898418</v>
      </c>
      <c r="AR17" s="243">
        <f t="shared" si="13"/>
        <v>23.303049116898418</v>
      </c>
      <c r="AS17" s="243">
        <f t="shared" si="13"/>
        <v>23.303049116898418</v>
      </c>
      <c r="AT17" s="243">
        <f t="shared" si="13"/>
        <v>23.303049116898418</v>
      </c>
      <c r="AU17" s="243">
        <f t="shared" si="13"/>
        <v>23.303049116898418</v>
      </c>
      <c r="AV17" s="243">
        <f t="shared" si="13"/>
        <v>23.303049116898418</v>
      </c>
    </row>
    <row r="18" spans="2:48" s="77" customFormat="1" ht="15">
      <c r="B18" s="58" t="s">
        <v>9</v>
      </c>
      <c r="C18" s="67">
        <f>SUMIF('Source-MNRE'!$A$6:$A$42,$B18,'Source-MNRE'!$E$6:$E$42)</f>
        <v>2519.89</v>
      </c>
      <c r="D18" s="68">
        <f>SUMIF('Source-BTI'!$B$6:$B$25,'PV&amp;WIND'!B18,'Source-BTI'!$K$6:$K$25)</f>
        <v>2493</v>
      </c>
      <c r="E18" s="68">
        <f>SUMIF('Source-BTI'!$B$6:$B$25,'PV&amp;WIND'!B18,'Source-BTI'!$N$6:$N$25)</f>
        <v>624</v>
      </c>
      <c r="F18" s="703">
        <f t="shared" si="0"/>
        <v>624</v>
      </c>
      <c r="G18" s="69">
        <f t="shared" si="6"/>
        <v>2519.89</v>
      </c>
      <c r="H18" s="77">
        <f>SUMIF('Source-MNRE'!$AA$6:$AA$42,'PV&amp;WIND'!B18,'Source-MNRE'!$AB$6:$AB$42)</f>
        <v>0</v>
      </c>
      <c r="J18" s="248"/>
      <c r="K18" s="215">
        <f>SUMIFS('CEA-underConsWIND2'!$G$4:$G$52,'CEA-underConsWIND2'!$A$4:$A$52,'PV&amp;WIND'!$B18,'CEA-underConsWIND2'!$M$4:$M$52,'PV&amp;WIND'!K$4)</f>
        <v>0</v>
      </c>
      <c r="L18" s="215">
        <f>SUMIFS('CEA-underConsWIND2'!$G$4:$G$52,'CEA-underConsWIND2'!$A$4:$A$52,'PV&amp;WIND'!$B18,'CEA-underConsWIND2'!$M$4:$M$52,'PV&amp;WIND'!L$4)</f>
        <v>0</v>
      </c>
      <c r="M18" s="215">
        <f>SUMIFS('CEA-underConsWIND2'!$G$4:$G$52,'CEA-underConsWIND2'!$A$4:$A$52,'PV&amp;WIND'!$B18,'CEA-underConsWIND2'!$M$4:$M$52,'PV&amp;WIND'!M$4)</f>
        <v>300</v>
      </c>
      <c r="N18" s="215">
        <f>SUMIFS('CEA-underConsWIND2'!$G$4:$G$52,'CEA-underConsWIND2'!$A$4:$A$52,'PV&amp;WIND'!$B18,'CEA-underConsWIND2'!$M$4:$M$52,'PV&amp;WIND'!N$4)</f>
        <v>100</v>
      </c>
      <c r="O18" s="251">
        <f t="shared" si="7"/>
        <v>224</v>
      </c>
      <c r="P18" s="251">
        <f>IF($O18&lt;=0,0,$O18*P$3)</f>
        <v>44.800000000000004</v>
      </c>
      <c r="Q18" s="251">
        <f t="shared" si="1"/>
        <v>67.2</v>
      </c>
      <c r="R18" s="251">
        <f t="shared" si="1"/>
        <v>112</v>
      </c>
      <c r="S18" s="77" t="str">
        <f t="shared" si="9"/>
        <v>MP</v>
      </c>
      <c r="T18" s="243">
        <f t="shared" si="2"/>
        <v>0</v>
      </c>
      <c r="U18" s="243">
        <f t="shared" si="10"/>
        <v>44.800000000000004</v>
      </c>
      <c r="V18" s="243">
        <f t="shared" si="11"/>
        <v>367.2</v>
      </c>
      <c r="W18" s="243">
        <f t="shared" si="4"/>
        <v>212</v>
      </c>
      <c r="X18" s="243">
        <v>0</v>
      </c>
      <c r="Y18" s="243">
        <v>0</v>
      </c>
      <c r="Z18" s="243">
        <v>0</v>
      </c>
      <c r="AA18" s="243">
        <v>0</v>
      </c>
      <c r="AB18" s="243">
        <v>0</v>
      </c>
      <c r="AC18" s="243">
        <v>0</v>
      </c>
      <c r="AD18" s="243">
        <v>0</v>
      </c>
      <c r="AE18" s="243"/>
      <c r="AF18" s="243"/>
      <c r="AG18" s="243"/>
      <c r="AH18" s="635">
        <f>VLOOKUP(EG_WIND_max[[#This Row],[SubGeography2]],'MaxCapacity-Input'!$G$65:$L$90,6,FALSE)</f>
        <v>9.5972476820488289E-2</v>
      </c>
      <c r="AI18" s="77">
        <f>SUMIFS('Electricity Potential'!$G$5:$G$190,'Electricity Potential'!$C$5:$C$190,'PV&amp;WIND'!S18,'Electricity Potential'!$D$5:$D$190,'PV&amp;WIND'!AI$3)</f>
        <v>15404</v>
      </c>
      <c r="AJ18" s="420">
        <f t="shared" si="12"/>
        <v>2.2189538764709357E-2</v>
      </c>
      <c r="AK18" s="77" t="str">
        <f>EG_WIND_min[[#This Row],[SubGeography2]]</f>
        <v>MP</v>
      </c>
      <c r="AL18" s="243">
        <f>EG_WIND_min[[#This Row],[2021]]*(1+$AH18)</f>
        <v>0</v>
      </c>
      <c r="AM18" s="243">
        <f>EG_WIND_min[[#This Row],[2022]]*(1+$AH18)</f>
        <v>49.099566961557883</v>
      </c>
      <c r="AN18" s="243">
        <f>EG_WIND_min[[#This Row],[2023]]*(1+$AH18)</f>
        <v>402.44109348848332</v>
      </c>
      <c r="AO18" s="243">
        <f>MAX($AJ18*AO$31,EG_WIND_min[[#This Row],[2024]]*(1+$AH24))</f>
        <v>212.05322322723194</v>
      </c>
      <c r="AP18" s="243">
        <f t="shared" si="13"/>
        <v>110.94769382354679</v>
      </c>
      <c r="AQ18" s="243">
        <f t="shared" si="13"/>
        <v>155.32677135296549</v>
      </c>
      <c r="AR18" s="243">
        <f t="shared" si="13"/>
        <v>155.32677135296549</v>
      </c>
      <c r="AS18" s="243">
        <f t="shared" si="13"/>
        <v>155.32677135296549</v>
      </c>
      <c r="AT18" s="243">
        <f t="shared" si="13"/>
        <v>155.32677135296549</v>
      </c>
      <c r="AU18" s="243">
        <f t="shared" si="13"/>
        <v>155.32677135296549</v>
      </c>
      <c r="AV18" s="243">
        <f t="shared" si="13"/>
        <v>155.32677135296549</v>
      </c>
    </row>
    <row r="19" spans="2:48" s="77" customFormat="1" ht="15">
      <c r="B19" s="58" t="s">
        <v>10</v>
      </c>
      <c r="C19" s="67">
        <f>SUMIF('Source-MNRE'!$A$6:$A$42,$B19,'Source-MNRE'!$E$6:$E$42)</f>
        <v>5000.33</v>
      </c>
      <c r="D19" s="68">
        <f>SUMIF('Source-BTI'!$B$6:$B$25,'PV&amp;WIND'!B19,'Source-BTI'!$K$6:$K$25)</f>
        <v>5028</v>
      </c>
      <c r="E19" s="68">
        <f>SUMIF('Source-BTI'!$B$6:$B$25,'PV&amp;WIND'!B19,'Source-BTI'!$N$6:$N$25)</f>
        <v>401</v>
      </c>
      <c r="F19" s="703">
        <f t="shared" si="0"/>
        <v>428.67000000000007</v>
      </c>
      <c r="G19" s="69">
        <f t="shared" si="6"/>
        <v>5000.33</v>
      </c>
      <c r="H19" s="77">
        <f>SUMIF('Source-MNRE'!$AA$6:$AA$42,'PV&amp;WIND'!B19,'Source-MNRE'!$AB$6:$AB$42)</f>
        <v>0</v>
      </c>
      <c r="J19" s="248"/>
      <c r="K19" s="215">
        <f>SUMIFS('CEA-underConsWIND2'!$G$4:$G$52,'CEA-underConsWIND2'!$A$4:$A$52,'PV&amp;WIND'!$B19,'CEA-underConsWIND2'!$M$4:$M$52,'PV&amp;WIND'!K$4)</f>
        <v>0</v>
      </c>
      <c r="L19" s="215">
        <f>SUMIFS('CEA-underConsWIND2'!$G$4:$G$52,'CEA-underConsWIND2'!$A$4:$A$52,'PV&amp;WIND'!$B19,'CEA-underConsWIND2'!$M$4:$M$52,'PV&amp;WIND'!L$4)</f>
        <v>0</v>
      </c>
      <c r="M19" s="215">
        <f>SUMIFS('CEA-underConsWIND2'!$G$4:$G$52,'CEA-underConsWIND2'!$A$4:$A$52,'PV&amp;WIND'!$B19,'CEA-underConsWIND2'!$M$4:$M$52,'PV&amp;WIND'!M$4)</f>
        <v>324.39999999999998</v>
      </c>
      <c r="N19" s="215">
        <f>SUMIFS('CEA-underConsWIND2'!$G$4:$G$52,'CEA-underConsWIND2'!$A$4:$A$52,'PV&amp;WIND'!$B19,'CEA-underConsWIND2'!$M$4:$M$52,'PV&amp;WIND'!N$4)</f>
        <v>0</v>
      </c>
      <c r="O19" s="251">
        <f t="shared" si="7"/>
        <v>104.2700000000001</v>
      </c>
      <c r="P19" s="251">
        <f t="shared" si="8"/>
        <v>20.854000000000021</v>
      </c>
      <c r="Q19" s="251">
        <f t="shared" si="1"/>
        <v>31.281000000000027</v>
      </c>
      <c r="R19" s="251">
        <f t="shared" si="1"/>
        <v>52.135000000000048</v>
      </c>
      <c r="S19" s="77" t="str">
        <f t="shared" si="9"/>
        <v>MH</v>
      </c>
      <c r="T19" s="243">
        <f t="shared" si="2"/>
        <v>0</v>
      </c>
      <c r="U19" s="243">
        <f t="shared" si="10"/>
        <v>20.854000000000021</v>
      </c>
      <c r="V19" s="243">
        <f t="shared" si="11"/>
        <v>355.68099999999998</v>
      </c>
      <c r="W19" s="243">
        <f t="shared" si="4"/>
        <v>52.135000000000048</v>
      </c>
      <c r="X19" s="243">
        <v>0</v>
      </c>
      <c r="Y19" s="243">
        <v>0</v>
      </c>
      <c r="Z19" s="243">
        <v>0</v>
      </c>
      <c r="AA19" s="243">
        <v>0</v>
      </c>
      <c r="AB19" s="243">
        <v>0</v>
      </c>
      <c r="AC19" s="243">
        <v>0</v>
      </c>
      <c r="AD19" s="243">
        <v>0</v>
      </c>
      <c r="AE19" s="243"/>
      <c r="AF19" s="243"/>
      <c r="AG19" s="243"/>
      <c r="AH19" s="635">
        <f>VLOOKUP(EG_WIND_max[[#This Row],[SubGeography2]],'MaxCapacity-Input'!$G$65:$L$90,6,FALSE)</f>
        <v>0.18143578643578645</v>
      </c>
      <c r="AI19" s="77">
        <f>SUMIFS('Electricity Potential'!$G$5:$G$190,'Electricity Potential'!$C$5:$C$190,'PV&amp;WIND'!S19,'Electricity Potential'!$D$5:$D$190,'PV&amp;WIND'!AI$3)</f>
        <v>98213</v>
      </c>
      <c r="AJ19" s="420">
        <f t="shared" si="12"/>
        <v>0.14147631593731499</v>
      </c>
      <c r="AK19" s="77" t="str">
        <f>EG_WIND_min[[#This Row],[SubGeography2]]</f>
        <v>MH</v>
      </c>
      <c r="AL19" s="243">
        <f>EG_WIND_min[[#This Row],[2021]]*(1+$AH19)</f>
        <v>0</v>
      </c>
      <c r="AM19" s="243">
        <f>EG_WIND_min[[#This Row],[2022]]*(1+$AH19)</f>
        <v>24.637661890331916</v>
      </c>
      <c r="AN19" s="243">
        <f>EG_WIND_min[[#This Row],[2023]]*(1+$AH19)</f>
        <v>420.21426195526698</v>
      </c>
      <c r="AO19" s="243">
        <f>MAX($AJ19*AO$31,EG_WIND_min[[#This Row],[2024]]*(1+$AH25))</f>
        <v>424.42894781194497</v>
      </c>
      <c r="AP19" s="243">
        <f t="shared" si="13"/>
        <v>707.38157968657492</v>
      </c>
      <c r="AQ19" s="243">
        <f t="shared" si="13"/>
        <v>990.33421156120494</v>
      </c>
      <c r="AR19" s="243">
        <f t="shared" si="13"/>
        <v>990.33421156120494</v>
      </c>
      <c r="AS19" s="243">
        <f t="shared" si="13"/>
        <v>990.33421156120494</v>
      </c>
      <c r="AT19" s="243">
        <f t="shared" si="13"/>
        <v>990.33421156120494</v>
      </c>
      <c r="AU19" s="243">
        <f t="shared" si="13"/>
        <v>990.33421156120494</v>
      </c>
      <c r="AV19" s="243">
        <f t="shared" si="13"/>
        <v>990.33421156120494</v>
      </c>
    </row>
    <row r="20" spans="2:48" s="77" customFormat="1" ht="15">
      <c r="B20" s="58" t="s">
        <v>16</v>
      </c>
      <c r="C20" s="67">
        <f>SUMIF('Source-MNRE'!$A$6:$A$42,$B20,'Source-MNRE'!$E$6:$E$42)</f>
        <v>0</v>
      </c>
      <c r="D20" s="68">
        <f>SUMIF('Source-BTI'!$B$6:$B$25,'PV&amp;WIND'!B20,'Source-BTI'!$K$6:$K$25)</f>
        <v>0</v>
      </c>
      <c r="E20" s="68">
        <f>SUMIF('Source-BTI'!$B$6:$B$25,'PV&amp;WIND'!B20,'Source-BTI'!$N$6:$N$25)</f>
        <v>0</v>
      </c>
      <c r="F20" s="703">
        <f t="shared" si="0"/>
        <v>0</v>
      </c>
      <c r="G20" s="69">
        <f t="shared" si="6"/>
        <v>0</v>
      </c>
      <c r="H20" s="77">
        <f>SUMIF('Source-MNRE'!$AA$6:$AA$42,'PV&amp;WIND'!B20,'Source-MNRE'!$AB$6:$AB$42)</f>
        <v>0</v>
      </c>
      <c r="J20" s="248"/>
      <c r="K20" s="215">
        <f>SUMIFS('CEA-underConsWIND2'!$G$4:$G$52,'CEA-underConsWIND2'!$A$4:$A$52,'PV&amp;WIND'!$B20,'CEA-underConsWIND2'!$M$4:$M$52,'PV&amp;WIND'!K$4)</f>
        <v>0</v>
      </c>
      <c r="L20" s="215">
        <f>SUMIFS('CEA-underConsWIND2'!$G$4:$G$52,'CEA-underConsWIND2'!$A$4:$A$52,'PV&amp;WIND'!$B20,'CEA-underConsWIND2'!$M$4:$M$52,'PV&amp;WIND'!L$4)</f>
        <v>0</v>
      </c>
      <c r="M20" s="215">
        <f>SUMIFS('CEA-underConsWIND2'!$G$4:$G$52,'CEA-underConsWIND2'!$A$4:$A$52,'PV&amp;WIND'!$B20,'CEA-underConsWIND2'!$M$4:$M$52,'PV&amp;WIND'!M$4)</f>
        <v>0</v>
      </c>
      <c r="N20" s="215">
        <f>SUMIFS('CEA-underConsWIND2'!$G$4:$G$52,'CEA-underConsWIND2'!$A$4:$A$52,'PV&amp;WIND'!$B20,'CEA-underConsWIND2'!$M$4:$M$52,'PV&amp;WIND'!N$4)</f>
        <v>0</v>
      </c>
      <c r="O20" s="251">
        <f t="shared" si="7"/>
        <v>0</v>
      </c>
      <c r="P20" s="251">
        <f t="shared" si="8"/>
        <v>0</v>
      </c>
      <c r="Q20" s="251">
        <f t="shared" si="1"/>
        <v>0</v>
      </c>
      <c r="R20" s="251">
        <f t="shared" si="1"/>
        <v>0</v>
      </c>
      <c r="S20" s="77" t="str">
        <f t="shared" si="9"/>
        <v>OD</v>
      </c>
      <c r="T20" s="243">
        <f t="shared" si="2"/>
        <v>0</v>
      </c>
      <c r="U20" s="243">
        <f t="shared" si="10"/>
        <v>0</v>
      </c>
      <c r="V20" s="243">
        <f t="shared" si="11"/>
        <v>0</v>
      </c>
      <c r="W20" s="243">
        <f t="shared" si="4"/>
        <v>0</v>
      </c>
      <c r="X20" s="243">
        <v>0</v>
      </c>
      <c r="Y20" s="243">
        <v>0</v>
      </c>
      <c r="Z20" s="243">
        <v>0</v>
      </c>
      <c r="AA20" s="243">
        <v>0</v>
      </c>
      <c r="AB20" s="243">
        <v>0</v>
      </c>
      <c r="AC20" s="243">
        <v>0</v>
      </c>
      <c r="AD20" s="243">
        <v>0</v>
      </c>
      <c r="AE20" s="243"/>
      <c r="AF20" s="243"/>
      <c r="AG20" s="243"/>
      <c r="AH20" s="635">
        <f>VLOOKUP(EG_WIND_max[[#This Row],[SubGeography2]],'MaxCapacity-Input'!$G$65:$L$90,6,FALSE)</f>
        <v>0</v>
      </c>
      <c r="AI20" s="77">
        <f>SUMIFS('Electricity Potential'!$G$5:$G$190,'Electricity Potential'!$C$5:$C$190,'PV&amp;WIND'!S20,'Electricity Potential'!$D$5:$D$190,'PV&amp;WIND'!AI$3)</f>
        <v>8346</v>
      </c>
      <c r="AJ20" s="420">
        <f t="shared" si="12"/>
        <v>1.202245459168166E-2</v>
      </c>
      <c r="AK20" s="77" t="str">
        <f>EG_WIND_min[[#This Row],[SubGeography2]]</f>
        <v>OD</v>
      </c>
      <c r="AL20" s="243">
        <f>EG_WIND_min[[#This Row],[2021]]*(1+$AH20)</f>
        <v>0</v>
      </c>
      <c r="AM20" s="243">
        <f>EG_WIND_min[[#This Row],[2022]]*(1+$AH20)</f>
        <v>0</v>
      </c>
      <c r="AN20" s="243">
        <f>EG_WIND_min[[#This Row],[2023]]*(1+$AH20)</f>
        <v>0</v>
      </c>
      <c r="AO20" s="243">
        <f>MAX($AJ20*AO$31,EG_WIND_min[[#This Row],[2024]]*(1+$AH26))</f>
        <v>36.067363775044981</v>
      </c>
      <c r="AP20" s="243">
        <f t="shared" si="13"/>
        <v>60.112272958408305</v>
      </c>
      <c r="AQ20" s="243">
        <f t="shared" si="13"/>
        <v>84.157182141771628</v>
      </c>
      <c r="AR20" s="243">
        <f t="shared" si="13"/>
        <v>84.157182141771628</v>
      </c>
      <c r="AS20" s="243">
        <f t="shared" si="13"/>
        <v>84.157182141771628</v>
      </c>
      <c r="AT20" s="243">
        <f t="shared" si="13"/>
        <v>84.157182141771628</v>
      </c>
      <c r="AU20" s="243">
        <f t="shared" si="13"/>
        <v>84.157182141771628</v>
      </c>
      <c r="AV20" s="243">
        <f t="shared" si="13"/>
        <v>84.157182141771628</v>
      </c>
    </row>
    <row r="21" spans="2:48" s="77" customFormat="1" ht="15">
      <c r="B21" s="58" t="s">
        <v>1</v>
      </c>
      <c r="C21" s="67">
        <f>SUMIF('Source-MNRE'!$A$6:$A$42,$B21,'Source-MNRE'!$E$6:$E$42)</f>
        <v>0</v>
      </c>
      <c r="D21" s="68">
        <f>SUMIF('Source-BTI'!$B$6:$B$25,'PV&amp;WIND'!B21,'Source-BTI'!$K$6:$K$25)</f>
        <v>0</v>
      </c>
      <c r="E21" s="68">
        <f>SUMIF('Source-BTI'!$B$6:$B$25,'PV&amp;WIND'!B21,'Source-BTI'!$N$6:$N$25)</f>
        <v>0</v>
      </c>
      <c r="F21" s="703">
        <f t="shared" si="0"/>
        <v>0</v>
      </c>
      <c r="G21" s="69">
        <f t="shared" si="6"/>
        <v>0</v>
      </c>
      <c r="H21" s="77">
        <f>SUMIF('Source-MNRE'!$AA$6:$AA$42,'PV&amp;WIND'!B21,'Source-MNRE'!$AB$6:$AB$42)</f>
        <v>0</v>
      </c>
      <c r="J21" s="248"/>
      <c r="K21" s="215">
        <f>SUMIFS('CEA-underConsWIND2'!$G$4:$G$52,'CEA-underConsWIND2'!$A$4:$A$52,'PV&amp;WIND'!$B21,'CEA-underConsWIND2'!$M$4:$M$52,'PV&amp;WIND'!K$4)</f>
        <v>0</v>
      </c>
      <c r="L21" s="215">
        <f>SUMIFS('CEA-underConsWIND2'!$G$4:$G$52,'CEA-underConsWIND2'!$A$4:$A$52,'PV&amp;WIND'!$B21,'CEA-underConsWIND2'!$M$4:$M$52,'PV&amp;WIND'!L$4)</f>
        <v>0</v>
      </c>
      <c r="M21" s="215">
        <f>SUMIFS('CEA-underConsWIND2'!$G$4:$G$52,'CEA-underConsWIND2'!$A$4:$A$52,'PV&amp;WIND'!$B21,'CEA-underConsWIND2'!$M$4:$M$52,'PV&amp;WIND'!M$4)</f>
        <v>0</v>
      </c>
      <c r="N21" s="215">
        <f>SUMIFS('CEA-underConsWIND2'!$G$4:$G$52,'CEA-underConsWIND2'!$A$4:$A$52,'PV&amp;WIND'!$B21,'CEA-underConsWIND2'!$M$4:$M$52,'PV&amp;WIND'!N$4)</f>
        <v>0</v>
      </c>
      <c r="O21" s="251">
        <f t="shared" si="7"/>
        <v>0</v>
      </c>
      <c r="P21" s="251">
        <f t="shared" si="8"/>
        <v>0</v>
      </c>
      <c r="Q21" s="251">
        <f t="shared" si="8"/>
        <v>0</v>
      </c>
      <c r="R21" s="251">
        <f t="shared" si="8"/>
        <v>0</v>
      </c>
      <c r="S21" s="77" t="str">
        <f t="shared" si="9"/>
        <v>PB</v>
      </c>
      <c r="T21" s="243">
        <f t="shared" si="2"/>
        <v>0</v>
      </c>
      <c r="U21" s="243">
        <f t="shared" si="10"/>
        <v>0</v>
      </c>
      <c r="V21" s="243">
        <f t="shared" si="11"/>
        <v>0</v>
      </c>
      <c r="W21" s="243">
        <f t="shared" si="4"/>
        <v>0</v>
      </c>
      <c r="X21" s="243">
        <v>0</v>
      </c>
      <c r="Y21" s="243">
        <v>0</v>
      </c>
      <c r="Z21" s="243">
        <v>0</v>
      </c>
      <c r="AA21" s="243">
        <v>0</v>
      </c>
      <c r="AB21" s="243">
        <v>0</v>
      </c>
      <c r="AC21" s="243">
        <v>0</v>
      </c>
      <c r="AD21" s="243">
        <v>0</v>
      </c>
      <c r="AE21" s="243"/>
      <c r="AF21" s="243"/>
      <c r="AG21" s="243"/>
      <c r="AH21" s="635">
        <f>VLOOKUP(EG_WIND_max[[#This Row],[SubGeography2]],'MaxCapacity-Input'!$G$65:$L$90,6,FALSE)</f>
        <v>0</v>
      </c>
      <c r="AI21" s="77">
        <f>SUMIFS('Electricity Potential'!$G$5:$G$190,'Electricity Potential'!$C$5:$C$190,'PV&amp;WIND'!S21,'Electricity Potential'!$D$5:$D$190,'PV&amp;WIND'!AI$3)</f>
        <v>278</v>
      </c>
      <c r="AJ21" s="420">
        <f t="shared" si="12"/>
        <v>4.0046038539270326E-4</v>
      </c>
      <c r="AK21" s="77" t="str">
        <f>EG_WIND_min[[#This Row],[SubGeography2]]</f>
        <v>PB</v>
      </c>
      <c r="AL21" s="243">
        <f>EG_WIND_min[[#This Row],[2021]]*(1+$AH21)</f>
        <v>0</v>
      </c>
      <c r="AM21" s="243">
        <f>EG_WIND_min[[#This Row],[2022]]*(1+$AH21)</f>
        <v>0</v>
      </c>
      <c r="AN21" s="243">
        <f>EG_WIND_min[[#This Row],[2023]]*(1+$AH21)</f>
        <v>0</v>
      </c>
      <c r="AO21" s="243">
        <f>MAX($AJ21*AO$31,EG_WIND_min[[#This Row],[2024]]*(1+$AH27))</f>
        <v>1.2013811561781098</v>
      </c>
      <c r="AP21" s="243">
        <f t="shared" si="13"/>
        <v>2.0023019269635163</v>
      </c>
      <c r="AQ21" s="243">
        <f t="shared" si="13"/>
        <v>2.803222697748923</v>
      </c>
      <c r="AR21" s="243">
        <f t="shared" si="13"/>
        <v>2.803222697748923</v>
      </c>
      <c r="AS21" s="243">
        <f t="shared" si="13"/>
        <v>2.803222697748923</v>
      </c>
      <c r="AT21" s="243">
        <f t="shared" si="13"/>
        <v>2.803222697748923</v>
      </c>
      <c r="AU21" s="243">
        <f t="shared" si="13"/>
        <v>2.803222697748923</v>
      </c>
      <c r="AV21" s="243">
        <f t="shared" si="13"/>
        <v>2.803222697748923</v>
      </c>
    </row>
    <row r="22" spans="2:48" s="77" customFormat="1" ht="15">
      <c r="B22" s="58" t="s">
        <v>6</v>
      </c>
      <c r="C22" s="67">
        <f>SUMIF('Source-MNRE'!$A$6:$A$42,$B22,'Source-MNRE'!$E$6:$E$42)</f>
        <v>4299.72</v>
      </c>
      <c r="D22" s="68">
        <f>SUMIF('Source-BTI'!$B$6:$B$25,'PV&amp;WIND'!B22,'Source-BTI'!$K$6:$K$25)</f>
        <v>4311</v>
      </c>
      <c r="F22" s="703">
        <f>IF(D22&gt;C22,(AI1+(D22-C22)),AI1)</f>
        <v>11.279999999999745</v>
      </c>
      <c r="G22" s="69">
        <f t="shared" si="6"/>
        <v>4299.72</v>
      </c>
      <c r="H22" s="77">
        <f>SUMIF('Source-MNRE'!$AA$6:$AA$42,'PV&amp;WIND'!B22,'Source-MNRE'!$AB$6:$AB$42)</f>
        <v>27.099999999999454</v>
      </c>
      <c r="J22" s="248"/>
      <c r="K22" s="215">
        <f>SUMIFS('CEA-underConsWIND2'!$G$4:$G$52,'CEA-underConsWIND2'!$A$4:$A$52,'PV&amp;WIND'!$B22,'CEA-underConsWIND2'!$M$4:$M$52,'PV&amp;WIND'!K$4)</f>
        <v>0</v>
      </c>
      <c r="L22" s="215">
        <f>SUMIFS('CEA-underConsWIND2'!$G$4:$G$52,'CEA-underConsWIND2'!$A$4:$A$52,'PV&amp;WIND'!$B22,'CEA-underConsWIND2'!$M$4:$M$52,'PV&amp;WIND'!L$4)</f>
        <v>0</v>
      </c>
      <c r="M22" s="215">
        <f>SUMIFS('CEA-underConsWIND2'!$G$4:$G$52,'CEA-underConsWIND2'!$A$4:$A$52,'PV&amp;WIND'!$B22,'CEA-underConsWIND2'!$M$4:$M$52,'PV&amp;WIND'!M$4)</f>
        <v>0</v>
      </c>
      <c r="N22" s="215">
        <f>SUMIFS('CEA-underConsWIND2'!$G$4:$G$52,'CEA-underConsWIND2'!$A$4:$A$52,'PV&amp;WIND'!$B22,'CEA-underConsWIND2'!$M$4:$M$52,'PV&amp;WIND'!N$4)</f>
        <v>0</v>
      </c>
      <c r="O22" s="251">
        <f t="shared" si="7"/>
        <v>11.279999999999745</v>
      </c>
      <c r="P22" s="251">
        <f t="shared" si="8"/>
        <v>2.2559999999999492</v>
      </c>
      <c r="Q22" s="251">
        <f t="shared" si="8"/>
        <v>3.3839999999999235</v>
      </c>
      <c r="R22" s="251">
        <f t="shared" si="8"/>
        <v>5.6399999999998727</v>
      </c>
      <c r="S22" s="77" t="str">
        <f t="shared" si="9"/>
        <v>RJ</v>
      </c>
      <c r="T22" s="243">
        <f t="shared" si="2"/>
        <v>27.099999999999454</v>
      </c>
      <c r="U22" s="243">
        <f t="shared" si="10"/>
        <v>2.2559999999999492</v>
      </c>
      <c r="V22" s="243">
        <f t="shared" si="11"/>
        <v>3.3839999999999235</v>
      </c>
      <c r="W22" s="243">
        <f t="shared" si="4"/>
        <v>5.6399999999998727</v>
      </c>
      <c r="X22" s="243">
        <v>0</v>
      </c>
      <c r="Y22" s="243">
        <v>0</v>
      </c>
      <c r="Z22" s="243">
        <v>0</v>
      </c>
      <c r="AA22" s="243">
        <v>0</v>
      </c>
      <c r="AB22" s="243">
        <v>0</v>
      </c>
      <c r="AC22" s="243">
        <v>0</v>
      </c>
      <c r="AD22" s="243">
        <v>0</v>
      </c>
      <c r="AE22" s="243"/>
      <c r="AF22" s="243"/>
      <c r="AG22" s="243"/>
      <c r="AH22" s="635">
        <f>VLOOKUP(EG_WIND_max[[#This Row],[SubGeography2]],'MaxCapacity-Input'!$G$65:$L$90,6,FALSE)</f>
        <v>2.0645554320725745E-2</v>
      </c>
      <c r="AI22" s="77">
        <f>SUMIFS('Electricity Potential'!$G$5:$G$190,'Electricity Potential'!$C$5:$C$190,'PV&amp;WIND'!S22,'Electricity Potential'!$D$5:$D$190,'PV&amp;WIND'!AI$3)</f>
        <v>127756</v>
      </c>
      <c r="AJ22" s="420">
        <f t="shared" si="12"/>
        <v>0.18403315466269857</v>
      </c>
      <c r="AK22" s="77" t="str">
        <f>EG_WIND_min[[#This Row],[SubGeography2]]</f>
        <v>RJ</v>
      </c>
      <c r="AL22" s="243">
        <f>EG_WIND_min[[#This Row],[2021]]*(1+$AH22)</f>
        <v>27.659494522091112</v>
      </c>
      <c r="AM22" s="243">
        <f>EG_WIND_min[[#This Row],[2022]]*(1+$AH22)</f>
        <v>2.3025763705475053</v>
      </c>
      <c r="AN22" s="243">
        <f>EG_WIND_min[[#This Row],[2023]]*(1+$AH22)</f>
        <v>3.4538645558212582</v>
      </c>
      <c r="AO22" s="243">
        <f>MAX($AJ22*AO$31,EG_WIND_min[[#This Row],[2024]]*(1+$AH28))</f>
        <v>552.09946398809575</v>
      </c>
      <c r="AP22" s="243">
        <f t="shared" si="13"/>
        <v>920.16577331349288</v>
      </c>
      <c r="AQ22" s="243">
        <f t="shared" si="13"/>
        <v>1288.23208263889</v>
      </c>
      <c r="AR22" s="243">
        <f t="shared" si="13"/>
        <v>1288.23208263889</v>
      </c>
      <c r="AS22" s="243">
        <f t="shared" si="13"/>
        <v>1288.23208263889</v>
      </c>
      <c r="AT22" s="243">
        <f t="shared" si="13"/>
        <v>1288.23208263889</v>
      </c>
      <c r="AU22" s="243">
        <f t="shared" si="13"/>
        <v>1288.23208263889</v>
      </c>
      <c r="AV22" s="243">
        <f t="shared" si="13"/>
        <v>1288.23208263889</v>
      </c>
    </row>
    <row r="23" spans="2:48" s="77" customFormat="1" ht="15">
      <c r="B23" s="58" t="s">
        <v>13</v>
      </c>
      <c r="C23" s="67">
        <f>SUMIF('Source-MNRE'!$A$6:$A$42,$B23,'Source-MNRE'!$E$6:$E$42)</f>
        <v>9304.34</v>
      </c>
      <c r="D23" s="68">
        <f>SUMIF('Source-BTI'!$B$6:$B$25,'PV&amp;WIND'!B23,'Source-BTI'!$K$6:$K$25)</f>
        <v>8856</v>
      </c>
      <c r="E23" s="68">
        <f>SUMIF('Source-BTI'!$B$6:$B$25,'PV&amp;WIND'!B23,'Source-BTI'!$N$6:$N$25)</f>
        <v>800</v>
      </c>
      <c r="F23" s="703">
        <f t="shared" si="0"/>
        <v>800</v>
      </c>
      <c r="G23" s="69">
        <f t="shared" si="6"/>
        <v>9304.34</v>
      </c>
      <c r="H23" s="77">
        <f>SUMIF('Source-MNRE'!$AA$6:$AA$42,'PV&amp;WIND'!B23,'Source-MNRE'!$AB$6:$AB$42)</f>
        <v>127.20000000000073</v>
      </c>
      <c r="J23" s="248"/>
      <c r="K23" s="215">
        <f>SUMIFS('CEA-underConsWIND2'!$G$4:$G$52,'CEA-underConsWIND2'!$A$4:$A$52,'PV&amp;WIND'!$B23,'CEA-underConsWIND2'!$M$4:$M$52,'PV&amp;WIND'!K$4)</f>
        <v>0</v>
      </c>
      <c r="L23" s="215">
        <f>SUMIFS('CEA-underConsWIND2'!$G$4:$G$52,'CEA-underConsWIND2'!$A$4:$A$52,'PV&amp;WIND'!$B23,'CEA-underConsWIND2'!$M$4:$M$52,'PV&amp;WIND'!L$4)</f>
        <v>0</v>
      </c>
      <c r="M23" s="215">
        <f>SUMIFS('CEA-underConsWIND2'!$G$4:$G$52,'CEA-underConsWIND2'!$A$4:$A$52,'PV&amp;WIND'!$B23,'CEA-underConsWIND2'!$M$4:$M$52,'PV&amp;WIND'!M$4)</f>
        <v>500</v>
      </c>
      <c r="N23" s="215">
        <f>SUMIFS('CEA-underConsWIND2'!$G$4:$G$52,'CEA-underConsWIND2'!$A$4:$A$52,'PV&amp;WIND'!$B23,'CEA-underConsWIND2'!$M$4:$M$52,'PV&amp;WIND'!N$4)</f>
        <v>0</v>
      </c>
      <c r="O23" s="251">
        <f t="shared" si="7"/>
        <v>300</v>
      </c>
      <c r="P23" s="251">
        <f t="shared" si="8"/>
        <v>60</v>
      </c>
      <c r="Q23" s="251">
        <f t="shared" si="8"/>
        <v>90</v>
      </c>
      <c r="R23" s="251">
        <f t="shared" si="8"/>
        <v>150</v>
      </c>
      <c r="S23" s="77" t="str">
        <f t="shared" si="9"/>
        <v>TN</v>
      </c>
      <c r="T23" s="243">
        <f t="shared" si="2"/>
        <v>127.20000000000073</v>
      </c>
      <c r="U23" s="243">
        <f t="shared" si="10"/>
        <v>60</v>
      </c>
      <c r="V23" s="243">
        <f t="shared" si="11"/>
        <v>590</v>
      </c>
      <c r="W23" s="243">
        <f t="shared" si="4"/>
        <v>150</v>
      </c>
      <c r="X23" s="243">
        <v>0</v>
      </c>
      <c r="Y23" s="243">
        <v>0</v>
      </c>
      <c r="Z23" s="243">
        <v>0</v>
      </c>
      <c r="AA23" s="243">
        <v>0</v>
      </c>
      <c r="AB23" s="243">
        <v>0</v>
      </c>
      <c r="AC23" s="243">
        <v>0</v>
      </c>
      <c r="AD23" s="243">
        <v>0</v>
      </c>
      <c r="AE23" s="243"/>
      <c r="AF23" s="243"/>
      <c r="AG23" s="243"/>
      <c r="AH23" s="635">
        <f>VLOOKUP(EG_WIND_max[[#This Row],[SubGeography2]],'MaxCapacity-Input'!$G$65:$L$90,6,FALSE)</f>
        <v>0.38053004688601283</v>
      </c>
      <c r="AI23" s="77">
        <f>SUMIFS('Electricity Potential'!$G$5:$G$190,'Electricity Potential'!$C$5:$C$190,'PV&amp;WIND'!S23,'Electricity Potential'!$D$5:$D$190,'PV&amp;WIND'!AI$3)</f>
        <v>68750</v>
      </c>
      <c r="AJ23" s="420">
        <f t="shared" si="12"/>
        <v>9.9034717610605574E-2</v>
      </c>
      <c r="AK23" s="77" t="str">
        <f>EG_WIND_min[[#This Row],[SubGeography2]]</f>
        <v>TN</v>
      </c>
      <c r="AL23" s="243">
        <f>EG_WIND_min[[#This Row],[2021]]*(1+$AH23)</f>
        <v>175.60342196390184</v>
      </c>
      <c r="AM23" s="243">
        <f>EG_WIND_min[[#This Row],[2022]]*(1+$AH23)</f>
        <v>82.831802813160778</v>
      </c>
      <c r="AN23" s="243">
        <f>EG_WIND_min[[#This Row],[2023]]*(1+$AH23)</f>
        <v>814.51272766274758</v>
      </c>
      <c r="AO23" s="243">
        <f>MAX($AJ23*AO$31,EG_WIND_min[[#This Row],[2024]]*(1+$AH29))</f>
        <v>297.10415283181675</v>
      </c>
      <c r="AP23" s="243">
        <f t="shared" si="13"/>
        <v>495.17358805302786</v>
      </c>
      <c r="AQ23" s="243">
        <f t="shared" si="13"/>
        <v>693.24302327423902</v>
      </c>
      <c r="AR23" s="243">
        <f t="shared" si="13"/>
        <v>693.24302327423902</v>
      </c>
      <c r="AS23" s="243">
        <f t="shared" si="13"/>
        <v>693.24302327423902</v>
      </c>
      <c r="AT23" s="243">
        <f t="shared" si="13"/>
        <v>693.24302327423902</v>
      </c>
      <c r="AU23" s="243">
        <f t="shared" si="13"/>
        <v>693.24302327423902</v>
      </c>
      <c r="AV23" s="243">
        <f t="shared" si="13"/>
        <v>693.24302327423902</v>
      </c>
    </row>
    <row r="24" spans="2:48" s="77" customFormat="1" ht="15">
      <c r="B24" s="70" t="s">
        <v>15</v>
      </c>
      <c r="C24" s="67">
        <f>SUMIF('Source-MNRE'!$A$6:$A$42,$B24,'Source-MNRE'!$E$6:$E$42)</f>
        <v>128.1</v>
      </c>
      <c r="D24" s="68">
        <f>SUMIF('Source-BTI'!$B$6:$B$25,'PV&amp;WIND'!B24,'Source-BTI'!$K$6:$K$25)</f>
        <v>0</v>
      </c>
      <c r="E24" s="68">
        <f>SUMIF('Source-BTI'!$B$6:$B$25,'PV&amp;WIND'!B24,'Source-BTI'!$N$6:$N$25)</f>
        <v>0</v>
      </c>
      <c r="F24" s="703">
        <f t="shared" si="0"/>
        <v>0</v>
      </c>
      <c r="G24" s="69">
        <f t="shared" si="6"/>
        <v>128.1</v>
      </c>
      <c r="H24" s="77">
        <f>SUMIF('Source-MNRE'!$AA$6:$AA$42,'PV&amp;WIND'!B24,'Source-MNRE'!$AB$6:$AB$42)</f>
        <v>0</v>
      </c>
      <c r="J24" s="248"/>
      <c r="K24" s="215">
        <f>SUMIFS('CEA-underConsWIND2'!$G$4:$G$52,'CEA-underConsWIND2'!$A$4:$A$52,'PV&amp;WIND'!$B24,'CEA-underConsWIND2'!$M$4:$M$52,'PV&amp;WIND'!K$4)</f>
        <v>0</v>
      </c>
      <c r="L24" s="215">
        <f>SUMIFS('CEA-underConsWIND2'!$G$4:$G$52,'CEA-underConsWIND2'!$A$4:$A$52,'PV&amp;WIND'!$B24,'CEA-underConsWIND2'!$M$4:$M$52,'PV&amp;WIND'!L$4)</f>
        <v>0</v>
      </c>
      <c r="M24" s="215">
        <f>SUMIFS('CEA-underConsWIND2'!$G$4:$G$52,'CEA-underConsWIND2'!$A$4:$A$52,'PV&amp;WIND'!$B24,'CEA-underConsWIND2'!$M$4:$M$52,'PV&amp;WIND'!M$4)</f>
        <v>0</v>
      </c>
      <c r="N24" s="215">
        <f>SUMIFS('CEA-underConsWIND2'!$G$4:$G$52,'CEA-underConsWIND2'!$A$4:$A$52,'PV&amp;WIND'!$B24,'CEA-underConsWIND2'!$M$4:$M$52,'PV&amp;WIND'!N$4)</f>
        <v>0</v>
      </c>
      <c r="O24" s="251">
        <f t="shared" si="7"/>
        <v>0</v>
      </c>
      <c r="P24" s="251">
        <f t="shared" si="8"/>
        <v>0</v>
      </c>
      <c r="Q24" s="251">
        <f t="shared" si="8"/>
        <v>0</v>
      </c>
      <c r="R24" s="251">
        <f t="shared" si="8"/>
        <v>0</v>
      </c>
      <c r="S24" s="77" t="str">
        <f t="shared" si="9"/>
        <v>TS</v>
      </c>
      <c r="T24" s="243">
        <f t="shared" si="2"/>
        <v>0</v>
      </c>
      <c r="U24" s="243">
        <f t="shared" si="10"/>
        <v>0</v>
      </c>
      <c r="V24" s="243">
        <f t="shared" si="11"/>
        <v>0</v>
      </c>
      <c r="W24" s="243">
        <f t="shared" si="4"/>
        <v>0</v>
      </c>
      <c r="X24" s="243">
        <v>0</v>
      </c>
      <c r="Y24" s="243">
        <v>0</v>
      </c>
      <c r="Z24" s="243">
        <v>0</v>
      </c>
      <c r="AA24" s="243">
        <v>0</v>
      </c>
      <c r="AB24" s="243">
        <v>0</v>
      </c>
      <c r="AC24" s="243">
        <v>0</v>
      </c>
      <c r="AD24" s="243">
        <v>0</v>
      </c>
      <c r="AE24" s="243"/>
      <c r="AF24" s="243"/>
      <c r="AG24" s="243"/>
      <c r="AH24" s="635">
        <f>VLOOKUP(EG_WIND_max[[#This Row],[SubGeography2]],'MaxCapacity-Input'!$G$65:$L$90,6,FALSE)</f>
        <v>2.5105295864116551E-4</v>
      </c>
      <c r="AI24" s="77">
        <f>SUMIFS('Electricity Potential'!$G$5:$G$190,'Electricity Potential'!$C$5:$C$190,'PV&amp;WIND'!S24,'Electricity Potential'!$D$5:$D$190,'PV&amp;WIND'!AI$3)</f>
        <v>24835</v>
      </c>
      <c r="AJ24" s="420">
        <f t="shared" si="12"/>
        <v>3.5774941263409299E-2</v>
      </c>
      <c r="AK24" s="77" t="str">
        <f>EG_WIND_min[[#This Row],[SubGeography2]]</f>
        <v>TS</v>
      </c>
      <c r="AL24" s="243">
        <f>EG_WIND_min[[#This Row],[2021]]*(1+$AH24)</f>
        <v>0</v>
      </c>
      <c r="AM24" s="243">
        <f>EG_WIND_min[[#This Row],[2022]]*(1+$AH24)</f>
        <v>0</v>
      </c>
      <c r="AN24" s="243">
        <f>EG_WIND_min[[#This Row],[2023]]*(1+$AH24)</f>
        <v>0</v>
      </c>
      <c r="AO24" s="243">
        <f>MAX($AJ24*AO$31,EG_WIND_min[[#This Row],[2024]]*(1+$AH30))</f>
        <v>107.3248237902279</v>
      </c>
      <c r="AP24" s="243">
        <f t="shared" si="13"/>
        <v>178.8747063170465</v>
      </c>
      <c r="AQ24" s="243">
        <f t="shared" si="13"/>
        <v>250.42458884386508</v>
      </c>
      <c r="AR24" s="243">
        <f t="shared" si="13"/>
        <v>250.42458884386508</v>
      </c>
      <c r="AS24" s="243">
        <f t="shared" si="13"/>
        <v>250.42458884386508</v>
      </c>
      <c r="AT24" s="243">
        <f t="shared" si="13"/>
        <v>250.42458884386508</v>
      </c>
      <c r="AU24" s="243">
        <f t="shared" si="13"/>
        <v>250.42458884386508</v>
      </c>
      <c r="AV24" s="243">
        <f t="shared" si="13"/>
        <v>250.42458884386508</v>
      </c>
    </row>
    <row r="25" spans="2:48" s="77" customFormat="1" ht="15">
      <c r="B25" s="58" t="s">
        <v>0</v>
      </c>
      <c r="C25" s="67">
        <f>SUMIF('Source-MNRE'!$A$6:$A$42,$B25,'Source-MNRE'!$E$6:$E$42)</f>
        <v>0</v>
      </c>
      <c r="D25" s="68">
        <f>SUMIF('Source-BTI'!$B$6:$B$25,'PV&amp;WIND'!B25,'Source-BTI'!$K$6:$K$25)</f>
        <v>0</v>
      </c>
      <c r="E25" s="68">
        <f>SUMIF('Source-BTI'!$B$6:$B$25,'PV&amp;WIND'!B25,'Source-BTI'!$N$6:$N$25)</f>
        <v>0</v>
      </c>
      <c r="F25" s="703">
        <f t="shared" si="0"/>
        <v>0</v>
      </c>
      <c r="G25" s="69">
        <f t="shared" si="6"/>
        <v>0</v>
      </c>
      <c r="H25" s="77">
        <f>SUMIF('Source-MNRE'!$AA$6:$AA$42,'PV&amp;WIND'!B25,'Source-MNRE'!$AB$6:$AB$42)</f>
        <v>0</v>
      </c>
      <c r="J25" s="248"/>
      <c r="K25" s="215">
        <f>SUMIFS('CEA-underConsWIND2'!$G$4:$G$52,'CEA-underConsWIND2'!$A$4:$A$52,'PV&amp;WIND'!$B25,'CEA-underConsWIND2'!$M$4:$M$52,'PV&amp;WIND'!K$4)</f>
        <v>0</v>
      </c>
      <c r="L25" s="215">
        <f>SUMIFS('CEA-underConsWIND2'!$G$4:$G$52,'CEA-underConsWIND2'!$A$4:$A$52,'PV&amp;WIND'!$B25,'CEA-underConsWIND2'!$M$4:$M$52,'PV&amp;WIND'!L$4)</f>
        <v>0</v>
      </c>
      <c r="M25" s="215">
        <f>SUMIFS('CEA-underConsWIND2'!$G$4:$G$52,'CEA-underConsWIND2'!$A$4:$A$52,'PV&amp;WIND'!$B25,'CEA-underConsWIND2'!$M$4:$M$52,'PV&amp;WIND'!M$4)</f>
        <v>0</v>
      </c>
      <c r="N25" s="215">
        <f>SUMIFS('CEA-underConsWIND2'!$G$4:$G$52,'CEA-underConsWIND2'!$A$4:$A$52,'PV&amp;WIND'!$B25,'CEA-underConsWIND2'!$M$4:$M$52,'PV&amp;WIND'!N$4)</f>
        <v>0</v>
      </c>
      <c r="O25" s="251">
        <f t="shared" si="7"/>
        <v>0</v>
      </c>
      <c r="P25" s="251">
        <f t="shared" si="8"/>
        <v>0</v>
      </c>
      <c r="Q25" s="251">
        <f t="shared" si="8"/>
        <v>0</v>
      </c>
      <c r="R25" s="251">
        <f t="shared" si="8"/>
        <v>0</v>
      </c>
      <c r="S25" s="77" t="str">
        <f t="shared" si="9"/>
        <v>UP</v>
      </c>
      <c r="T25" s="243">
        <f t="shared" si="2"/>
        <v>0</v>
      </c>
      <c r="U25" s="243">
        <f t="shared" si="10"/>
        <v>0</v>
      </c>
      <c r="V25" s="243">
        <f t="shared" si="11"/>
        <v>0</v>
      </c>
      <c r="W25" s="243">
        <f t="shared" si="4"/>
        <v>0</v>
      </c>
      <c r="X25" s="243">
        <v>0</v>
      </c>
      <c r="Y25" s="243">
        <v>0</v>
      </c>
      <c r="Z25" s="243">
        <v>0</v>
      </c>
      <c r="AA25" s="243">
        <v>0</v>
      </c>
      <c r="AB25" s="243">
        <v>0</v>
      </c>
      <c r="AC25" s="243">
        <v>0</v>
      </c>
      <c r="AD25" s="243">
        <v>0</v>
      </c>
      <c r="AE25" s="243"/>
      <c r="AF25" s="243"/>
      <c r="AG25" s="243"/>
      <c r="AH25" s="635">
        <f>VLOOKUP(EG_WIND_max[[#This Row],[SubGeography2]],'MaxCapacity-Input'!$G$65:$L$90,6,FALSE)</f>
        <v>0</v>
      </c>
      <c r="AI25" s="77">
        <f>SUMIFS('Electricity Potential'!$G$5:$G$190,'Electricity Potential'!$C$5:$C$190,'PV&amp;WIND'!S25,'Electricity Potential'!$D$5:$D$190,'PV&amp;WIND'!AI$3)</f>
        <v>101</v>
      </c>
      <c r="AJ25" s="420">
        <f t="shared" si="12"/>
        <v>1.45491003326126E-4</v>
      </c>
      <c r="AK25" s="77" t="str">
        <f>EG_WIND_min[[#This Row],[SubGeography2]]</f>
        <v>UP</v>
      </c>
      <c r="AL25" s="243">
        <f>EG_WIND_min[[#This Row],[2021]]*(1+$AH25)</f>
        <v>0</v>
      </c>
      <c r="AM25" s="243">
        <f>EG_WIND_min[[#This Row],[2022]]*(1+$AH25)</f>
        <v>0</v>
      </c>
      <c r="AN25" s="243">
        <f>EG_WIND_min[[#This Row],[2023]]*(1+$AH25)</f>
        <v>0</v>
      </c>
      <c r="AO25" s="243">
        <f>MAX($AJ25*AO$31,EG_WIND_min[[#This Row],[2024]]*(1+$AH31))</f>
        <v>0.43647300997837801</v>
      </c>
      <c r="AP25" s="243">
        <f t="shared" si="13"/>
        <v>0.72745501663063006</v>
      </c>
      <c r="AQ25" s="243">
        <f t="shared" si="13"/>
        <v>1.0184370232828821</v>
      </c>
      <c r="AR25" s="243">
        <f t="shared" si="13"/>
        <v>1.0184370232828821</v>
      </c>
      <c r="AS25" s="243">
        <f t="shared" si="13"/>
        <v>1.0184370232828821</v>
      </c>
      <c r="AT25" s="243">
        <f t="shared" si="13"/>
        <v>1.0184370232828821</v>
      </c>
      <c r="AU25" s="243">
        <f t="shared" si="13"/>
        <v>1.0184370232828821</v>
      </c>
      <c r="AV25" s="243">
        <f t="shared" si="13"/>
        <v>1.0184370232828821</v>
      </c>
    </row>
    <row r="26" spans="2:48" s="77" customFormat="1" ht="15">
      <c r="B26" s="58" t="s">
        <v>4</v>
      </c>
      <c r="C26" s="67">
        <f>SUMIF('Source-MNRE'!$A$6:$A$42,$B26,'Source-MNRE'!$E$6:$E$42)</f>
        <v>0</v>
      </c>
      <c r="D26" s="68">
        <f>SUMIF('Source-BTI'!$B$6:$B$25,'PV&amp;WIND'!B26,'Source-BTI'!$K$6:$K$25)</f>
        <v>0</v>
      </c>
      <c r="E26" s="68">
        <f>SUMIF('Source-BTI'!$B$6:$B$25,'PV&amp;WIND'!B26,'Source-BTI'!$N$6:$N$25)</f>
        <v>0</v>
      </c>
      <c r="F26" s="703">
        <f t="shared" si="0"/>
        <v>0</v>
      </c>
      <c r="G26" s="69">
        <f t="shared" si="6"/>
        <v>0</v>
      </c>
      <c r="H26" s="77">
        <f>SUMIF('Source-MNRE'!$AA$6:$AA$42,'PV&amp;WIND'!B26,'Source-MNRE'!$AB$6:$AB$42)</f>
        <v>0</v>
      </c>
      <c r="J26" s="248"/>
      <c r="K26" s="215">
        <f>SUMIFS('CEA-underConsWIND2'!$G$4:$G$52,'CEA-underConsWIND2'!$A$4:$A$52,'PV&amp;WIND'!$B26,'CEA-underConsWIND2'!$M$4:$M$52,'PV&amp;WIND'!K$4)</f>
        <v>0</v>
      </c>
      <c r="L26" s="215">
        <f>SUMIFS('CEA-underConsWIND2'!$G$4:$G$52,'CEA-underConsWIND2'!$A$4:$A$52,'PV&amp;WIND'!$B26,'CEA-underConsWIND2'!$M$4:$M$52,'PV&amp;WIND'!L$4)</f>
        <v>0</v>
      </c>
      <c r="M26" s="215">
        <f>SUMIFS('CEA-underConsWIND2'!$G$4:$G$52,'CEA-underConsWIND2'!$A$4:$A$52,'PV&amp;WIND'!$B26,'CEA-underConsWIND2'!$M$4:$M$52,'PV&amp;WIND'!M$4)</f>
        <v>0</v>
      </c>
      <c r="N26" s="215">
        <f>SUMIFS('CEA-underConsWIND2'!$G$4:$G$52,'CEA-underConsWIND2'!$A$4:$A$52,'PV&amp;WIND'!$B26,'CEA-underConsWIND2'!$M$4:$M$52,'PV&amp;WIND'!N$4)</f>
        <v>0</v>
      </c>
      <c r="O26" s="251">
        <f t="shared" si="7"/>
        <v>0</v>
      </c>
      <c r="P26" s="251">
        <f t="shared" si="8"/>
        <v>0</v>
      </c>
      <c r="Q26" s="251">
        <f t="shared" si="8"/>
        <v>0</v>
      </c>
      <c r="R26" s="251">
        <f t="shared" si="8"/>
        <v>0</v>
      </c>
      <c r="S26" s="77" t="str">
        <f t="shared" si="9"/>
        <v>UK</v>
      </c>
      <c r="T26" s="243">
        <f t="shared" si="2"/>
        <v>0</v>
      </c>
      <c r="U26" s="243">
        <f t="shared" si="10"/>
        <v>0</v>
      </c>
      <c r="V26" s="243">
        <f t="shared" si="11"/>
        <v>0</v>
      </c>
      <c r="W26" s="243">
        <f t="shared" si="4"/>
        <v>0</v>
      </c>
      <c r="X26" s="243">
        <v>0</v>
      </c>
      <c r="Y26" s="243">
        <v>0</v>
      </c>
      <c r="Z26" s="243">
        <v>0</v>
      </c>
      <c r="AA26" s="243">
        <v>0</v>
      </c>
      <c r="AB26" s="243">
        <v>0</v>
      </c>
      <c r="AC26" s="243">
        <v>0</v>
      </c>
      <c r="AD26" s="243">
        <v>0</v>
      </c>
      <c r="AE26" s="243"/>
      <c r="AF26" s="243"/>
      <c r="AG26" s="243"/>
      <c r="AH26" s="635">
        <f>VLOOKUP(EG_WIND_max[[#This Row],[SubGeography2]],'MaxCapacity-Input'!$G$65:$L$90,6,FALSE)</f>
        <v>0</v>
      </c>
      <c r="AI26" s="77">
        <f>SUMIFS('Electricity Potential'!$G$5:$G$190,'Electricity Potential'!$C$5:$C$190,'PV&amp;WIND'!S26,'Electricity Potential'!$D$5:$D$190,'PV&amp;WIND'!AI$3)</f>
        <v>54</v>
      </c>
      <c r="AJ26" s="420">
        <f t="shared" si="12"/>
        <v>7.7787269105057471E-5</v>
      </c>
      <c r="AK26" s="77" t="str">
        <f>EG_WIND_min[[#This Row],[SubGeography2]]</f>
        <v>UK</v>
      </c>
      <c r="AL26" s="243">
        <f>EG_WIND_min[[#This Row],[2021]]*(1+$AH26)</f>
        <v>0</v>
      </c>
      <c r="AM26" s="243">
        <f>EG_WIND_min[[#This Row],[2022]]*(1+$AH26)</f>
        <v>0</v>
      </c>
      <c r="AN26" s="243">
        <f>EG_WIND_min[[#This Row],[2023]]*(1+$AH26)</f>
        <v>0</v>
      </c>
      <c r="AO26" s="243">
        <f>MAX($AJ26*AO$31,EG_WIND_min[[#This Row],[2024]]*(1+$AH32))</f>
        <v>0.23336180731517242</v>
      </c>
      <c r="AP26" s="243">
        <f t="shared" si="13"/>
        <v>0.38893634552528733</v>
      </c>
      <c r="AQ26" s="243">
        <f t="shared" si="13"/>
        <v>0.54451088373540235</v>
      </c>
      <c r="AR26" s="243">
        <f t="shared" si="13"/>
        <v>0.54451088373540235</v>
      </c>
      <c r="AS26" s="243">
        <f t="shared" si="13"/>
        <v>0.54451088373540235</v>
      </c>
      <c r="AT26" s="243">
        <f t="shared" si="13"/>
        <v>0.54451088373540235</v>
      </c>
      <c r="AU26" s="243">
        <f t="shared" si="13"/>
        <v>0.54451088373540235</v>
      </c>
      <c r="AV26" s="243">
        <f t="shared" si="13"/>
        <v>0.54451088373540235</v>
      </c>
    </row>
    <row r="27" spans="2:48" s="77" customFormat="1" ht="15">
      <c r="B27" s="58" t="s">
        <v>17</v>
      </c>
      <c r="C27" s="67">
        <f>SUMIF('Source-MNRE'!$A$6:$A$42,$B27,'Source-MNRE'!$E$6:$E$42)</f>
        <v>0</v>
      </c>
      <c r="D27" s="68">
        <f>SUMIF('Source-BTI'!$B$6:$B$25,'PV&amp;WIND'!B27,'Source-BTI'!$K$6:$K$25)</f>
        <v>2</v>
      </c>
      <c r="E27" s="68">
        <f>SUMIF('Source-BTI'!$B$6:$B$25,'PV&amp;WIND'!B27,'Source-BTI'!$N$6:$N$25)</f>
        <v>0</v>
      </c>
      <c r="F27" s="703">
        <f t="shared" si="0"/>
        <v>2</v>
      </c>
      <c r="G27" s="69">
        <f t="shared" si="6"/>
        <v>0</v>
      </c>
      <c r="H27" s="77">
        <f>SUMIF('Source-MNRE'!$AA$6:$AA$42,'PV&amp;WIND'!B27,'Source-MNRE'!$AB$6:$AB$42)</f>
        <v>0</v>
      </c>
      <c r="J27" s="248"/>
      <c r="K27" s="215">
        <f>SUMIFS('CEA-underConsWIND2'!$G$4:$G$52,'CEA-underConsWIND2'!$A$4:$A$52,'PV&amp;WIND'!$B27,'CEA-underConsWIND2'!$M$4:$M$52,'PV&amp;WIND'!K$4)</f>
        <v>0</v>
      </c>
      <c r="L27" s="215">
        <f>SUMIFS('CEA-underConsWIND2'!$G$4:$G$52,'CEA-underConsWIND2'!$A$4:$A$52,'PV&amp;WIND'!$B27,'CEA-underConsWIND2'!$M$4:$M$52,'PV&amp;WIND'!L$4)</f>
        <v>0</v>
      </c>
      <c r="M27" s="215">
        <f>SUMIFS('CEA-underConsWIND2'!$G$4:$G$52,'CEA-underConsWIND2'!$A$4:$A$52,'PV&amp;WIND'!$B27,'CEA-underConsWIND2'!$M$4:$M$52,'PV&amp;WIND'!M$4)</f>
        <v>0</v>
      </c>
      <c r="N27" s="215">
        <f>SUMIFS('CEA-underConsWIND2'!$G$4:$G$52,'CEA-underConsWIND2'!$A$4:$A$52,'PV&amp;WIND'!$B27,'CEA-underConsWIND2'!$M$4:$M$52,'PV&amp;WIND'!N$4)</f>
        <v>0</v>
      </c>
      <c r="O27" s="251">
        <f t="shared" si="7"/>
        <v>2</v>
      </c>
      <c r="P27" s="251">
        <f t="shared" si="8"/>
        <v>0.4</v>
      </c>
      <c r="Q27" s="251">
        <f t="shared" si="8"/>
        <v>0.6</v>
      </c>
      <c r="R27" s="251">
        <f t="shared" si="8"/>
        <v>1</v>
      </c>
      <c r="S27" s="77" t="str">
        <f t="shared" si="9"/>
        <v>WB</v>
      </c>
      <c r="T27" s="243">
        <f t="shared" si="2"/>
        <v>0</v>
      </c>
      <c r="U27" s="243">
        <f t="shared" si="10"/>
        <v>0.4</v>
      </c>
      <c r="V27" s="243">
        <f t="shared" si="11"/>
        <v>0.6</v>
      </c>
      <c r="W27" s="243">
        <f t="shared" si="4"/>
        <v>1</v>
      </c>
      <c r="X27" s="243">
        <v>0</v>
      </c>
      <c r="Y27" s="243">
        <v>0</v>
      </c>
      <c r="Z27" s="243">
        <v>0</v>
      </c>
      <c r="AA27" s="243">
        <v>0</v>
      </c>
      <c r="AB27" s="243">
        <v>0</v>
      </c>
      <c r="AC27" s="243">
        <v>0</v>
      </c>
      <c r="AD27" s="243">
        <v>0</v>
      </c>
      <c r="AE27" s="243"/>
      <c r="AF27" s="243"/>
      <c r="AG27" s="243"/>
      <c r="AH27" s="635">
        <f>VLOOKUP(EG_WIND_max[[#This Row],[SubGeography2]],'MaxCapacity-Input'!$G$65:$L$90,6,FALSE)</f>
        <v>0</v>
      </c>
      <c r="AI27" s="77">
        <f>SUMIFS('Electricity Potential'!$G$5:$G$190,'Electricity Potential'!$C$5:$C$190,'PV&amp;WIND'!S27,'Electricity Potential'!$D$5:$D$190,'PV&amp;WIND'!AI$3)</f>
        <v>1050</v>
      </c>
      <c r="AJ27" s="420">
        <f t="shared" si="12"/>
        <v>1.5125302325983397E-3</v>
      </c>
      <c r="AK27" s="77" t="str">
        <f>EG_WIND_min[[#This Row],[SubGeography2]]</f>
        <v>WB</v>
      </c>
      <c r="AL27" s="243">
        <f>EG_WIND_min[[#This Row],[2021]]*(1+$AH27)</f>
        <v>0</v>
      </c>
      <c r="AM27" s="243">
        <f>EG_WIND_min[[#This Row],[2022]]*(1+$AH27)</f>
        <v>0.4</v>
      </c>
      <c r="AN27" s="243">
        <f>EG_WIND_min[[#This Row],[2023]]*(1+$AH27)</f>
        <v>0.6</v>
      </c>
      <c r="AO27" s="243">
        <f>MAX($AJ27*AO$31,EG_WIND_min[[#This Row],[2024]]*(1+$AH33))</f>
        <v>4.5375906977950189</v>
      </c>
      <c r="AP27" s="243">
        <f t="shared" si="13"/>
        <v>7.5626511629916982</v>
      </c>
      <c r="AQ27" s="243">
        <f t="shared" si="13"/>
        <v>10.587711628188378</v>
      </c>
      <c r="AR27" s="243">
        <f t="shared" si="13"/>
        <v>10.587711628188378</v>
      </c>
      <c r="AS27" s="243">
        <f t="shared" si="13"/>
        <v>10.587711628188378</v>
      </c>
      <c r="AT27" s="243">
        <f t="shared" si="13"/>
        <v>10.587711628188378</v>
      </c>
      <c r="AU27" s="243">
        <f t="shared" si="13"/>
        <v>10.587711628188378</v>
      </c>
      <c r="AV27" s="243">
        <f t="shared" si="13"/>
        <v>10.587711628188378</v>
      </c>
    </row>
    <row r="28" spans="2:48" s="77" customFormat="1" ht="15">
      <c r="B28" s="58" t="s">
        <v>92</v>
      </c>
      <c r="C28" s="67">
        <f>SUMIF('Source-MNRE'!$A$6:$A$42,$B28,'Source-MNRE'!$E$6:$E$42)</f>
        <v>0</v>
      </c>
      <c r="D28" s="68">
        <f>SUMIF('Source-BTI'!$B$6:$B$25,'PV&amp;WIND'!B28,'Source-BTI'!$K$6:$K$25)</f>
        <v>0</v>
      </c>
      <c r="E28" s="68">
        <f>SUMIF('Source-BTI'!$B$6:$B$25,'PV&amp;WIND'!B28,'Source-BTI'!$N$6:$N$25)</f>
        <v>0</v>
      </c>
      <c r="F28" s="703">
        <f t="shared" si="0"/>
        <v>0</v>
      </c>
      <c r="G28" s="69">
        <f t="shared" si="6"/>
        <v>0</v>
      </c>
      <c r="H28" s="77">
        <f>SUMIF('Source-MNRE'!$AA$6:$AA$42,'PV&amp;WIND'!B28,'Source-MNRE'!$AB$6:$AB$42)</f>
        <v>0</v>
      </c>
      <c r="J28" s="248"/>
      <c r="K28" s="215">
        <f>SUMIFS('CEA-underConsWIND2'!$G$4:$G$52,'CEA-underConsWIND2'!$A$4:$A$52,'PV&amp;WIND'!$B28,'CEA-underConsWIND2'!$M$4:$M$52,'PV&amp;WIND'!K$4)</f>
        <v>0</v>
      </c>
      <c r="L28" s="215">
        <f>SUMIFS('CEA-underConsWIND2'!$G$4:$G$52,'CEA-underConsWIND2'!$A$4:$A$52,'PV&amp;WIND'!$B28,'CEA-underConsWIND2'!$M$4:$M$52,'PV&amp;WIND'!L$4)</f>
        <v>0</v>
      </c>
      <c r="M28" s="215">
        <f>SUMIFS('CEA-underConsWIND2'!$G$4:$G$52,'CEA-underConsWIND2'!$A$4:$A$52,'PV&amp;WIND'!$B28,'CEA-underConsWIND2'!$M$4:$M$52,'PV&amp;WIND'!M$4)</f>
        <v>0</v>
      </c>
      <c r="N28" s="215">
        <f>SUMIFS('CEA-underConsWIND2'!$G$4:$G$52,'CEA-underConsWIND2'!$A$4:$A$52,'PV&amp;WIND'!$B28,'CEA-underConsWIND2'!$M$4:$M$52,'PV&amp;WIND'!N$4)</f>
        <v>0</v>
      </c>
      <c r="O28" s="251">
        <f t="shared" si="7"/>
        <v>0</v>
      </c>
      <c r="P28" s="251">
        <f t="shared" si="8"/>
        <v>0</v>
      </c>
      <c r="Q28" s="251">
        <f t="shared" si="8"/>
        <v>0</v>
      </c>
      <c r="R28" s="251">
        <f t="shared" si="8"/>
        <v>0</v>
      </c>
      <c r="S28" s="77" t="str">
        <f t="shared" si="9"/>
        <v>UT</v>
      </c>
      <c r="T28" s="243">
        <f t="shared" si="2"/>
        <v>0</v>
      </c>
      <c r="U28" s="243">
        <f t="shared" si="10"/>
        <v>0</v>
      </c>
      <c r="V28" s="243">
        <f t="shared" si="11"/>
        <v>0</v>
      </c>
      <c r="W28" s="243">
        <f t="shared" si="4"/>
        <v>0</v>
      </c>
      <c r="X28" s="243">
        <v>0</v>
      </c>
      <c r="Y28" s="243">
        <v>0</v>
      </c>
      <c r="Z28" s="243">
        <v>0</v>
      </c>
      <c r="AA28" s="243">
        <v>0</v>
      </c>
      <c r="AB28" s="243">
        <v>0</v>
      </c>
      <c r="AC28" s="243">
        <v>0</v>
      </c>
      <c r="AD28" s="243">
        <v>0</v>
      </c>
      <c r="AE28" s="243"/>
      <c r="AF28" s="243"/>
      <c r="AG28" s="243"/>
      <c r="AH28" s="635">
        <f>VLOOKUP(EG_WIND_max[[#This Row],[SubGeography2]],'MaxCapacity-Input'!$G$65:$L$90,6,FALSE)</f>
        <v>0</v>
      </c>
      <c r="AI28" s="77">
        <f>SUMIFS('Electricity Potential'!$G$5:$G$190,'Electricity Potential'!$C$5:$C$190,'PV&amp;WIND'!S28,'Electricity Potential'!$D$5:$D$190,'PV&amp;WIND'!AI$3)</f>
        <v>382</v>
      </c>
      <c r="AJ28" s="420">
        <f t="shared" si="12"/>
        <v>5.5027290366911022E-4</v>
      </c>
      <c r="AK28" s="77" t="str">
        <f>EG_WIND_min[[#This Row],[SubGeography2]]</f>
        <v>UT</v>
      </c>
      <c r="AL28" s="243">
        <f>EG_WIND_min[[#This Row],[2021]]*(1+$AH28)</f>
        <v>0</v>
      </c>
      <c r="AM28" s="243">
        <f>EG_WIND_min[[#This Row],[2022]]*(1+$AH28)</f>
        <v>0</v>
      </c>
      <c r="AN28" s="243">
        <f>EG_WIND_min[[#This Row],[2023]]*(1+$AH28)</f>
        <v>0</v>
      </c>
      <c r="AO28" s="243">
        <f>MAX($AJ28*AO$31,EG_WIND_min[[#This Row],[2024]]*(1+$AH34))</f>
        <v>1.6508187110073307</v>
      </c>
      <c r="AP28" s="243">
        <f t="shared" si="13"/>
        <v>2.7513645183455511</v>
      </c>
      <c r="AQ28" s="243">
        <f t="shared" si="13"/>
        <v>3.8519103256837717</v>
      </c>
      <c r="AR28" s="243">
        <f t="shared" si="13"/>
        <v>3.8519103256837717</v>
      </c>
      <c r="AS28" s="243">
        <f t="shared" si="13"/>
        <v>3.8519103256837717</v>
      </c>
      <c r="AT28" s="243">
        <f t="shared" si="13"/>
        <v>3.8519103256837717</v>
      </c>
      <c r="AU28" s="243">
        <f t="shared" si="13"/>
        <v>3.8519103256837717</v>
      </c>
      <c r="AV28" s="243">
        <f t="shared" si="13"/>
        <v>3.8519103256837717</v>
      </c>
    </row>
    <row r="29" spans="2:48" s="77" customFormat="1" ht="15">
      <c r="B29" s="58" t="s">
        <v>93</v>
      </c>
      <c r="C29" s="67">
        <f>SUMIF('Source-MNRE'!$A$6:$A$42,$B29,'Source-MNRE'!$E$6:$E$42)</f>
        <v>0</v>
      </c>
      <c r="D29" s="68">
        <f>SUMIF('Source-BTI'!$B$6:$B$25,'PV&amp;WIND'!B29,'Source-BTI'!$K$6:$K$25)</f>
        <v>0</v>
      </c>
      <c r="E29" s="68">
        <f>SUMIF('Source-BTI'!$B$6:$B$25,'PV&amp;WIND'!B29,'Source-BTI'!$N$6:$N$25)</f>
        <v>0</v>
      </c>
      <c r="F29" s="703">
        <f t="shared" si="0"/>
        <v>0</v>
      </c>
      <c r="G29" s="69">
        <f t="shared" si="6"/>
        <v>0</v>
      </c>
      <c r="H29" s="77">
        <f>SUMIF('Source-MNRE'!$AA$6:$AA$42,'PV&amp;WIND'!B29,'Source-MNRE'!$AB$6:$AB$42)</f>
        <v>0</v>
      </c>
      <c r="J29" s="248"/>
      <c r="K29" s="215">
        <f>SUMIFS('CEA-underConsWIND2'!$G$4:$G$52,'CEA-underConsWIND2'!$A$4:$A$52,'PV&amp;WIND'!$B29,'CEA-underConsWIND2'!$M$4:$M$52,'PV&amp;WIND'!K$4)</f>
        <v>0</v>
      </c>
      <c r="L29" s="215">
        <f>SUMIFS('CEA-underConsWIND2'!$G$4:$G$52,'CEA-underConsWIND2'!$A$4:$A$52,'PV&amp;WIND'!$B29,'CEA-underConsWIND2'!$M$4:$M$52,'PV&amp;WIND'!L$4)</f>
        <v>0</v>
      </c>
      <c r="M29" s="215">
        <f>SUMIFS('CEA-underConsWIND2'!$G$4:$G$52,'CEA-underConsWIND2'!$A$4:$A$52,'PV&amp;WIND'!$B29,'CEA-underConsWIND2'!$M$4:$M$52,'PV&amp;WIND'!M$4)</f>
        <v>0</v>
      </c>
      <c r="N29" s="215">
        <f>SUMIFS('CEA-underConsWIND2'!$G$4:$G$52,'CEA-underConsWIND2'!$A$4:$A$52,'PV&amp;WIND'!$B29,'CEA-underConsWIND2'!$M$4:$M$52,'PV&amp;WIND'!N$4)</f>
        <v>0</v>
      </c>
      <c r="O29" s="251">
        <f t="shared" si="7"/>
        <v>0</v>
      </c>
      <c r="P29" s="251">
        <f t="shared" si="8"/>
        <v>0</v>
      </c>
      <c r="Q29" s="251">
        <f t="shared" si="8"/>
        <v>0</v>
      </c>
      <c r="R29" s="251">
        <f t="shared" si="8"/>
        <v>0</v>
      </c>
      <c r="S29" s="77" t="str">
        <f t="shared" si="9"/>
        <v>DL</v>
      </c>
      <c r="T29" s="243">
        <f t="shared" si="2"/>
        <v>0</v>
      </c>
      <c r="U29" s="243">
        <f t="shared" si="10"/>
        <v>0</v>
      </c>
      <c r="V29" s="243">
        <f t="shared" si="11"/>
        <v>0</v>
      </c>
      <c r="W29" s="243">
        <f t="shared" si="4"/>
        <v>0</v>
      </c>
      <c r="X29" s="243">
        <v>0</v>
      </c>
      <c r="Y29" s="243">
        <v>0</v>
      </c>
      <c r="Z29" s="243">
        <v>0</v>
      </c>
      <c r="AA29" s="243">
        <v>0</v>
      </c>
      <c r="AB29" s="243">
        <v>0</v>
      </c>
      <c r="AC29" s="243">
        <v>0</v>
      </c>
      <c r="AD29" s="243">
        <v>0</v>
      </c>
      <c r="AE29" s="243"/>
      <c r="AF29" s="243"/>
      <c r="AG29" s="243"/>
      <c r="AH29" s="635">
        <f>VLOOKUP(EG_WIND_max[[#This Row],[SubGeography2]],'MaxCapacity-Input'!$G$65:$L$90,6,FALSE)</f>
        <v>0</v>
      </c>
      <c r="AI29" s="77">
        <f>SUMIFS('Electricity Potential'!$G$5:$G$190,'Electricity Potential'!$C$5:$C$190,'PV&amp;WIND'!S29,'Electricity Potential'!$D$5:$D$190,'PV&amp;WIND'!AI$3)</f>
        <v>0</v>
      </c>
      <c r="AJ29" s="420">
        <f t="shared" si="12"/>
        <v>0</v>
      </c>
      <c r="AK29" s="77" t="str">
        <f>EG_WIND_min[[#This Row],[SubGeography2]]</f>
        <v>DL</v>
      </c>
      <c r="AL29" s="243">
        <f>EG_WIND_min[[#This Row],[2021]]*(1+$AH29)</f>
        <v>0</v>
      </c>
      <c r="AM29" s="243">
        <f>EG_WIND_min[[#This Row],[2022]]*(1+$AH29)</f>
        <v>0</v>
      </c>
      <c r="AN29" s="243">
        <f>EG_WIND_min[[#This Row],[2023]]*(1+$AH29)</f>
        <v>0</v>
      </c>
      <c r="AO29" s="243">
        <f>MAX($AJ29*AO$31,EG_WIND_min[[#This Row],[2024]]*(1+$AH35))</f>
        <v>0</v>
      </c>
      <c r="AP29" s="243">
        <f t="shared" si="13"/>
        <v>0</v>
      </c>
      <c r="AQ29" s="243">
        <f t="shared" si="13"/>
        <v>0</v>
      </c>
      <c r="AR29" s="243">
        <f t="shared" si="13"/>
        <v>0</v>
      </c>
      <c r="AS29" s="243">
        <f t="shared" si="13"/>
        <v>0</v>
      </c>
      <c r="AT29" s="243">
        <f t="shared" si="13"/>
        <v>0</v>
      </c>
      <c r="AU29" s="243">
        <f t="shared" si="13"/>
        <v>0</v>
      </c>
      <c r="AV29" s="243">
        <f t="shared" si="13"/>
        <v>0</v>
      </c>
    </row>
    <row r="30" spans="2:48" s="77" customFormat="1" ht="15">
      <c r="B30" s="70" t="s">
        <v>101</v>
      </c>
      <c r="C30" s="71">
        <f>SUMIF('Source-MNRE'!$A$6:$A$42,$B30,'Source-MNRE'!$E$6:$E$42)</f>
        <v>0</v>
      </c>
      <c r="D30" s="68">
        <f>'Source-BTI'!K28</f>
        <v>129</v>
      </c>
      <c r="E30" s="68">
        <f>SUMIF('Source-BTI'!$B$6:$B$25,'PV&amp;WIND'!B30,'Source-BTI'!$N$6:$N$25)</f>
        <v>0</v>
      </c>
      <c r="F30" s="703">
        <f t="shared" si="0"/>
        <v>129</v>
      </c>
      <c r="G30" s="69">
        <f t="shared" si="6"/>
        <v>0</v>
      </c>
      <c r="H30" s="77">
        <f>SUMIF('Source-MNRE'!$AA$6:$AA$42,'PV&amp;WIND'!B30,'Source-MNRE'!$AB$6:$AB$42)</f>
        <v>0</v>
      </c>
      <c r="J30" s="248"/>
      <c r="K30" s="215">
        <f>SUMIFS('CEA-underConsWIND2'!$G$4:$G$52,'CEA-underConsWIND2'!$A$4:$A$52,'PV&amp;WIND'!$B30,'CEA-underConsWIND2'!$M$4:$M$52,'PV&amp;WIND'!K$4)</f>
        <v>0</v>
      </c>
      <c r="L30" s="215">
        <f>SUMIFS('CEA-underConsWIND2'!$G$4:$G$52,'CEA-underConsWIND2'!$A$4:$A$52,'PV&amp;WIND'!$B30,'CEA-underConsWIND2'!$M$4:$M$52,'PV&amp;WIND'!L$4)</f>
        <v>0</v>
      </c>
      <c r="M30" s="215">
        <f>SUMIFS('CEA-underConsWIND2'!$G$4:$G$52,'CEA-underConsWIND2'!$A$4:$A$52,'PV&amp;WIND'!$B30,'CEA-underConsWIND2'!$M$4:$M$52,'PV&amp;WIND'!M$4)</f>
        <v>115</v>
      </c>
      <c r="N30" s="215">
        <f>SUMIFS('CEA-underConsWIND2'!$G$4:$G$52,'CEA-underConsWIND2'!$A$4:$A$52,'PV&amp;WIND'!$B30,'CEA-underConsWIND2'!$M$4:$M$52,'PV&amp;WIND'!N$4)</f>
        <v>0</v>
      </c>
      <c r="O30" s="251">
        <f t="shared" si="7"/>
        <v>14</v>
      </c>
      <c r="P30" s="251">
        <f t="shared" si="8"/>
        <v>2.8000000000000003</v>
      </c>
      <c r="Q30" s="251">
        <f t="shared" si="8"/>
        <v>4.2</v>
      </c>
      <c r="R30" s="251">
        <f t="shared" si="8"/>
        <v>7</v>
      </c>
      <c r="T30" s="68">
        <f>SUM(T5:T29)</f>
        <v>1045.3999999999996</v>
      </c>
      <c r="U30" s="68">
        <f t="shared" ref="U30" si="14">SUM(U5:U29)</f>
        <v>2658.35</v>
      </c>
      <c r="V30" s="68">
        <f t="shared" ref="V30" si="15">SUM(V5:V29)</f>
        <v>3700.5749999999998</v>
      </c>
      <c r="W30" s="68">
        <f t="shared" ref="W30" si="16">SUM(W5:W29)</f>
        <v>3439.4249999999997</v>
      </c>
      <c r="X30" s="68">
        <f t="shared" ref="X30" si="17">SUM(X5:X29)</f>
        <v>0</v>
      </c>
      <c r="Y30" s="68">
        <f t="shared" ref="Y30" si="18">SUM(Y5:Y29)</f>
        <v>0</v>
      </c>
      <c r="Z30" s="68">
        <f t="shared" ref="Z30" si="19">SUM(Z5:Z29)</f>
        <v>0</v>
      </c>
      <c r="AA30" s="68">
        <f t="shared" ref="AA30" si="20">SUM(AA5:AA29)</f>
        <v>0</v>
      </c>
      <c r="AB30" s="68">
        <f t="shared" ref="AB30" si="21">SUM(AB5:AB29)</f>
        <v>0</v>
      </c>
      <c r="AC30" s="68">
        <f t="shared" ref="AC30" si="22">SUM(AC5:AC29)</f>
        <v>0</v>
      </c>
      <c r="AD30" s="68">
        <f t="shared" ref="AD30" si="23">SUM(AD5:AD29)</f>
        <v>0</v>
      </c>
      <c r="AE30" s="68"/>
      <c r="AF30" s="68"/>
      <c r="AG30" s="68"/>
      <c r="AI30" s="77">
        <f>SUM(AI5:AI29)</f>
        <v>694201</v>
      </c>
      <c r="AK30" s="77" t="s">
        <v>1916</v>
      </c>
      <c r="AN30" s="629"/>
      <c r="AO30" s="629">
        <f t="shared" ref="AO30" si="24">AO31-W30</f>
        <v>-439.42499999999973</v>
      </c>
      <c r="AP30" s="629">
        <f t="shared" ref="AP30" si="25">AP31-X30</f>
        <v>5000</v>
      </c>
      <c r="AQ30" s="629">
        <f t="shared" ref="AQ30" si="26">AQ31-Y30</f>
        <v>7000</v>
      </c>
      <c r="AR30" s="629">
        <f t="shared" ref="AR30" si="27">AR31-Z30</f>
        <v>7000</v>
      </c>
      <c r="AS30" s="629">
        <f t="shared" ref="AS30" si="28">AS31-AA30</f>
        <v>7000</v>
      </c>
      <c r="AT30" s="629">
        <f t="shared" ref="AT30" si="29">AT31-AB30</f>
        <v>7000</v>
      </c>
      <c r="AU30" s="629">
        <f t="shared" ref="AU30" si="30">AU31-AC30</f>
        <v>7000</v>
      </c>
      <c r="AV30" s="629">
        <f t="shared" ref="AV30" si="31">AV31-AD30</f>
        <v>7000</v>
      </c>
    </row>
    <row r="31" spans="2:48" s="84" customFormat="1" ht="15.75" thickBot="1">
      <c r="B31" s="88" t="s">
        <v>94</v>
      </c>
      <c r="C31" s="89">
        <f>SUM(C5:C30)</f>
        <v>37739.450000000004</v>
      </c>
      <c r="D31" s="90">
        <f>SUM(D5:D30)</f>
        <v>37247</v>
      </c>
      <c r="E31" s="90">
        <f>SUM(E5:E30)</f>
        <v>9189</v>
      </c>
      <c r="F31" s="72">
        <f>SUM(F5:F30)</f>
        <v>9677.3499999999985</v>
      </c>
      <c r="G31" s="73">
        <f>SUM(G5:G30)</f>
        <v>37739.450000000004</v>
      </c>
      <c r="H31" s="77">
        <f>SUMIF('Source-MNRE'!$AA$6:$AA$42,'PV&amp;WIND'!B31,'Source-MNRE'!$AB$6:$AB$42)</f>
        <v>0</v>
      </c>
      <c r="J31" s="248"/>
      <c r="K31" s="91"/>
      <c r="L31" s="91"/>
      <c r="M31" s="91"/>
      <c r="N31" s="91"/>
      <c r="O31" s="252"/>
      <c r="P31" s="252"/>
      <c r="Q31" s="252"/>
      <c r="R31" s="252"/>
      <c r="S31" s="77"/>
      <c r="T31" s="41"/>
      <c r="U31" s="217"/>
      <c r="V31" s="217"/>
      <c r="AK31" s="77" t="s">
        <v>1250</v>
      </c>
      <c r="AO31" s="347">
        <f>'MaxCapacity-Input'!F12</f>
        <v>3000</v>
      </c>
      <c r="AP31" s="347">
        <f>'MaxCapacity-Input'!G12</f>
        <v>5000</v>
      </c>
      <c r="AQ31" s="347">
        <f>'MaxCapacity-Input'!H12</f>
        <v>7000</v>
      </c>
      <c r="AR31" s="347">
        <f>'MaxCapacity-Input'!I12</f>
        <v>7000</v>
      </c>
      <c r="AS31" s="347">
        <f>'MaxCapacity-Input'!J12</f>
        <v>7000</v>
      </c>
      <c r="AT31" s="347">
        <f>'MaxCapacity-Input'!K12</f>
        <v>7000</v>
      </c>
      <c r="AU31" s="347">
        <f>'MaxCapacity-Input'!L12</f>
        <v>7000</v>
      </c>
      <c r="AV31" s="347">
        <f>'MaxCapacity-Input'!M12</f>
        <v>7000</v>
      </c>
    </row>
    <row r="32" spans="2:48" s="77" customFormat="1">
      <c r="B32" s="58" t="s">
        <v>240</v>
      </c>
      <c r="C32" s="58"/>
      <c r="D32" s="58"/>
      <c r="E32" s="58"/>
      <c r="F32" s="86">
        <f>CEA_underConsWIND0!E14</f>
        <v>7326.1</v>
      </c>
      <c r="G32" s="58"/>
      <c r="H32" s="77">
        <f>SUMIF('Source-MNRE'!$AA$6:$AA$42,'PV&amp;WIND'!B32,'Source-MNRE'!$AB$6:$AB$42)</f>
        <v>0</v>
      </c>
      <c r="I32" s="58"/>
      <c r="J32" s="62"/>
      <c r="K32" s="62"/>
      <c r="L32" s="62"/>
      <c r="M32" s="62"/>
      <c r="N32" s="62"/>
      <c r="O32" s="249"/>
      <c r="P32" s="249"/>
      <c r="Q32" s="249"/>
      <c r="R32" s="249"/>
      <c r="S32" s="58"/>
      <c r="T32" s="68"/>
      <c r="U32" s="68"/>
      <c r="V32" s="86"/>
    </row>
    <row r="33" spans="2:60" s="77" customFormat="1">
      <c r="B33" s="58"/>
      <c r="C33" s="58"/>
      <c r="D33" s="58"/>
      <c r="E33" s="58"/>
      <c r="F33" s="74">
        <f>F32/F31</f>
        <v>0.75703575875627127</v>
      </c>
      <c r="G33" s="58"/>
      <c r="H33" s="77">
        <f>SUMIF('Source-MNRE'!$AA$6:$AA$42,'PV&amp;WIND'!B33,'Source-MNRE'!$AB$6:$AB$42)</f>
        <v>0</v>
      </c>
      <c r="I33" s="58"/>
      <c r="J33" s="62"/>
      <c r="K33" s="62"/>
      <c r="L33" s="62"/>
      <c r="M33" s="62"/>
      <c r="N33" s="62"/>
      <c r="O33" s="249"/>
      <c r="P33" s="249"/>
      <c r="Q33" s="249"/>
      <c r="R33" s="249"/>
      <c r="S33" s="58"/>
      <c r="T33" s="68"/>
      <c r="U33" s="68"/>
      <c r="V33" s="86"/>
    </row>
    <row r="34" spans="2:60" s="77" customFormat="1" ht="13.5" thickBot="1">
      <c r="B34" s="58"/>
      <c r="C34" s="58"/>
      <c r="D34" s="58"/>
      <c r="E34" s="58"/>
      <c r="F34" s="58"/>
      <c r="G34" s="58"/>
      <c r="H34" s="58"/>
      <c r="I34" s="58"/>
      <c r="J34" s="62"/>
      <c r="K34" s="62"/>
      <c r="L34" s="62"/>
      <c r="M34" s="62"/>
      <c r="N34" s="62"/>
      <c r="O34" s="249"/>
      <c r="P34" s="249"/>
      <c r="Q34" s="249"/>
      <c r="R34" s="249"/>
      <c r="S34" s="58"/>
      <c r="T34" s="68"/>
      <c r="U34" s="68"/>
      <c r="V34" s="86"/>
    </row>
    <row r="35" spans="2:60" s="77" customFormat="1">
      <c r="B35" s="75"/>
      <c r="C35" s="59" t="s">
        <v>98</v>
      </c>
      <c r="D35" s="60" t="s">
        <v>99</v>
      </c>
      <c r="E35" s="60" t="s">
        <v>99</v>
      </c>
      <c r="F35" s="61"/>
      <c r="G35" s="76"/>
      <c r="J35" s="85"/>
      <c r="K35" s="85"/>
      <c r="L35" s="85"/>
      <c r="M35" s="85"/>
      <c r="N35" s="85"/>
      <c r="O35" s="251"/>
      <c r="P35" s="251"/>
      <c r="Q35" s="251"/>
      <c r="R35" s="251"/>
      <c r="T35" s="86"/>
      <c r="U35" s="218"/>
      <c r="V35" s="86"/>
    </row>
    <row r="36" spans="2:60" s="77" customFormat="1" ht="63.75" customHeight="1">
      <c r="B36" s="58"/>
      <c r="C36" s="63" t="s">
        <v>97</v>
      </c>
      <c r="D36" s="64" t="s">
        <v>109</v>
      </c>
      <c r="E36" s="64" t="s">
        <v>108</v>
      </c>
      <c r="F36" s="697" t="s">
        <v>107</v>
      </c>
      <c r="G36" s="65" t="s">
        <v>111</v>
      </c>
      <c r="H36" s="64" t="s">
        <v>1385</v>
      </c>
      <c r="I36" s="70"/>
      <c r="J36" s="66"/>
      <c r="K36" s="910" t="s">
        <v>947</v>
      </c>
      <c r="L36" s="910"/>
      <c r="M36" s="910"/>
      <c r="N36" s="646"/>
      <c r="O36" s="250"/>
      <c r="P36" s="911" t="s">
        <v>950</v>
      </c>
      <c r="Q36" s="911"/>
      <c r="R36" s="911"/>
      <c r="S36" s="58" t="s">
        <v>95</v>
      </c>
      <c r="T36" s="912" t="s">
        <v>638</v>
      </c>
      <c r="U36" s="912"/>
      <c r="V36" s="912"/>
      <c r="W36" s="912"/>
      <c r="X36" s="912"/>
      <c r="Y36" s="912"/>
      <c r="Z36" s="912"/>
      <c r="AA36" s="912"/>
      <c r="AB36" s="912"/>
      <c r="AC36" s="912"/>
      <c r="AD36" s="912"/>
      <c r="AE36" s="647"/>
      <c r="AF36" s="647"/>
      <c r="AG36" s="647"/>
      <c r="AH36" s="636" t="s">
        <v>1939</v>
      </c>
      <c r="AI36" s="84" t="s">
        <v>1382</v>
      </c>
    </row>
    <row r="37" spans="2:60" s="77" customFormat="1">
      <c r="B37" s="58"/>
      <c r="C37" s="67" t="s">
        <v>103</v>
      </c>
      <c r="D37" s="58" t="s">
        <v>104</v>
      </c>
      <c r="E37" s="58" t="s">
        <v>105</v>
      </c>
      <c r="F37" s="698" t="s">
        <v>106</v>
      </c>
      <c r="G37" s="78"/>
      <c r="H37" s="58"/>
      <c r="J37" s="62"/>
      <c r="K37" s="62"/>
      <c r="L37" s="62"/>
      <c r="M37" s="62"/>
      <c r="N37" s="62"/>
      <c r="O37" s="249"/>
      <c r="P37" s="699">
        <v>0.2</v>
      </c>
      <c r="Q37" s="700">
        <v>0.3</v>
      </c>
      <c r="R37" s="700">
        <v>0.5</v>
      </c>
      <c r="S37" s="84" t="s">
        <v>117</v>
      </c>
      <c r="T37" s="68"/>
      <c r="U37" s="68"/>
      <c r="V37" s="86"/>
      <c r="AI37" s="84" t="s">
        <v>952</v>
      </c>
      <c r="AJ37" s="84" t="s">
        <v>1237</v>
      </c>
      <c r="AK37" s="350" t="s">
        <v>978</v>
      </c>
      <c r="AL37" s="68"/>
      <c r="AM37" s="68"/>
      <c r="AN37" s="86"/>
    </row>
    <row r="38" spans="2:60" s="77" customFormat="1">
      <c r="B38" s="58"/>
      <c r="C38" s="79" t="s">
        <v>95</v>
      </c>
      <c r="D38" s="80" t="s">
        <v>95</v>
      </c>
      <c r="E38" s="80" t="s">
        <v>95</v>
      </c>
      <c r="F38" s="701" t="s">
        <v>95</v>
      </c>
      <c r="G38" s="81" t="s">
        <v>95</v>
      </c>
      <c r="H38" s="81" t="s">
        <v>95</v>
      </c>
      <c r="J38" s="83"/>
      <c r="K38" s="247">
        <v>2021</v>
      </c>
      <c r="L38" s="247">
        <v>2022</v>
      </c>
      <c r="M38" s="247">
        <v>2023</v>
      </c>
      <c r="N38" s="247">
        <v>2024</v>
      </c>
      <c r="O38" s="247" t="s">
        <v>949</v>
      </c>
      <c r="P38" s="247">
        <v>2022</v>
      </c>
      <c r="Q38" s="247">
        <v>2023</v>
      </c>
      <c r="R38" s="247">
        <v>2024</v>
      </c>
      <c r="S38" s="220" t="s">
        <v>621</v>
      </c>
      <c r="T38" s="82" t="s">
        <v>618</v>
      </c>
      <c r="U38" s="82" t="s">
        <v>619</v>
      </c>
      <c r="V38" s="82" t="s">
        <v>620</v>
      </c>
      <c r="W38" s="234" t="s">
        <v>660</v>
      </c>
      <c r="X38" s="234" t="s">
        <v>661</v>
      </c>
      <c r="Y38" s="234" t="s">
        <v>662</v>
      </c>
      <c r="Z38" s="234" t="s">
        <v>663</v>
      </c>
      <c r="AA38" s="234" t="s">
        <v>664</v>
      </c>
      <c r="AB38" s="234" t="s">
        <v>665</v>
      </c>
      <c r="AC38" s="234" t="s">
        <v>666</v>
      </c>
      <c r="AD38" s="234" t="s">
        <v>667</v>
      </c>
      <c r="AE38" s="234"/>
      <c r="AF38" s="234"/>
      <c r="AG38" s="234"/>
      <c r="AK38" s="82" t="s">
        <v>621</v>
      </c>
      <c r="AL38" s="223" t="s">
        <v>618</v>
      </c>
      <c r="AM38" s="224" t="s">
        <v>619</v>
      </c>
      <c r="AN38" s="225" t="s">
        <v>620</v>
      </c>
      <c r="AO38" s="234" t="s">
        <v>660</v>
      </c>
      <c r="AP38" s="234" t="s">
        <v>661</v>
      </c>
      <c r="AQ38" s="234" t="s">
        <v>662</v>
      </c>
      <c r="AR38" s="234" t="s">
        <v>663</v>
      </c>
      <c r="AS38" s="234" t="s">
        <v>664</v>
      </c>
      <c r="AT38" s="234" t="s">
        <v>665</v>
      </c>
      <c r="AU38" s="234" t="s">
        <v>666</v>
      </c>
      <c r="AV38" s="234" t="s">
        <v>667</v>
      </c>
    </row>
    <row r="39" spans="2:60" s="77" customFormat="1" ht="15">
      <c r="B39" s="58" t="str">
        <f>B5</f>
        <v>AP</v>
      </c>
      <c r="C39" s="67">
        <f>SUMIF('Source-MNRE'!$A$6:$A$42,$B5,'Source-MNRE'!$L$6:$L$42)</f>
        <v>3610.02</v>
      </c>
      <c r="D39" s="68">
        <f>SUMIF('Source-BTI'!$B$6:$B$25,'PV&amp;WIND'!B5,'Source-BTI'!$Q$6:$Q$25)</f>
        <v>3908</v>
      </c>
      <c r="E39" s="68">
        <f>SUMIF('Source-BTI'!$B$6:$B$25,'PV&amp;WIND'!B5,'Source-BTI'!$T$6:$T$25)</f>
        <v>1111</v>
      </c>
      <c r="F39" s="703">
        <f>IF(D39&gt;C39,(E39+(D39-C39)),E39)</f>
        <v>1408.98</v>
      </c>
      <c r="G39" s="69">
        <f>C39</f>
        <v>3610.02</v>
      </c>
      <c r="H39" s="77">
        <f>SUMIF('Source-MNRE'!$AA$6:$AA$42,'PV&amp;WIND'!B39,'Source-MNRE'!$AC$6:$AC$42)</f>
        <v>386.48</v>
      </c>
      <c r="J39" s="248"/>
      <c r="K39" s="215">
        <f>SUMIFS('CEA-underConsSOLAR2'!$F$4:$F$64,'CEA-underConsSOLAR2'!$A$4:$A$64,'PV&amp;WIND'!$B39,'CEA-underConsSOLAR2'!$L$4:$L$64,'PV&amp;WIND'!K$38)</f>
        <v>0</v>
      </c>
      <c r="L39" s="215">
        <f>SUMIFS('CEA-underConsSOLAR2'!$F$4:$F$64,'CEA-underConsSOLAR2'!$A$4:$A$64,'PV&amp;WIND'!$B39,'CEA-underConsSOLAR2'!$L$4:$L$64,'PV&amp;WIND'!L$38)</f>
        <v>750</v>
      </c>
      <c r="M39" s="215">
        <f>SUMIFS('CEA-underConsSOLAR2'!$F$4:$F$64,'CEA-underConsSOLAR2'!$A$4:$A$64,'PV&amp;WIND'!$B39,'CEA-underConsSOLAR2'!$L$4:$L$64,'PV&amp;WIND'!M$38)</f>
        <v>50</v>
      </c>
      <c r="N39" s="215">
        <f>SUMIFS('CEA-underConsSOLAR2'!$F$4:$F$64,'CEA-underConsSOLAR2'!$A$4:$A$64,'PV&amp;WIND'!$B39,'CEA-underConsSOLAR2'!$L$4:$L$64,'PV&amp;WIND'!N$38)</f>
        <v>0</v>
      </c>
      <c r="O39" s="251">
        <f>MAX(F39-SUM(K39:N39),0)</f>
        <v>608.98</v>
      </c>
      <c r="P39" s="251">
        <f>IF($O39&lt;=0,0,$O39*P$37)</f>
        <v>121.79600000000001</v>
      </c>
      <c r="Q39" s="251">
        <f t="shared" ref="Q39:R54" si="32">IF($O39&lt;=0,0,$O39*Q$37)</f>
        <v>182.69399999999999</v>
      </c>
      <c r="R39" s="251">
        <f t="shared" si="32"/>
        <v>304.49</v>
      </c>
      <c r="S39" s="221" t="str">
        <f t="shared" ref="S39:S63" si="33">B39</f>
        <v>AP</v>
      </c>
      <c r="T39" s="243">
        <f t="shared" ref="T39:T63" si="34">H39</f>
        <v>386.48</v>
      </c>
      <c r="U39" s="243">
        <f t="shared" ref="U39:U63" si="35">L39+P39</f>
        <v>871.79600000000005</v>
      </c>
      <c r="V39" s="243">
        <f>M39+Q39</f>
        <v>232.69399999999999</v>
      </c>
      <c r="W39" s="243">
        <f>R39</f>
        <v>304.49</v>
      </c>
      <c r="X39" s="243">
        <v>0</v>
      </c>
      <c r="Y39" s="243">
        <v>0</v>
      </c>
      <c r="Z39" s="243">
        <v>0</v>
      </c>
      <c r="AA39" s="243">
        <v>0</v>
      </c>
      <c r="AB39" s="243">
        <v>0</v>
      </c>
      <c r="AC39" s="243">
        <v>0</v>
      </c>
      <c r="AD39" s="243">
        <v>0</v>
      </c>
      <c r="AE39" s="243"/>
      <c r="AF39" s="243"/>
      <c r="AG39" s="243"/>
      <c r="AH39" s="635">
        <f>VLOOKUP(EG_SOLARPV_max[[#This Row],[SubGeography2]],'MaxCapacity-Input'!$G$65:$L$90,5,FALSE)</f>
        <v>4.7301738567361853E-3</v>
      </c>
      <c r="AI39" s="77">
        <f>SUMIFS('Electricity Potential'!$G$5:$G$190,'Electricity Potential'!$C$5:$C$190,'PV&amp;WIND'!S39,'Electricity Potential'!$D$5:$D$190,'PV&amp;WIND'!AI$37)</f>
        <v>38440</v>
      </c>
      <c r="AJ39" s="420">
        <f t="shared" ref="AJ39:AJ61" si="36">AI39/$AI$64</f>
        <v>5.1376637262763966E-2</v>
      </c>
      <c r="AK39" s="77" t="str">
        <f>EG_SOLARPV_min[[#This Row],[SubGeography2]]</f>
        <v>AP</v>
      </c>
      <c r="AL39" s="243">
        <f>EG_SOLARPV_min[[#This Row],[2021]]*(1+$AH39)</f>
        <v>388.30811759215146</v>
      </c>
      <c r="AM39" s="243">
        <f>EG_SOLARPV_min[[#This Row],[2022]]*(1+$AH39)</f>
        <v>875.91974664760733</v>
      </c>
      <c r="AN39" s="243">
        <f>MAX($AJ39*AN$65,(EG_SOLARPV_min[[#This Row],[2023]]*(1+$AH39)))</f>
        <v>385.32477947072977</v>
      </c>
      <c r="AO39" s="243">
        <f>MAX($AJ39*AO$65,(EG_SOLARPV_min[[#This Row],[2024]]*(1+$AH39)))</f>
        <v>513.76637262763961</v>
      </c>
      <c r="AP39" s="243">
        <f t="shared" ref="AP39:AV54" si="37">$AJ39*AP$65</f>
        <v>642.20796578454963</v>
      </c>
      <c r="AQ39" s="243">
        <f t="shared" si="37"/>
        <v>770.64955894145953</v>
      </c>
      <c r="AR39" s="243">
        <f t="shared" si="37"/>
        <v>770.64955894145953</v>
      </c>
      <c r="AS39" s="243">
        <f t="shared" si="37"/>
        <v>770.64955894145953</v>
      </c>
      <c r="AT39" s="243">
        <f t="shared" si="37"/>
        <v>770.64955894145953</v>
      </c>
      <c r="AU39" s="243">
        <f t="shared" si="37"/>
        <v>770.64955894145953</v>
      </c>
      <c r="AV39" s="243">
        <f t="shared" si="37"/>
        <v>770.64955894145953</v>
      </c>
      <c r="BH39" s="77" t="b">
        <f>EG_SOLARPV_max[[#This Row],[2022]]&gt;=EG_SOLARPV_min[[#This Row],[2022]]</f>
        <v>1</v>
      </c>
    </row>
    <row r="40" spans="2:60" s="77" customFormat="1" ht="15">
      <c r="B40" s="58" t="str">
        <f t="shared" ref="B40:B64" si="38">B6</f>
        <v>NE</v>
      </c>
      <c r="C40" s="67">
        <f>SUMIF('Source-MNRE'!$A$6:$A$42,$B6,'Source-MNRE'!$L$6:$L$42)</f>
        <v>22.89</v>
      </c>
      <c r="D40" s="68">
        <f>SUMIF('Source-BTI'!$B$6:$B$25,'PV&amp;WIND'!B6,'Source-BTI'!$Q$6:$Q$25)</f>
        <v>0</v>
      </c>
      <c r="E40" s="68">
        <f>SUMIF('Source-BTI'!$B$6:$B$25,'PV&amp;WIND'!B6,'Source-BTI'!$T$6:$T$25)</f>
        <v>0</v>
      </c>
      <c r="F40" s="703">
        <f t="shared" ref="F40:F64" si="39">IF(D40&gt;C40,(E40+(D40-C40)),E40)</f>
        <v>0</v>
      </c>
      <c r="G40" s="69">
        <f t="shared" ref="G40:G65" si="40">C40</f>
        <v>22.89</v>
      </c>
      <c r="H40" s="77">
        <f>SUMIF('Source-MNRE'!$AA$6:$AA$42,'PV&amp;WIND'!B40,'Source-MNRE'!$AC$6:$AC$42)</f>
        <v>1.2100000000000002</v>
      </c>
      <c r="J40" s="248"/>
      <c r="K40" s="215">
        <f>SUMIFS('CEA-underConsSOLAR2'!$F$4:$F$64,'CEA-underConsSOLAR2'!$A$4:$A$64,'PV&amp;WIND'!$B40,'CEA-underConsSOLAR2'!$L$4:$L$64,'PV&amp;WIND'!K$38)</f>
        <v>0</v>
      </c>
      <c r="L40" s="215">
        <f>SUMIFS('CEA-underConsSOLAR2'!$F$4:$F$64,'CEA-underConsSOLAR2'!$A$4:$A$64,'PV&amp;WIND'!$B40,'CEA-underConsSOLAR2'!$L$4:$L$64,'PV&amp;WIND'!L$38)</f>
        <v>0</v>
      </c>
      <c r="M40" s="215">
        <f>SUMIFS('CEA-underConsSOLAR2'!$F$4:$F$64,'CEA-underConsSOLAR2'!$A$4:$A$64,'PV&amp;WIND'!$B40,'CEA-underConsSOLAR2'!$L$4:$L$64,'PV&amp;WIND'!M$38)</f>
        <v>0</v>
      </c>
      <c r="N40" s="215">
        <f>SUMIFS('CEA-underConsSOLAR2'!$F$4:$F$64,'CEA-underConsSOLAR2'!$A$4:$A$64,'PV&amp;WIND'!$B40,'CEA-underConsSOLAR2'!$L$4:$L$64,'PV&amp;WIND'!N$38)</f>
        <v>0</v>
      </c>
      <c r="O40" s="251">
        <f t="shared" ref="O40:O64" si="41">MAX(F40-SUM(K40:N40),0)</f>
        <v>0</v>
      </c>
      <c r="P40" s="251">
        <f t="shared" ref="P40:R64" si="42">IF($O40&lt;=0,0,$O40*P$37)</f>
        <v>0</v>
      </c>
      <c r="Q40" s="251">
        <f t="shared" si="32"/>
        <v>0</v>
      </c>
      <c r="R40" s="251">
        <f t="shared" si="32"/>
        <v>0</v>
      </c>
      <c r="S40" s="222" t="str">
        <f t="shared" si="33"/>
        <v>NE</v>
      </c>
      <c r="T40" s="243">
        <f t="shared" si="34"/>
        <v>1.2100000000000002</v>
      </c>
      <c r="U40" s="243">
        <f t="shared" si="35"/>
        <v>0</v>
      </c>
      <c r="V40" s="243">
        <f t="shared" ref="V40:V63" si="43">M40+Q40</f>
        <v>0</v>
      </c>
      <c r="W40" s="243">
        <f t="shared" ref="W40:W63" si="44">R40</f>
        <v>0</v>
      </c>
      <c r="X40" s="243">
        <v>0</v>
      </c>
      <c r="Y40" s="243">
        <v>0</v>
      </c>
      <c r="Z40" s="243">
        <v>0</v>
      </c>
      <c r="AA40" s="243">
        <v>0</v>
      </c>
      <c r="AB40" s="243">
        <v>0</v>
      </c>
      <c r="AC40" s="243">
        <v>0</v>
      </c>
      <c r="AD40" s="243">
        <v>0</v>
      </c>
      <c r="AE40" s="243"/>
      <c r="AF40" s="243"/>
      <c r="AG40" s="243"/>
      <c r="AH40" s="635">
        <f>VLOOKUP(EG_SOLARPV_max[[#This Row],[SubGeography2]],'MaxCapacity-Input'!$G$65:$L$90,5,FALSE)</f>
        <v>0</v>
      </c>
      <c r="AI40" s="77">
        <f>SUMIFS('Electricity Potential'!$G$5:$G$190,'Electricity Potential'!$C$5:$C$190,'PV&amp;WIND'!S40,'Electricity Potential'!$D$5:$D$190,'PV&amp;WIND'!AI$37)</f>
        <v>48540</v>
      </c>
      <c r="AJ40" s="420">
        <f t="shared" si="36"/>
        <v>6.4875701684041706E-2</v>
      </c>
      <c r="AK40" s="77" t="str">
        <f>EG_SOLARPV_min[[#This Row],[SubGeography2]]</f>
        <v>NE</v>
      </c>
      <c r="AL40" s="243">
        <f>EG_SOLARPV_min[[#This Row],[2021]]*(1+$AH40)</f>
        <v>1.2100000000000002</v>
      </c>
      <c r="AM40" s="243">
        <f>EG_SOLARPV_min[[#This Row],[2022]]*(1+$AH40)</f>
        <v>0</v>
      </c>
      <c r="AN40" s="243">
        <f>MAX($AJ40*AN$65,(EG_SOLARPV_min[[#This Row],[2023]]*(1+$AH40)))</f>
        <v>486.56776263031281</v>
      </c>
      <c r="AO40" s="243">
        <f>MAX($AJ40*AO$65,(EG_SOLARPV_min[[#This Row],[2024]]*(1+$AH40)))</f>
        <v>648.75701684041701</v>
      </c>
      <c r="AP40" s="243">
        <f t="shared" si="37"/>
        <v>810.94627105052132</v>
      </c>
      <c r="AQ40" s="243">
        <f t="shared" si="37"/>
        <v>973.13552526062563</v>
      </c>
      <c r="AR40" s="243">
        <f t="shared" si="37"/>
        <v>973.13552526062563</v>
      </c>
      <c r="AS40" s="243">
        <f t="shared" si="37"/>
        <v>973.13552526062563</v>
      </c>
      <c r="AT40" s="243">
        <f t="shared" si="37"/>
        <v>973.13552526062563</v>
      </c>
      <c r="AU40" s="243">
        <f t="shared" si="37"/>
        <v>973.13552526062563</v>
      </c>
      <c r="AV40" s="243">
        <f t="shared" si="37"/>
        <v>973.13552526062563</v>
      </c>
      <c r="BH40" s="77" t="b">
        <f>EG_SOLARPV_max[[#This Row],[2022]]&gt;=EG_SOLARPV_min[[#This Row],[2022]]</f>
        <v>1</v>
      </c>
    </row>
    <row r="41" spans="2:60" s="77" customFormat="1" ht="15">
      <c r="B41" s="58" t="str">
        <f t="shared" si="38"/>
        <v>AS</v>
      </c>
      <c r="C41" s="67">
        <f>SUMIF('Source-MNRE'!$A$6:$A$42,$B7,'Source-MNRE'!$L$6:$L$42)</f>
        <v>41.23</v>
      </c>
      <c r="D41" s="68">
        <f>SUMIF('Source-BTI'!$B$6:$B$25,'PV&amp;WIND'!B7,'Source-BTI'!$Q$6:$Q$25)</f>
        <v>0</v>
      </c>
      <c r="E41" s="68">
        <f>SUMIF('Source-BTI'!$B$6:$B$25,'PV&amp;WIND'!B7,'Source-BTI'!$T$6:$T$25)</f>
        <v>0</v>
      </c>
      <c r="F41" s="703">
        <f t="shared" si="39"/>
        <v>0</v>
      </c>
      <c r="G41" s="69">
        <f t="shared" si="40"/>
        <v>41.23</v>
      </c>
      <c r="H41" s="77">
        <f>SUMIF('Source-MNRE'!$AA$6:$AA$42,'PV&amp;WIND'!B41,'Source-MNRE'!$AC$6:$AC$42)</f>
        <v>1.7600000000000051</v>
      </c>
      <c r="J41" s="248"/>
      <c r="K41" s="215">
        <f>SUMIFS('CEA-underConsSOLAR2'!$F$4:$F$64,'CEA-underConsSOLAR2'!$A$4:$A$64,'PV&amp;WIND'!$B41,'CEA-underConsSOLAR2'!$L$4:$L$64,'PV&amp;WIND'!K$38)</f>
        <v>0</v>
      </c>
      <c r="L41" s="215">
        <f>SUMIFS('CEA-underConsSOLAR2'!$F$4:$F$64,'CEA-underConsSOLAR2'!$A$4:$A$64,'PV&amp;WIND'!$B41,'CEA-underConsSOLAR2'!$L$4:$L$64,'PV&amp;WIND'!L$38)</f>
        <v>30</v>
      </c>
      <c r="M41" s="215">
        <f>SUMIFS('CEA-underConsSOLAR2'!$F$4:$F$64,'CEA-underConsSOLAR2'!$A$4:$A$64,'PV&amp;WIND'!$B41,'CEA-underConsSOLAR2'!$L$4:$L$64,'PV&amp;WIND'!M$38)</f>
        <v>0</v>
      </c>
      <c r="N41" s="215">
        <f>SUMIFS('CEA-underConsSOLAR2'!$F$4:$F$64,'CEA-underConsSOLAR2'!$A$4:$A$64,'PV&amp;WIND'!$B41,'CEA-underConsSOLAR2'!$L$4:$L$64,'PV&amp;WIND'!N$38)</f>
        <v>0</v>
      </c>
      <c r="O41" s="251">
        <f t="shared" si="41"/>
        <v>0</v>
      </c>
      <c r="P41" s="251">
        <f t="shared" si="42"/>
        <v>0</v>
      </c>
      <c r="Q41" s="251">
        <f t="shared" si="32"/>
        <v>0</v>
      </c>
      <c r="R41" s="251">
        <f t="shared" si="32"/>
        <v>0</v>
      </c>
      <c r="S41" s="221" t="str">
        <f t="shared" si="33"/>
        <v>AS</v>
      </c>
      <c r="T41" s="243">
        <f t="shared" si="34"/>
        <v>1.7600000000000051</v>
      </c>
      <c r="U41" s="243">
        <f t="shared" si="35"/>
        <v>30</v>
      </c>
      <c r="V41" s="243">
        <f t="shared" si="43"/>
        <v>0</v>
      </c>
      <c r="W41" s="243">
        <f t="shared" si="44"/>
        <v>0</v>
      </c>
      <c r="X41" s="243">
        <v>0</v>
      </c>
      <c r="Y41" s="243">
        <v>0</v>
      </c>
      <c r="Z41" s="243">
        <v>0</v>
      </c>
      <c r="AA41" s="243">
        <v>0</v>
      </c>
      <c r="AB41" s="243">
        <v>0</v>
      </c>
      <c r="AC41" s="243">
        <v>0</v>
      </c>
      <c r="AD41" s="243">
        <v>0</v>
      </c>
      <c r="AE41" s="243"/>
      <c r="AF41" s="243"/>
      <c r="AG41" s="243"/>
      <c r="AH41" s="635">
        <f>VLOOKUP(EG_SOLARPV_max[[#This Row],[SubGeography2]],'MaxCapacity-Input'!$G$65:$L$90,5,FALSE)</f>
        <v>0</v>
      </c>
      <c r="AI41" s="77">
        <f>SUMIFS('Electricity Potential'!$G$5:$G$190,'Electricity Potential'!$C$5:$C$190,'PV&amp;WIND'!S41,'Electricity Potential'!$D$5:$D$190,'PV&amp;WIND'!AI$37)</f>
        <v>13760</v>
      </c>
      <c r="AJ41" s="420">
        <f t="shared" si="36"/>
        <v>1.8390804597701149E-2</v>
      </c>
      <c r="AK41" s="77" t="str">
        <f>EG_SOLARPV_min[[#This Row],[SubGeography2]]</f>
        <v>AS</v>
      </c>
      <c r="AL41" s="243">
        <f>EG_SOLARPV_min[[#This Row],[2021]]*(1+$AH41)</f>
        <v>1.7600000000000051</v>
      </c>
      <c r="AM41" s="243">
        <f>EG_SOLARPV_min[[#This Row],[2022]]*(1+$AH41)</f>
        <v>30</v>
      </c>
      <c r="AN41" s="243">
        <f>MAX($AJ41*AN$65,(EG_SOLARPV_min[[#This Row],[2023]]*(1+$AH41)))</f>
        <v>137.93103448275861</v>
      </c>
      <c r="AO41" s="243">
        <f>MAX($AJ41*AO$65,(EG_SOLARPV_min[[#This Row],[2024]]*(1+$AH41)))</f>
        <v>183.90804597701148</v>
      </c>
      <c r="AP41" s="243">
        <f t="shared" si="37"/>
        <v>229.88505747126436</v>
      </c>
      <c r="AQ41" s="243">
        <f t="shared" si="37"/>
        <v>275.86206896551721</v>
      </c>
      <c r="AR41" s="243">
        <f t="shared" si="37"/>
        <v>275.86206896551721</v>
      </c>
      <c r="AS41" s="243">
        <f t="shared" si="37"/>
        <v>275.86206896551721</v>
      </c>
      <c r="AT41" s="243">
        <f t="shared" si="37"/>
        <v>275.86206896551721</v>
      </c>
      <c r="AU41" s="243">
        <f t="shared" si="37"/>
        <v>275.86206896551721</v>
      </c>
      <c r="AV41" s="243">
        <f t="shared" si="37"/>
        <v>275.86206896551721</v>
      </c>
      <c r="BH41" s="77" t="b">
        <f>EG_SOLARPV_max[[#This Row],[2022]]&gt;=EG_SOLARPV_min[[#This Row],[2022]]</f>
        <v>1</v>
      </c>
    </row>
    <row r="42" spans="2:60" s="77" customFormat="1" ht="15">
      <c r="B42" s="58" t="str">
        <f t="shared" si="38"/>
        <v>BR</v>
      </c>
      <c r="C42" s="67">
        <f>SUMIF('Source-MNRE'!$A$6:$A$42,$B8,'Source-MNRE'!$L$6:$L$42)</f>
        <v>151.57</v>
      </c>
      <c r="D42" s="68">
        <f>SUMIF('Source-BTI'!$B$6:$B$25,'PV&amp;WIND'!B8,'Source-BTI'!$Q$6:$Q$25)</f>
        <v>106</v>
      </c>
      <c r="E42" s="68">
        <f>SUMIF('Source-BTI'!$B$6:$B$25,'PV&amp;WIND'!B8,'Source-BTI'!$T$6:$T$25)</f>
        <v>2</v>
      </c>
      <c r="F42" s="703">
        <f t="shared" si="39"/>
        <v>2</v>
      </c>
      <c r="G42" s="69">
        <f t="shared" si="40"/>
        <v>151.57</v>
      </c>
      <c r="H42" s="77">
        <f>SUMIF('Source-MNRE'!$AA$6:$AA$42,'PV&amp;WIND'!B42,'Source-MNRE'!$AC$6:$AC$42)</f>
        <v>7.9399999999999977</v>
      </c>
      <c r="J42" s="248"/>
      <c r="K42" s="215">
        <f>SUMIFS('CEA-underConsSOLAR2'!$F$4:$F$64,'CEA-underConsSOLAR2'!$A$4:$A$64,'PV&amp;WIND'!$B42,'CEA-underConsSOLAR2'!$L$4:$L$64,'PV&amp;WIND'!K$38)</f>
        <v>0</v>
      </c>
      <c r="L42" s="215">
        <f>SUMIFS('CEA-underConsSOLAR2'!$F$4:$F$64,'CEA-underConsSOLAR2'!$A$4:$A$64,'PV&amp;WIND'!$B42,'CEA-underConsSOLAR2'!$L$4:$L$64,'PV&amp;WIND'!L$38)</f>
        <v>5</v>
      </c>
      <c r="M42" s="215">
        <f>SUMIFS('CEA-underConsSOLAR2'!$F$4:$F$64,'CEA-underConsSOLAR2'!$A$4:$A$64,'PV&amp;WIND'!$B42,'CEA-underConsSOLAR2'!$L$4:$L$64,'PV&amp;WIND'!M$38)</f>
        <v>0</v>
      </c>
      <c r="N42" s="215">
        <f>SUMIFS('CEA-underConsSOLAR2'!$F$4:$F$64,'CEA-underConsSOLAR2'!$A$4:$A$64,'PV&amp;WIND'!$B42,'CEA-underConsSOLAR2'!$L$4:$L$64,'PV&amp;WIND'!N$38)</f>
        <v>0</v>
      </c>
      <c r="O42" s="251">
        <f t="shared" si="41"/>
        <v>0</v>
      </c>
      <c r="P42" s="251">
        <f t="shared" si="42"/>
        <v>0</v>
      </c>
      <c r="Q42" s="251">
        <f t="shared" si="32"/>
        <v>0</v>
      </c>
      <c r="R42" s="251">
        <f t="shared" si="32"/>
        <v>0</v>
      </c>
      <c r="S42" s="222" t="str">
        <f t="shared" si="33"/>
        <v>BR</v>
      </c>
      <c r="T42" s="243">
        <f t="shared" si="34"/>
        <v>7.9399999999999977</v>
      </c>
      <c r="U42" s="243">
        <f t="shared" si="35"/>
        <v>5</v>
      </c>
      <c r="V42" s="243">
        <f t="shared" si="43"/>
        <v>0</v>
      </c>
      <c r="W42" s="243">
        <f t="shared" si="44"/>
        <v>0</v>
      </c>
      <c r="X42" s="243">
        <v>0</v>
      </c>
      <c r="Y42" s="243">
        <v>0</v>
      </c>
      <c r="Z42" s="243">
        <v>0</v>
      </c>
      <c r="AA42" s="243">
        <v>0</v>
      </c>
      <c r="AB42" s="243">
        <v>0</v>
      </c>
      <c r="AC42" s="243">
        <v>0</v>
      </c>
      <c r="AD42" s="243">
        <v>0</v>
      </c>
      <c r="AE42" s="243"/>
      <c r="AF42" s="243"/>
      <c r="AG42" s="243"/>
      <c r="AH42" s="635">
        <f>VLOOKUP(EG_SOLARPV_max[[#This Row],[SubGeography2]],'MaxCapacity-Input'!$G$65:$L$90,5,FALSE)</f>
        <v>0</v>
      </c>
      <c r="AI42" s="77">
        <f>SUMIFS('Electricity Potential'!$G$5:$G$190,'Electricity Potential'!$C$5:$C$190,'PV&amp;WIND'!S42,'Electricity Potential'!$D$5:$D$190,'PV&amp;WIND'!AI$37)</f>
        <v>11200</v>
      </c>
      <c r="AJ42" s="420">
        <f t="shared" si="36"/>
        <v>1.4969259556268377E-2</v>
      </c>
      <c r="AK42" s="77" t="str">
        <f>EG_SOLARPV_min[[#This Row],[SubGeography2]]</f>
        <v>BR</v>
      </c>
      <c r="AL42" s="243">
        <f>EG_SOLARPV_min[[#This Row],[2021]]*(1+$AH42)</f>
        <v>7.9399999999999977</v>
      </c>
      <c r="AM42" s="243">
        <f>EG_SOLARPV_min[[#This Row],[2022]]*(1+$AH42)</f>
        <v>5</v>
      </c>
      <c r="AN42" s="243">
        <f>MAX($AJ42*AN$65,(EG_SOLARPV_min[[#This Row],[2023]]*(1+$AH42)))</f>
        <v>112.26944667201283</v>
      </c>
      <c r="AO42" s="243">
        <f>MAX($AJ42*AO$65,(EG_SOLARPV_min[[#This Row],[2024]]*(1+$AH42)))</f>
        <v>149.69259556268378</v>
      </c>
      <c r="AP42" s="243">
        <f t="shared" si="37"/>
        <v>187.11574445335472</v>
      </c>
      <c r="AQ42" s="243">
        <f t="shared" si="37"/>
        <v>224.53889334402567</v>
      </c>
      <c r="AR42" s="243">
        <f t="shared" si="37"/>
        <v>224.53889334402567</v>
      </c>
      <c r="AS42" s="243">
        <f t="shared" si="37"/>
        <v>224.53889334402567</v>
      </c>
      <c r="AT42" s="243">
        <f t="shared" si="37"/>
        <v>224.53889334402567</v>
      </c>
      <c r="AU42" s="243">
        <f t="shared" si="37"/>
        <v>224.53889334402567</v>
      </c>
      <c r="AV42" s="243">
        <f t="shared" si="37"/>
        <v>224.53889334402567</v>
      </c>
      <c r="BH42" s="77" t="b">
        <f>EG_SOLARPV_max[[#This Row],[2022]]&gt;=EG_SOLARPV_min[[#This Row],[2022]]</f>
        <v>1</v>
      </c>
    </row>
    <row r="43" spans="2:60" s="77" customFormat="1" ht="15">
      <c r="B43" s="58" t="str">
        <f t="shared" si="38"/>
        <v>CG</v>
      </c>
      <c r="C43" s="67">
        <f>SUMIF('Source-MNRE'!$A$6:$A$42,$B9,'Source-MNRE'!$L$6:$L$42)</f>
        <v>231.35000000000002</v>
      </c>
      <c r="D43" s="68">
        <f>SUMIF('Source-BTI'!$B$6:$B$25,'PV&amp;WIND'!B9,'Source-BTI'!$Q$6:$Q$25)</f>
        <v>219</v>
      </c>
      <c r="E43" s="68">
        <f>SUMIF('Source-BTI'!$B$6:$B$25,'PV&amp;WIND'!B9,'Source-BTI'!$T$6:$T$25)</f>
        <v>0</v>
      </c>
      <c r="F43" s="703">
        <f t="shared" si="39"/>
        <v>0</v>
      </c>
      <c r="G43" s="69">
        <f t="shared" si="40"/>
        <v>231.35000000000002</v>
      </c>
      <c r="H43" s="77">
        <f>SUMIF('Source-MNRE'!$AA$6:$AA$42,'PV&amp;WIND'!B43,'Source-MNRE'!$AC$6:$AC$42)</f>
        <v>21.129999999999967</v>
      </c>
      <c r="J43" s="248"/>
      <c r="K43" s="215">
        <f>SUMIFS('CEA-underConsSOLAR2'!$F$4:$F$64,'CEA-underConsSOLAR2'!$A$4:$A$64,'PV&amp;WIND'!$B43,'CEA-underConsSOLAR2'!$L$4:$L$64,'PV&amp;WIND'!K$38)</f>
        <v>0</v>
      </c>
      <c r="L43" s="215">
        <f>SUMIFS('CEA-underConsSOLAR2'!$F$4:$F$64,'CEA-underConsSOLAR2'!$A$4:$A$64,'PV&amp;WIND'!$B43,'CEA-underConsSOLAR2'!$L$4:$L$64,'PV&amp;WIND'!L$38)</f>
        <v>0</v>
      </c>
      <c r="M43" s="215">
        <f>SUMIFS('CEA-underConsSOLAR2'!$F$4:$F$64,'CEA-underConsSOLAR2'!$A$4:$A$64,'PV&amp;WIND'!$B43,'CEA-underConsSOLAR2'!$L$4:$L$64,'PV&amp;WIND'!M$38)</f>
        <v>0</v>
      </c>
      <c r="N43" s="215">
        <f>SUMIFS('CEA-underConsSOLAR2'!$F$4:$F$64,'CEA-underConsSOLAR2'!$A$4:$A$64,'PV&amp;WIND'!$B43,'CEA-underConsSOLAR2'!$L$4:$L$64,'PV&amp;WIND'!N$38)</f>
        <v>0</v>
      </c>
      <c r="O43" s="251">
        <f t="shared" si="41"/>
        <v>0</v>
      </c>
      <c r="P43" s="251">
        <f t="shared" si="42"/>
        <v>0</v>
      </c>
      <c r="Q43" s="251">
        <f t="shared" si="32"/>
        <v>0</v>
      </c>
      <c r="R43" s="251">
        <f t="shared" si="32"/>
        <v>0</v>
      </c>
      <c r="S43" s="221" t="str">
        <f t="shared" si="33"/>
        <v>CG</v>
      </c>
      <c r="T43" s="243">
        <f t="shared" si="34"/>
        <v>21.129999999999967</v>
      </c>
      <c r="U43" s="243">
        <f t="shared" si="35"/>
        <v>0</v>
      </c>
      <c r="V43" s="243">
        <f t="shared" si="43"/>
        <v>0</v>
      </c>
      <c r="W43" s="243">
        <f t="shared" si="44"/>
        <v>0</v>
      </c>
      <c r="X43" s="243">
        <v>0</v>
      </c>
      <c r="Y43" s="243">
        <v>0</v>
      </c>
      <c r="Z43" s="243">
        <v>0</v>
      </c>
      <c r="AA43" s="243">
        <v>0</v>
      </c>
      <c r="AB43" s="243">
        <v>0</v>
      </c>
      <c r="AC43" s="243">
        <v>0</v>
      </c>
      <c r="AD43" s="243">
        <v>0</v>
      </c>
      <c r="AE43" s="243"/>
      <c r="AF43" s="243"/>
      <c r="AG43" s="243"/>
      <c r="AH43" s="635">
        <f>VLOOKUP(EG_SOLARPV_max[[#This Row],[SubGeography2]],'MaxCapacity-Input'!$G$65:$L$90,5,FALSE)</f>
        <v>0</v>
      </c>
      <c r="AI43" s="77">
        <f>SUMIFS('Electricity Potential'!$G$5:$G$190,'Electricity Potential'!$C$5:$C$190,'PV&amp;WIND'!S43,'Electricity Potential'!$D$5:$D$190,'PV&amp;WIND'!AI$37)</f>
        <v>18270</v>
      </c>
      <c r="AJ43" s="420">
        <f t="shared" si="36"/>
        <v>2.441860465116279E-2</v>
      </c>
      <c r="AK43" s="77" t="str">
        <f>EG_SOLARPV_min[[#This Row],[SubGeography2]]</f>
        <v>CG</v>
      </c>
      <c r="AL43" s="243">
        <f>EG_SOLARPV_min[[#This Row],[2021]]*(1+$AH43)</f>
        <v>21.129999999999967</v>
      </c>
      <c r="AM43" s="243">
        <f>EG_SOLARPV_min[[#This Row],[2022]]*(1+$AH43)</f>
        <v>0</v>
      </c>
      <c r="AN43" s="243">
        <f>MAX($AJ43*AN$65,(EG_SOLARPV_min[[#This Row],[2023]]*(1+$AH43)))</f>
        <v>183.13953488372093</v>
      </c>
      <c r="AO43" s="243">
        <f>MAX($AJ43*AO$65,(EG_SOLARPV_min[[#This Row],[2024]]*(1+$AH43)))</f>
        <v>244.18604651162789</v>
      </c>
      <c r="AP43" s="243">
        <f t="shared" si="37"/>
        <v>305.23255813953489</v>
      </c>
      <c r="AQ43" s="243">
        <f t="shared" si="37"/>
        <v>366.27906976744185</v>
      </c>
      <c r="AR43" s="243">
        <f t="shared" si="37"/>
        <v>366.27906976744185</v>
      </c>
      <c r="AS43" s="243">
        <f t="shared" si="37"/>
        <v>366.27906976744185</v>
      </c>
      <c r="AT43" s="243">
        <f t="shared" si="37"/>
        <v>366.27906976744185</v>
      </c>
      <c r="AU43" s="243">
        <f t="shared" si="37"/>
        <v>366.27906976744185</v>
      </c>
      <c r="AV43" s="243">
        <f t="shared" si="37"/>
        <v>366.27906976744185</v>
      </c>
      <c r="BH43" s="77" t="b">
        <f>EG_SOLARPV_max[[#This Row],[2022]]&gt;=EG_SOLARPV_min[[#This Row],[2022]]</f>
        <v>1</v>
      </c>
    </row>
    <row r="44" spans="2:60" s="77" customFormat="1" ht="15">
      <c r="B44" s="58" t="str">
        <f t="shared" si="38"/>
        <v>GA</v>
      </c>
      <c r="C44" s="67">
        <f>SUMIF('Source-MNRE'!$A$6:$A$42,$B10,'Source-MNRE'!$L$6:$L$42)</f>
        <v>4.78</v>
      </c>
      <c r="D44" s="68">
        <f>SUMIF('Source-BTI'!$B$6:$B$25,'PV&amp;WIND'!B10,'Source-BTI'!$Q$6:$Q$25)</f>
        <v>0</v>
      </c>
      <c r="E44" s="68">
        <f>SUMIF('Source-BTI'!$B$6:$B$25,'PV&amp;WIND'!B10,'Source-BTI'!$T$6:$T$25)</f>
        <v>0</v>
      </c>
      <c r="F44" s="703">
        <f t="shared" si="39"/>
        <v>0</v>
      </c>
      <c r="G44" s="69">
        <f t="shared" si="40"/>
        <v>4.78</v>
      </c>
      <c r="H44" s="77">
        <f>SUMIF('Source-MNRE'!$AA$6:$AA$42,'PV&amp;WIND'!B44,'Source-MNRE'!$AC$6:$AC$42)</f>
        <v>2.66</v>
      </c>
      <c r="J44" s="248"/>
      <c r="K44" s="215">
        <f>SUMIFS('CEA-underConsSOLAR2'!$F$4:$F$64,'CEA-underConsSOLAR2'!$A$4:$A$64,'PV&amp;WIND'!$B44,'CEA-underConsSOLAR2'!$L$4:$L$64,'PV&amp;WIND'!K$38)</f>
        <v>0</v>
      </c>
      <c r="L44" s="215">
        <f>SUMIFS('CEA-underConsSOLAR2'!$F$4:$F$64,'CEA-underConsSOLAR2'!$A$4:$A$64,'PV&amp;WIND'!$B44,'CEA-underConsSOLAR2'!$L$4:$L$64,'PV&amp;WIND'!L$38)</f>
        <v>0</v>
      </c>
      <c r="M44" s="215">
        <f>SUMIFS('CEA-underConsSOLAR2'!$F$4:$F$64,'CEA-underConsSOLAR2'!$A$4:$A$64,'PV&amp;WIND'!$B44,'CEA-underConsSOLAR2'!$L$4:$L$64,'PV&amp;WIND'!M$38)</f>
        <v>0</v>
      </c>
      <c r="N44" s="215">
        <f>SUMIFS('CEA-underConsSOLAR2'!$F$4:$F$64,'CEA-underConsSOLAR2'!$A$4:$A$64,'PV&amp;WIND'!$B44,'CEA-underConsSOLAR2'!$L$4:$L$64,'PV&amp;WIND'!N$38)</f>
        <v>0</v>
      </c>
      <c r="O44" s="251">
        <f t="shared" si="41"/>
        <v>0</v>
      </c>
      <c r="P44" s="251">
        <f t="shared" si="42"/>
        <v>0</v>
      </c>
      <c r="Q44" s="251">
        <f t="shared" si="32"/>
        <v>0</v>
      </c>
      <c r="R44" s="251">
        <f t="shared" si="32"/>
        <v>0</v>
      </c>
      <c r="S44" s="222" t="str">
        <f t="shared" si="33"/>
        <v>GA</v>
      </c>
      <c r="T44" s="243">
        <f t="shared" si="34"/>
        <v>2.66</v>
      </c>
      <c r="U44" s="243">
        <f t="shared" si="35"/>
        <v>0</v>
      </c>
      <c r="V44" s="243">
        <f t="shared" si="43"/>
        <v>0</v>
      </c>
      <c r="W44" s="243">
        <f t="shared" si="44"/>
        <v>0</v>
      </c>
      <c r="X44" s="243">
        <v>0</v>
      </c>
      <c r="Y44" s="243">
        <v>0</v>
      </c>
      <c r="Z44" s="243">
        <v>0</v>
      </c>
      <c r="AA44" s="243">
        <v>0</v>
      </c>
      <c r="AB44" s="243">
        <v>0</v>
      </c>
      <c r="AC44" s="243">
        <v>0</v>
      </c>
      <c r="AD44" s="243">
        <v>0</v>
      </c>
      <c r="AE44" s="243"/>
      <c r="AF44" s="243"/>
      <c r="AG44" s="243"/>
      <c r="AH44" s="635">
        <f>VLOOKUP(EG_SOLARPV_max[[#This Row],[SubGeography2]],'MaxCapacity-Input'!$G$65:$L$90,5,FALSE)</f>
        <v>0</v>
      </c>
      <c r="AI44" s="77">
        <f>SUMIFS('Electricity Potential'!$G$5:$G$190,'Electricity Potential'!$C$5:$C$190,'PV&amp;WIND'!S44,'Electricity Potential'!$D$5:$D$190,'PV&amp;WIND'!AI$37)</f>
        <v>880</v>
      </c>
      <c r="AJ44" s="420">
        <f t="shared" si="36"/>
        <v>1.1761561079925154E-3</v>
      </c>
      <c r="AK44" s="77" t="str">
        <f>EG_SOLARPV_min[[#This Row],[SubGeography2]]</f>
        <v>GA</v>
      </c>
      <c r="AL44" s="243">
        <f>EG_SOLARPV_min[[#This Row],[2021]]*(1+$AH44)</f>
        <v>2.66</v>
      </c>
      <c r="AM44" s="243">
        <f>EG_SOLARPV_min[[#This Row],[2022]]*(1+$AH44)</f>
        <v>0</v>
      </c>
      <c r="AN44" s="243">
        <f>MAX($AJ44*AN$65,(EG_SOLARPV_min[[#This Row],[2023]]*(1+$AH44)))</f>
        <v>8.8211708099438653</v>
      </c>
      <c r="AO44" s="243">
        <f>MAX($AJ44*AO$65,(EG_SOLARPV_min[[#This Row],[2024]]*(1+$AH44)))</f>
        <v>11.761561079925153</v>
      </c>
      <c r="AP44" s="243">
        <f t="shared" si="37"/>
        <v>14.701951349906443</v>
      </c>
      <c r="AQ44" s="243">
        <f t="shared" si="37"/>
        <v>17.642341619887731</v>
      </c>
      <c r="AR44" s="243">
        <f t="shared" si="37"/>
        <v>17.642341619887731</v>
      </c>
      <c r="AS44" s="243">
        <f t="shared" si="37"/>
        <v>17.642341619887731</v>
      </c>
      <c r="AT44" s="243">
        <f t="shared" si="37"/>
        <v>17.642341619887731</v>
      </c>
      <c r="AU44" s="243">
        <f t="shared" si="37"/>
        <v>17.642341619887731</v>
      </c>
      <c r="AV44" s="243">
        <f t="shared" si="37"/>
        <v>17.642341619887731</v>
      </c>
      <c r="BH44" s="77" t="b">
        <f>EG_SOLARPV_max[[#This Row],[2022]]&gt;=EG_SOLARPV_min[[#This Row],[2022]]</f>
        <v>1</v>
      </c>
    </row>
    <row r="45" spans="2:60" s="77" customFormat="1" ht="15">
      <c r="B45" s="58" t="str">
        <f t="shared" si="38"/>
        <v>GJ</v>
      </c>
      <c r="C45" s="67">
        <f>SUMIF('Source-MNRE'!$A$6:$A$42,$B11,'Source-MNRE'!$L$6:$L$42)</f>
        <v>2948.37</v>
      </c>
      <c r="D45" s="68">
        <f>SUMIF('Source-BTI'!$B$6:$B$25,'PV&amp;WIND'!B11,'Source-BTI'!$Q$6:$Q$25)</f>
        <v>2489</v>
      </c>
      <c r="E45" s="68">
        <f>SUMIF('Source-BTI'!$B$6:$B$25,'PV&amp;WIND'!B11,'Source-BTI'!$T$6:$T$25)</f>
        <v>3356</v>
      </c>
      <c r="F45" s="703">
        <f t="shared" si="39"/>
        <v>3356</v>
      </c>
      <c r="G45" s="69">
        <f t="shared" si="40"/>
        <v>2948.37</v>
      </c>
      <c r="H45" s="77">
        <f>SUMIF('Source-MNRE'!$AA$6:$AA$42,'PV&amp;WIND'!B45,'Source-MNRE'!$AC$6:$AC$42)</f>
        <v>1119.9300000000003</v>
      </c>
      <c r="J45" s="248"/>
      <c r="K45" s="215">
        <f>SUMIFS('CEA-underConsSOLAR2'!$F$4:$F$64,'CEA-underConsSOLAR2'!$A$4:$A$64,'PV&amp;WIND'!$B45,'CEA-underConsSOLAR2'!$L$4:$L$64,'PV&amp;WIND'!K$38)</f>
        <v>0</v>
      </c>
      <c r="L45" s="215">
        <f>SUMIFS('CEA-underConsSOLAR2'!$F$4:$F$64,'CEA-underConsSOLAR2'!$A$4:$A$64,'PV&amp;WIND'!$B45,'CEA-underConsSOLAR2'!$L$4:$L$64,'PV&amp;WIND'!L$38)</f>
        <v>0</v>
      </c>
      <c r="M45" s="215">
        <f>SUMIFS('CEA-underConsSOLAR2'!$F$4:$F$64,'CEA-underConsSOLAR2'!$A$4:$A$64,'PV&amp;WIND'!$B45,'CEA-underConsSOLAR2'!$L$4:$L$64,'PV&amp;WIND'!M$38)</f>
        <v>0</v>
      </c>
      <c r="N45" s="215">
        <f>SUMIFS('CEA-underConsSOLAR2'!$F$4:$F$64,'CEA-underConsSOLAR2'!$A$4:$A$64,'PV&amp;WIND'!$B45,'CEA-underConsSOLAR2'!$L$4:$L$64,'PV&amp;WIND'!N$38)</f>
        <v>0</v>
      </c>
      <c r="O45" s="251">
        <f t="shared" si="41"/>
        <v>3356</v>
      </c>
      <c r="P45" s="251">
        <f t="shared" si="42"/>
        <v>671.2</v>
      </c>
      <c r="Q45" s="251">
        <f t="shared" si="32"/>
        <v>1006.8</v>
      </c>
      <c r="R45" s="251">
        <f t="shared" si="32"/>
        <v>1678</v>
      </c>
      <c r="S45" s="221" t="str">
        <f t="shared" si="33"/>
        <v>GJ</v>
      </c>
      <c r="T45" s="243">
        <f t="shared" si="34"/>
        <v>1119.9300000000003</v>
      </c>
      <c r="U45" s="243">
        <f t="shared" si="35"/>
        <v>671.2</v>
      </c>
      <c r="V45" s="243">
        <f t="shared" si="43"/>
        <v>1006.8</v>
      </c>
      <c r="W45" s="243">
        <f t="shared" si="44"/>
        <v>1678</v>
      </c>
      <c r="X45" s="243">
        <v>0</v>
      </c>
      <c r="Y45" s="243">
        <v>0</v>
      </c>
      <c r="Z45" s="243">
        <v>0</v>
      </c>
      <c r="AA45" s="243">
        <v>0</v>
      </c>
      <c r="AB45" s="243">
        <v>0</v>
      </c>
      <c r="AC45" s="243">
        <v>0</v>
      </c>
      <c r="AD45" s="243">
        <v>0</v>
      </c>
      <c r="AE45" s="243"/>
      <c r="AF45" s="243"/>
      <c r="AG45" s="243"/>
      <c r="AH45" s="635">
        <f>VLOOKUP(EG_SOLARPV_max[[#This Row],[SubGeography2]],'MaxCapacity-Input'!$G$65:$L$90,5,FALSE)</f>
        <v>1.7482152139091326E-2</v>
      </c>
      <c r="AI45" s="77">
        <f>SUMIFS('Electricity Potential'!$G$5:$G$190,'Electricity Potential'!$C$5:$C$190,'PV&amp;WIND'!S45,'Electricity Potential'!$D$5:$D$190,'PV&amp;WIND'!AI$37)</f>
        <v>35770</v>
      </c>
      <c r="AJ45" s="420">
        <f t="shared" si="36"/>
        <v>4.7808072707832133E-2</v>
      </c>
      <c r="AK45" s="77" t="str">
        <f>EG_SOLARPV_min[[#This Row],[SubGeography2]]</f>
        <v>GJ</v>
      </c>
      <c r="AL45" s="243">
        <f>EG_SOLARPV_min[[#This Row],[2021]]*(1+$AH45)</f>
        <v>1139.5087866451329</v>
      </c>
      <c r="AM45" s="243">
        <f>EG_SOLARPV_min[[#This Row],[2022]]*(1+$AH45)</f>
        <v>682.93402051575811</v>
      </c>
      <c r="AN45" s="243">
        <f>MAX($AJ45*AN$65,(EG_SOLARPV_min[[#This Row],[2023]]*(1+$AH45)))</f>
        <v>1024.4010307736371</v>
      </c>
      <c r="AO45" s="243">
        <f>MAX($AJ45*AO$65,(EG_SOLARPV_min[[#This Row],[2024]]*(1+$AH45)))</f>
        <v>1707.3350512893953</v>
      </c>
      <c r="AP45" s="243">
        <f t="shared" si="37"/>
        <v>597.60090884790168</v>
      </c>
      <c r="AQ45" s="243">
        <f t="shared" si="37"/>
        <v>717.12109061748197</v>
      </c>
      <c r="AR45" s="243">
        <f t="shared" si="37"/>
        <v>717.12109061748197</v>
      </c>
      <c r="AS45" s="243">
        <f t="shared" si="37"/>
        <v>717.12109061748197</v>
      </c>
      <c r="AT45" s="243">
        <f t="shared" si="37"/>
        <v>717.12109061748197</v>
      </c>
      <c r="AU45" s="243">
        <f t="shared" si="37"/>
        <v>717.12109061748197</v>
      </c>
      <c r="AV45" s="243">
        <f t="shared" si="37"/>
        <v>717.12109061748197</v>
      </c>
      <c r="BH45" s="77" t="b">
        <f>EG_SOLARPV_max[[#This Row],[2022]]&gt;=EG_SOLARPV_min[[#This Row],[2022]]</f>
        <v>1</v>
      </c>
    </row>
    <row r="46" spans="2:60" s="77" customFormat="1" ht="15">
      <c r="B46" s="58" t="str">
        <f t="shared" si="38"/>
        <v>HR</v>
      </c>
      <c r="C46" s="67">
        <f>SUMIF('Source-MNRE'!$A$6:$A$42,$B12,'Source-MNRE'!$L$6:$L$42)</f>
        <v>252.14000000000001</v>
      </c>
      <c r="D46" s="68">
        <f>SUMIF('Source-BTI'!$B$6:$B$25,'PV&amp;WIND'!B12,'Source-BTI'!$Q$6:$Q$25)</f>
        <v>139</v>
      </c>
      <c r="E46" s="68">
        <f>SUMIF('Source-BTI'!$B$6:$B$25,'PV&amp;WIND'!B12,'Source-BTI'!$T$6:$T$25)</f>
        <v>351</v>
      </c>
      <c r="F46" s="703">
        <f t="shared" si="39"/>
        <v>351</v>
      </c>
      <c r="G46" s="69">
        <f t="shared" si="40"/>
        <v>252.14000000000001</v>
      </c>
      <c r="H46" s="77">
        <f>SUMIF('Source-MNRE'!$AA$6:$AA$42,'PV&amp;WIND'!B46,'Source-MNRE'!$AC$6:$AC$42)</f>
        <v>155.68999999999997</v>
      </c>
      <c r="J46" s="248"/>
      <c r="K46" s="215">
        <f>SUMIFS('CEA-underConsSOLAR2'!$F$4:$F$64,'CEA-underConsSOLAR2'!$A$4:$A$64,'PV&amp;WIND'!$B46,'CEA-underConsSOLAR2'!$L$4:$L$64,'PV&amp;WIND'!K$38)</f>
        <v>0</v>
      </c>
      <c r="L46" s="215">
        <f>SUMIFS('CEA-underConsSOLAR2'!$F$4:$F$64,'CEA-underConsSOLAR2'!$A$4:$A$64,'PV&amp;WIND'!$B46,'CEA-underConsSOLAR2'!$L$4:$L$64,'PV&amp;WIND'!L$38)</f>
        <v>0</v>
      </c>
      <c r="M46" s="215">
        <f>SUMIFS('CEA-underConsSOLAR2'!$F$4:$F$64,'CEA-underConsSOLAR2'!$A$4:$A$64,'PV&amp;WIND'!$B46,'CEA-underConsSOLAR2'!$L$4:$L$64,'PV&amp;WIND'!M$38)</f>
        <v>0</v>
      </c>
      <c r="N46" s="215">
        <f>SUMIFS('CEA-underConsSOLAR2'!$F$4:$F$64,'CEA-underConsSOLAR2'!$A$4:$A$64,'PV&amp;WIND'!$B46,'CEA-underConsSOLAR2'!$L$4:$L$64,'PV&amp;WIND'!N$38)</f>
        <v>0</v>
      </c>
      <c r="O46" s="251">
        <f t="shared" si="41"/>
        <v>351</v>
      </c>
      <c r="P46" s="251">
        <f t="shared" si="42"/>
        <v>70.2</v>
      </c>
      <c r="Q46" s="251">
        <f t="shared" si="32"/>
        <v>105.3</v>
      </c>
      <c r="R46" s="251">
        <f t="shared" si="32"/>
        <v>175.5</v>
      </c>
      <c r="S46" s="222" t="str">
        <f t="shared" si="33"/>
        <v>HR</v>
      </c>
      <c r="T46" s="243">
        <f t="shared" si="34"/>
        <v>155.68999999999997</v>
      </c>
      <c r="U46" s="243">
        <f t="shared" si="35"/>
        <v>70.2</v>
      </c>
      <c r="V46" s="243">
        <f t="shared" si="43"/>
        <v>105.3</v>
      </c>
      <c r="W46" s="243">
        <f t="shared" si="44"/>
        <v>175.5</v>
      </c>
      <c r="X46" s="243">
        <v>0</v>
      </c>
      <c r="Y46" s="243">
        <v>0</v>
      </c>
      <c r="Z46" s="243">
        <v>0</v>
      </c>
      <c r="AA46" s="243">
        <v>0</v>
      </c>
      <c r="AB46" s="243">
        <v>0</v>
      </c>
      <c r="AC46" s="243">
        <v>0</v>
      </c>
      <c r="AD46" s="243">
        <v>0</v>
      </c>
      <c r="AE46" s="243"/>
      <c r="AF46" s="243"/>
      <c r="AG46" s="243"/>
      <c r="AH46" s="635">
        <f>VLOOKUP(EG_SOLARPV_max[[#This Row],[SubGeography2]],'MaxCapacity-Input'!$G$65:$L$90,5,FALSE)</f>
        <v>0</v>
      </c>
      <c r="AI46" s="77">
        <f>SUMIFS('Electricity Potential'!$G$5:$G$190,'Electricity Potential'!$C$5:$C$190,'PV&amp;WIND'!S46,'Electricity Potential'!$D$5:$D$190,'PV&amp;WIND'!AI$37)</f>
        <v>4560</v>
      </c>
      <c r="AJ46" s="420">
        <f t="shared" si="36"/>
        <v>6.094627105052125E-3</v>
      </c>
      <c r="AK46" s="77" t="str">
        <f>EG_SOLARPV_min[[#This Row],[SubGeography2]]</f>
        <v>HR</v>
      </c>
      <c r="AL46" s="243">
        <f>EG_SOLARPV_min[[#This Row],[2021]]*(1+$AH46)</f>
        <v>155.68999999999997</v>
      </c>
      <c r="AM46" s="243">
        <f>EG_SOLARPV_min[[#This Row],[2022]]*(1+$AH46)</f>
        <v>70.2</v>
      </c>
      <c r="AN46" s="243">
        <f>MAX($AJ46*AN$65,(EG_SOLARPV_min[[#This Row],[2023]]*(1+$AH46)))</f>
        <v>105.3</v>
      </c>
      <c r="AO46" s="243">
        <f>MAX($AJ46*AO$65,(EG_SOLARPV_min[[#This Row],[2024]]*(1+$AH46)))</f>
        <v>175.5</v>
      </c>
      <c r="AP46" s="243">
        <f t="shared" si="37"/>
        <v>76.182838813151562</v>
      </c>
      <c r="AQ46" s="243">
        <f t="shared" si="37"/>
        <v>91.419406575781878</v>
      </c>
      <c r="AR46" s="243">
        <f t="shared" si="37"/>
        <v>91.419406575781878</v>
      </c>
      <c r="AS46" s="243">
        <f t="shared" si="37"/>
        <v>91.419406575781878</v>
      </c>
      <c r="AT46" s="243">
        <f t="shared" si="37"/>
        <v>91.419406575781878</v>
      </c>
      <c r="AU46" s="243">
        <f t="shared" si="37"/>
        <v>91.419406575781878</v>
      </c>
      <c r="AV46" s="243">
        <f t="shared" si="37"/>
        <v>91.419406575781878</v>
      </c>
      <c r="BH46" s="77" t="b">
        <f>EG_SOLARPV_max[[#This Row],[2022]]&gt;=EG_SOLARPV_min[[#This Row],[2022]]</f>
        <v>1</v>
      </c>
    </row>
    <row r="47" spans="2:60" s="77" customFormat="1" ht="15">
      <c r="B47" s="58" t="str">
        <f t="shared" si="38"/>
        <v>HP</v>
      </c>
      <c r="C47" s="67">
        <f>SUMIF('Source-MNRE'!$A$6:$A$42,$B13,'Source-MNRE'!$L$6:$L$42)</f>
        <v>32.93</v>
      </c>
      <c r="D47" s="68">
        <f>SUMIF('Source-BTI'!$B$6:$B$25,'PV&amp;WIND'!B13,'Source-BTI'!$Q$6:$Q$25)</f>
        <v>0</v>
      </c>
      <c r="E47" s="68">
        <f>SUMIF('Source-BTI'!$B$6:$B$25,'PV&amp;WIND'!B13,'Source-BTI'!$T$6:$T$25)</f>
        <v>0</v>
      </c>
      <c r="F47" s="703">
        <f t="shared" si="39"/>
        <v>0</v>
      </c>
      <c r="G47" s="69">
        <f t="shared" si="40"/>
        <v>32.93</v>
      </c>
      <c r="H47" s="77">
        <f>SUMIF('Source-MNRE'!$AA$6:$AA$42,'PV&amp;WIND'!B47,'Source-MNRE'!$AC$6:$AC$42)</f>
        <v>9.8000000000000043</v>
      </c>
      <c r="J47" s="248"/>
      <c r="K47" s="215">
        <f>SUMIFS('CEA-underConsSOLAR2'!$F$4:$F$64,'CEA-underConsSOLAR2'!$A$4:$A$64,'PV&amp;WIND'!$B47,'CEA-underConsSOLAR2'!$L$4:$L$64,'PV&amp;WIND'!K$38)</f>
        <v>0</v>
      </c>
      <c r="L47" s="215">
        <f>SUMIFS('CEA-underConsSOLAR2'!$F$4:$F$64,'CEA-underConsSOLAR2'!$A$4:$A$64,'PV&amp;WIND'!$B47,'CEA-underConsSOLAR2'!$L$4:$L$64,'PV&amp;WIND'!L$38)</f>
        <v>0</v>
      </c>
      <c r="M47" s="215">
        <f>SUMIFS('CEA-underConsSOLAR2'!$F$4:$F$64,'CEA-underConsSOLAR2'!$A$4:$A$64,'PV&amp;WIND'!$B47,'CEA-underConsSOLAR2'!$L$4:$L$64,'PV&amp;WIND'!M$38)</f>
        <v>0</v>
      </c>
      <c r="N47" s="215">
        <f>SUMIFS('CEA-underConsSOLAR2'!$F$4:$F$64,'CEA-underConsSOLAR2'!$A$4:$A$64,'PV&amp;WIND'!$B47,'CEA-underConsSOLAR2'!$L$4:$L$64,'PV&amp;WIND'!N$38)</f>
        <v>0</v>
      </c>
      <c r="O47" s="251">
        <f t="shared" si="41"/>
        <v>0</v>
      </c>
      <c r="P47" s="251">
        <f t="shared" si="42"/>
        <v>0</v>
      </c>
      <c r="Q47" s="251">
        <f t="shared" si="32"/>
        <v>0</v>
      </c>
      <c r="R47" s="251">
        <f t="shared" si="32"/>
        <v>0</v>
      </c>
      <c r="S47" s="221" t="str">
        <f t="shared" si="33"/>
        <v>HP</v>
      </c>
      <c r="T47" s="243">
        <f t="shared" si="34"/>
        <v>9.8000000000000043</v>
      </c>
      <c r="U47" s="243">
        <f t="shared" si="35"/>
        <v>0</v>
      </c>
      <c r="V47" s="243">
        <f t="shared" si="43"/>
        <v>0</v>
      </c>
      <c r="W47" s="243">
        <f t="shared" si="44"/>
        <v>0</v>
      </c>
      <c r="X47" s="243">
        <v>0</v>
      </c>
      <c r="Y47" s="243">
        <v>0</v>
      </c>
      <c r="Z47" s="243">
        <v>0</v>
      </c>
      <c r="AA47" s="243">
        <v>0</v>
      </c>
      <c r="AB47" s="243">
        <v>0</v>
      </c>
      <c r="AC47" s="243">
        <v>0</v>
      </c>
      <c r="AD47" s="243">
        <v>0</v>
      </c>
      <c r="AE47" s="243"/>
      <c r="AF47" s="243"/>
      <c r="AG47" s="243"/>
      <c r="AH47" s="635">
        <f>VLOOKUP(EG_SOLARPV_max[[#This Row],[SubGeography2]],'MaxCapacity-Input'!$G$65:$L$90,5,FALSE)</f>
        <v>0</v>
      </c>
      <c r="AI47" s="77">
        <f>SUMIFS('Electricity Potential'!$G$5:$G$190,'Electricity Potential'!$C$5:$C$190,'PV&amp;WIND'!S47,'Electricity Potential'!$D$5:$D$190,'PV&amp;WIND'!AI$37)</f>
        <v>33840</v>
      </c>
      <c r="AJ47" s="420">
        <f t="shared" si="36"/>
        <v>4.5228548516439454E-2</v>
      </c>
      <c r="AK47" s="77" t="str">
        <f>EG_SOLARPV_min[[#This Row],[SubGeography2]]</f>
        <v>HP</v>
      </c>
      <c r="AL47" s="243">
        <f>EG_SOLARPV_min[[#This Row],[2021]]*(1+$AH47)</f>
        <v>9.8000000000000043</v>
      </c>
      <c r="AM47" s="243">
        <f>EG_SOLARPV_min[[#This Row],[2022]]*(1+$AH47)</f>
        <v>0</v>
      </c>
      <c r="AN47" s="243">
        <f>MAX($AJ47*AN$65,(EG_SOLARPV_min[[#This Row],[2023]]*(1+$AH47)))</f>
        <v>339.2141138732959</v>
      </c>
      <c r="AO47" s="243">
        <f>MAX($AJ47*AO$65,(EG_SOLARPV_min[[#This Row],[2024]]*(1+$AH47)))</f>
        <v>452.28548516439452</v>
      </c>
      <c r="AP47" s="243">
        <f t="shared" si="37"/>
        <v>565.35685645549313</v>
      </c>
      <c r="AQ47" s="243">
        <f t="shared" si="37"/>
        <v>678.4282277465918</v>
      </c>
      <c r="AR47" s="243">
        <f t="shared" si="37"/>
        <v>678.4282277465918</v>
      </c>
      <c r="AS47" s="243">
        <f t="shared" si="37"/>
        <v>678.4282277465918</v>
      </c>
      <c r="AT47" s="243">
        <f t="shared" si="37"/>
        <v>678.4282277465918</v>
      </c>
      <c r="AU47" s="243">
        <f t="shared" si="37"/>
        <v>678.4282277465918</v>
      </c>
      <c r="AV47" s="243">
        <f t="shared" si="37"/>
        <v>678.4282277465918</v>
      </c>
      <c r="BH47" s="77" t="b">
        <f>EG_SOLARPV_max[[#This Row],[2022]]&gt;=EG_SOLARPV_min[[#This Row],[2022]]</f>
        <v>1</v>
      </c>
    </row>
    <row r="48" spans="2:60" s="77" customFormat="1" ht="15">
      <c r="B48" s="58" t="str">
        <f t="shared" si="38"/>
        <v>JK</v>
      </c>
      <c r="C48" s="67">
        <f>SUMIF('Source-MNRE'!$A$6:$A$42,$B14,'Source-MNRE'!$L$6:$L$42)</f>
        <v>19.3</v>
      </c>
      <c r="D48" s="68">
        <f>SUMIF('Source-BTI'!$B$6:$B$25,'PV&amp;WIND'!B14,'Source-BTI'!$Q$6:$Q$25)</f>
        <v>0</v>
      </c>
      <c r="E48" s="68">
        <f>SUMIF('Source-BTI'!$B$6:$B$25,'PV&amp;WIND'!B14,'Source-BTI'!$T$6:$T$25)</f>
        <v>0</v>
      </c>
      <c r="F48" s="703">
        <f t="shared" si="39"/>
        <v>0</v>
      </c>
      <c r="G48" s="69">
        <f t="shared" si="40"/>
        <v>19.3</v>
      </c>
      <c r="H48" s="77">
        <f>SUMIF('Source-MNRE'!$AA$6:$AA$42,'PV&amp;WIND'!B48,'Source-MNRE'!$AC$6:$AC$42)</f>
        <v>1.4299999999999997</v>
      </c>
      <c r="J48" s="248"/>
      <c r="K48" s="215">
        <f>SUMIFS('CEA-underConsSOLAR2'!$F$4:$F$64,'CEA-underConsSOLAR2'!$A$4:$A$64,'PV&amp;WIND'!$B48,'CEA-underConsSOLAR2'!$L$4:$L$64,'PV&amp;WIND'!K$38)</f>
        <v>0</v>
      </c>
      <c r="L48" s="215">
        <f>SUMIFS('CEA-underConsSOLAR2'!$F$4:$F$64,'CEA-underConsSOLAR2'!$A$4:$A$64,'PV&amp;WIND'!$B48,'CEA-underConsSOLAR2'!$L$4:$L$64,'PV&amp;WIND'!L$38)</f>
        <v>0</v>
      </c>
      <c r="M48" s="215">
        <f>SUMIFS('CEA-underConsSOLAR2'!$F$4:$F$64,'CEA-underConsSOLAR2'!$A$4:$A$64,'PV&amp;WIND'!$B48,'CEA-underConsSOLAR2'!$L$4:$L$64,'PV&amp;WIND'!M$38)</f>
        <v>0</v>
      </c>
      <c r="N48" s="215">
        <f>SUMIFS('CEA-underConsSOLAR2'!$F$4:$F$64,'CEA-underConsSOLAR2'!$A$4:$A$64,'PV&amp;WIND'!$B48,'CEA-underConsSOLAR2'!$L$4:$L$64,'PV&amp;WIND'!N$38)</f>
        <v>0</v>
      </c>
      <c r="O48" s="251">
        <f t="shared" si="41"/>
        <v>0</v>
      </c>
      <c r="P48" s="251">
        <f t="shared" si="42"/>
        <v>0</v>
      </c>
      <c r="Q48" s="251">
        <f t="shared" si="32"/>
        <v>0</v>
      </c>
      <c r="R48" s="251">
        <f t="shared" si="32"/>
        <v>0</v>
      </c>
      <c r="S48" s="222" t="str">
        <f t="shared" si="33"/>
        <v>JK</v>
      </c>
      <c r="T48" s="243">
        <f t="shared" si="34"/>
        <v>1.4299999999999997</v>
      </c>
      <c r="U48" s="243">
        <f t="shared" si="35"/>
        <v>0</v>
      </c>
      <c r="V48" s="243">
        <f t="shared" si="43"/>
        <v>0</v>
      </c>
      <c r="W48" s="243">
        <f t="shared" si="44"/>
        <v>0</v>
      </c>
      <c r="X48" s="243">
        <v>0</v>
      </c>
      <c r="Y48" s="243">
        <v>0</v>
      </c>
      <c r="Z48" s="243">
        <v>0</v>
      </c>
      <c r="AA48" s="243">
        <v>0</v>
      </c>
      <c r="AB48" s="243">
        <v>0</v>
      </c>
      <c r="AC48" s="243">
        <v>0</v>
      </c>
      <c r="AD48" s="243">
        <v>0</v>
      </c>
      <c r="AE48" s="243"/>
      <c r="AF48" s="243"/>
      <c r="AG48" s="243"/>
      <c r="AH48" s="635">
        <f>VLOOKUP(EG_SOLARPV_max[[#This Row],[SubGeography2]],'MaxCapacity-Input'!$G$65:$L$90,5,FALSE)</f>
        <v>0</v>
      </c>
      <c r="AI48" s="77">
        <f>SUMIFS('Electricity Potential'!$G$5:$G$190,'Electricity Potential'!$C$5:$C$190,'PV&amp;WIND'!S48,'Electricity Potential'!$D$5:$D$190,'PV&amp;WIND'!AI$37)</f>
        <v>111050</v>
      </c>
      <c r="AJ48" s="420">
        <f t="shared" si="36"/>
        <v>0.14842288158246458</v>
      </c>
      <c r="AK48" s="77" t="str">
        <f>EG_SOLARPV_min[[#This Row],[SubGeography2]]</f>
        <v>JK</v>
      </c>
      <c r="AL48" s="243">
        <f>EG_SOLARPV_min[[#This Row],[2021]]*(1+$AH48)</f>
        <v>1.4299999999999997</v>
      </c>
      <c r="AM48" s="243">
        <f>EG_SOLARPV_min[[#This Row],[2022]]*(1+$AH48)</f>
        <v>0</v>
      </c>
      <c r="AN48" s="243">
        <f>MAX($AJ48*AN$65,(EG_SOLARPV_min[[#This Row],[2023]]*(1+$AH48)))</f>
        <v>1113.1716118684844</v>
      </c>
      <c r="AO48" s="243">
        <f>MAX($AJ48*AO$65,(EG_SOLARPV_min[[#This Row],[2024]]*(1+$AH48)))</f>
        <v>1484.2288158246458</v>
      </c>
      <c r="AP48" s="243">
        <f t="shared" si="37"/>
        <v>1855.2860197808072</v>
      </c>
      <c r="AQ48" s="243">
        <f t="shared" si="37"/>
        <v>2226.3432237369689</v>
      </c>
      <c r="AR48" s="243">
        <f t="shared" si="37"/>
        <v>2226.3432237369689</v>
      </c>
      <c r="AS48" s="243">
        <f t="shared" si="37"/>
        <v>2226.3432237369689</v>
      </c>
      <c r="AT48" s="243">
        <f t="shared" si="37"/>
        <v>2226.3432237369689</v>
      </c>
      <c r="AU48" s="243">
        <f t="shared" si="37"/>
        <v>2226.3432237369689</v>
      </c>
      <c r="AV48" s="243">
        <f t="shared" si="37"/>
        <v>2226.3432237369689</v>
      </c>
      <c r="BH48" s="77" t="b">
        <f>EG_SOLARPV_max[[#This Row],[2022]]&gt;=EG_SOLARPV_min[[#This Row],[2022]]</f>
        <v>1</v>
      </c>
    </row>
    <row r="49" spans="2:60" s="77" customFormat="1" ht="15">
      <c r="B49" s="58" t="str">
        <f t="shared" si="38"/>
        <v>JH</v>
      </c>
      <c r="C49" s="67">
        <f>SUMIF('Source-MNRE'!$A$6:$A$42,$B15,'Source-MNRE'!$L$6:$L$42)</f>
        <v>38.400000000000006</v>
      </c>
      <c r="D49" s="68">
        <f>SUMIF('Source-BTI'!$B$6:$B$25,'PV&amp;WIND'!B15,'Source-BTI'!$Q$6:$Q$25)</f>
        <v>24</v>
      </c>
      <c r="E49" s="68">
        <f>SUMIF('Source-BTI'!$B$6:$B$25,'PV&amp;WIND'!B15,'Source-BTI'!$T$6:$T$25)</f>
        <v>50</v>
      </c>
      <c r="F49" s="703">
        <f t="shared" si="39"/>
        <v>50</v>
      </c>
      <c r="G49" s="69">
        <f t="shared" si="40"/>
        <v>38.400000000000006</v>
      </c>
      <c r="H49" s="77">
        <f>SUMIF('Source-MNRE'!$AA$6:$AA$42,'PV&amp;WIND'!B49,'Source-MNRE'!$AC$6:$AC$42)</f>
        <v>10.22999999999999</v>
      </c>
      <c r="J49" s="248"/>
      <c r="K49" s="215">
        <f>SUMIFS('CEA-underConsSOLAR2'!$F$4:$F$64,'CEA-underConsSOLAR2'!$A$4:$A$64,'PV&amp;WIND'!$B49,'CEA-underConsSOLAR2'!$L$4:$L$64,'PV&amp;WIND'!K$38)</f>
        <v>0</v>
      </c>
      <c r="L49" s="215">
        <f>SUMIFS('CEA-underConsSOLAR2'!$F$4:$F$64,'CEA-underConsSOLAR2'!$A$4:$A$64,'PV&amp;WIND'!$B49,'CEA-underConsSOLAR2'!$L$4:$L$64,'PV&amp;WIND'!L$38)</f>
        <v>0</v>
      </c>
      <c r="M49" s="215">
        <f>SUMIFS('CEA-underConsSOLAR2'!$F$4:$F$64,'CEA-underConsSOLAR2'!$A$4:$A$64,'PV&amp;WIND'!$B49,'CEA-underConsSOLAR2'!$L$4:$L$64,'PV&amp;WIND'!M$38)</f>
        <v>0</v>
      </c>
      <c r="N49" s="215">
        <f>SUMIFS('CEA-underConsSOLAR2'!$F$4:$F$64,'CEA-underConsSOLAR2'!$A$4:$A$64,'PV&amp;WIND'!$B49,'CEA-underConsSOLAR2'!$L$4:$L$64,'PV&amp;WIND'!N$38)</f>
        <v>0</v>
      </c>
      <c r="O49" s="251">
        <f t="shared" si="41"/>
        <v>50</v>
      </c>
      <c r="P49" s="251">
        <f t="shared" si="42"/>
        <v>10</v>
      </c>
      <c r="Q49" s="251">
        <f t="shared" si="32"/>
        <v>15</v>
      </c>
      <c r="R49" s="251">
        <f t="shared" si="32"/>
        <v>25</v>
      </c>
      <c r="S49" s="221" t="str">
        <f t="shared" si="33"/>
        <v>JH</v>
      </c>
      <c r="T49" s="243">
        <f t="shared" si="34"/>
        <v>10.22999999999999</v>
      </c>
      <c r="U49" s="243">
        <f t="shared" si="35"/>
        <v>10</v>
      </c>
      <c r="V49" s="243">
        <f t="shared" si="43"/>
        <v>15</v>
      </c>
      <c r="W49" s="243">
        <f t="shared" si="44"/>
        <v>25</v>
      </c>
      <c r="X49" s="243">
        <v>0</v>
      </c>
      <c r="Y49" s="243">
        <v>0</v>
      </c>
      <c r="Z49" s="243">
        <v>0</v>
      </c>
      <c r="AA49" s="243">
        <v>0</v>
      </c>
      <c r="AB49" s="243">
        <v>0</v>
      </c>
      <c r="AC49" s="243">
        <v>0</v>
      </c>
      <c r="AD49" s="243">
        <v>0</v>
      </c>
      <c r="AE49" s="243"/>
      <c r="AF49" s="243"/>
      <c r="AG49" s="243"/>
      <c r="AH49" s="635">
        <f>VLOOKUP(EG_SOLARPV_max[[#This Row],[SubGeography2]],'MaxCapacity-Input'!$G$65:$L$90,5,FALSE)</f>
        <v>0</v>
      </c>
      <c r="AI49" s="77">
        <f>SUMIFS('Electricity Potential'!$G$5:$G$190,'Electricity Potential'!$C$5:$C$190,'PV&amp;WIND'!S49,'Electricity Potential'!$D$5:$D$190,'PV&amp;WIND'!AI$37)</f>
        <v>18180</v>
      </c>
      <c r="AJ49" s="420">
        <f t="shared" si="36"/>
        <v>2.4298315958299919E-2</v>
      </c>
      <c r="AK49" s="77" t="str">
        <f>EG_SOLARPV_min[[#This Row],[SubGeography2]]</f>
        <v>JH</v>
      </c>
      <c r="AL49" s="243">
        <f>EG_SOLARPV_min[[#This Row],[2021]]*(1+$AH49)</f>
        <v>10.22999999999999</v>
      </c>
      <c r="AM49" s="243">
        <f>EG_SOLARPV_min[[#This Row],[2022]]*(1+$AH49)</f>
        <v>10</v>
      </c>
      <c r="AN49" s="243">
        <f>MAX($AJ49*AN$65,(EG_SOLARPV_min[[#This Row],[2023]]*(1+$AH49)))</f>
        <v>182.23736968724938</v>
      </c>
      <c r="AO49" s="243">
        <f>MAX($AJ49*AO$65,(EG_SOLARPV_min[[#This Row],[2024]]*(1+$AH49)))</f>
        <v>242.98315958299921</v>
      </c>
      <c r="AP49" s="243">
        <f t="shared" si="37"/>
        <v>303.72894947874897</v>
      </c>
      <c r="AQ49" s="243">
        <f t="shared" ref="AQ49:AV63" si="45">$AJ49*AQ$65</f>
        <v>364.47473937449877</v>
      </c>
      <c r="AR49" s="243">
        <f t="shared" si="45"/>
        <v>364.47473937449877</v>
      </c>
      <c r="AS49" s="243">
        <f t="shared" si="45"/>
        <v>364.47473937449877</v>
      </c>
      <c r="AT49" s="243">
        <f t="shared" si="45"/>
        <v>364.47473937449877</v>
      </c>
      <c r="AU49" s="243">
        <f t="shared" si="45"/>
        <v>364.47473937449877</v>
      </c>
      <c r="AV49" s="243">
        <f t="shared" si="45"/>
        <v>364.47473937449877</v>
      </c>
      <c r="BH49" s="77" t="b">
        <f>EG_SOLARPV_max[[#This Row],[2022]]&gt;=EG_SOLARPV_min[[#This Row],[2022]]</f>
        <v>1</v>
      </c>
    </row>
    <row r="50" spans="2:60" s="77" customFormat="1" ht="15">
      <c r="B50" s="58" t="str">
        <f t="shared" si="38"/>
        <v>KA</v>
      </c>
      <c r="C50" s="67">
        <f>SUMIF('Source-MNRE'!$A$6:$A$42,$B16,'Source-MNRE'!$L$6:$L$42)</f>
        <v>7277.93</v>
      </c>
      <c r="D50" s="68">
        <f>SUMIF('Source-BTI'!$B$6:$B$25,'PV&amp;WIND'!B16,'Source-BTI'!$Q$6:$Q$25)</f>
        <v>7370</v>
      </c>
      <c r="E50" s="68">
        <f>SUMIF('Source-BTI'!$B$6:$B$25,'PV&amp;WIND'!B16,'Source-BTI'!$T$6:$T$25)</f>
        <v>466</v>
      </c>
      <c r="F50" s="703">
        <f t="shared" si="39"/>
        <v>558.06999999999971</v>
      </c>
      <c r="G50" s="69">
        <f t="shared" si="40"/>
        <v>7277.93</v>
      </c>
      <c r="H50" s="77">
        <f>SUMIF('Source-MNRE'!$AA$6:$AA$42,'PV&amp;WIND'!B50,'Source-MNRE'!$AC$6:$AC$42)</f>
        <v>68.920000000000073</v>
      </c>
      <c r="J50" s="248"/>
      <c r="K50" s="215">
        <f>SUMIFS('CEA-underConsSOLAR2'!$F$4:$F$64,'CEA-underConsSOLAR2'!$A$4:$A$64,'PV&amp;WIND'!$B50,'CEA-underConsSOLAR2'!$L$4:$L$64,'PV&amp;WIND'!K$38)</f>
        <v>0</v>
      </c>
      <c r="L50" s="215">
        <f>SUMIFS('CEA-underConsSOLAR2'!$F$4:$F$64,'CEA-underConsSOLAR2'!$A$4:$A$64,'PV&amp;WIND'!$B50,'CEA-underConsSOLAR2'!$L$4:$L$64,'PV&amp;WIND'!L$38)</f>
        <v>0</v>
      </c>
      <c r="M50" s="215">
        <f>SUMIFS('CEA-underConsSOLAR2'!$F$4:$F$64,'CEA-underConsSOLAR2'!$A$4:$A$64,'PV&amp;WIND'!$B50,'CEA-underConsSOLAR2'!$L$4:$L$64,'PV&amp;WIND'!M$38)</f>
        <v>0</v>
      </c>
      <c r="N50" s="215">
        <f>SUMIFS('CEA-underConsSOLAR2'!$F$4:$F$64,'CEA-underConsSOLAR2'!$A$4:$A$64,'PV&amp;WIND'!$B50,'CEA-underConsSOLAR2'!$L$4:$L$64,'PV&amp;WIND'!N$38)</f>
        <v>0</v>
      </c>
      <c r="O50" s="251">
        <f t="shared" si="41"/>
        <v>558.06999999999971</v>
      </c>
      <c r="P50" s="251">
        <f t="shared" si="42"/>
        <v>111.61399999999995</v>
      </c>
      <c r="Q50" s="251">
        <f t="shared" si="32"/>
        <v>167.42099999999991</v>
      </c>
      <c r="R50" s="251">
        <f t="shared" si="32"/>
        <v>279.03499999999985</v>
      </c>
      <c r="S50" s="222" t="str">
        <f t="shared" si="33"/>
        <v>KA</v>
      </c>
      <c r="T50" s="243">
        <f t="shared" si="34"/>
        <v>68.920000000000073</v>
      </c>
      <c r="U50" s="243">
        <f t="shared" si="35"/>
        <v>111.61399999999995</v>
      </c>
      <c r="V50" s="243">
        <f t="shared" si="43"/>
        <v>167.42099999999991</v>
      </c>
      <c r="W50" s="243">
        <f t="shared" si="44"/>
        <v>279.03499999999985</v>
      </c>
      <c r="X50" s="243">
        <v>0</v>
      </c>
      <c r="Y50" s="243">
        <v>0</v>
      </c>
      <c r="Z50" s="243">
        <v>0</v>
      </c>
      <c r="AA50" s="243">
        <v>0</v>
      </c>
      <c r="AB50" s="243">
        <v>0</v>
      </c>
      <c r="AC50" s="243">
        <v>0</v>
      </c>
      <c r="AD50" s="243">
        <v>0</v>
      </c>
      <c r="AE50" s="243"/>
      <c r="AF50" s="243"/>
      <c r="AG50" s="243"/>
      <c r="AH50" s="635">
        <f>VLOOKUP(EG_SOLARPV_max[[#This Row],[SubGeography2]],'MaxCapacity-Input'!$G$65:$L$90,5,FALSE)</f>
        <v>3.9101156431344715E-2</v>
      </c>
      <c r="AI50" s="77">
        <f>SUMIFS('Electricity Potential'!$G$5:$G$190,'Electricity Potential'!$C$5:$C$190,'PV&amp;WIND'!S50,'Electricity Potential'!$D$5:$D$190,'PV&amp;WIND'!AI$37)</f>
        <v>24700</v>
      </c>
      <c r="AJ50" s="420">
        <f t="shared" si="36"/>
        <v>3.3012563485699011E-2</v>
      </c>
      <c r="AK50" s="77" t="str">
        <f>EG_SOLARPV_min[[#This Row],[SubGeography2]]</f>
        <v>KA</v>
      </c>
      <c r="AL50" s="243">
        <f>EG_SOLARPV_min[[#This Row],[2021]]*(1+$AH50)</f>
        <v>71.614851701248355</v>
      </c>
      <c r="AM50" s="243">
        <f>EG_SOLARPV_min[[#This Row],[2022]]*(1+$AH50)</f>
        <v>115.97823647392806</v>
      </c>
      <c r="AN50" s="243">
        <f>MAX($AJ50*AN$65,(EG_SOLARPV_min[[#This Row],[2023]]*(1+$AH50)))</f>
        <v>247.59422614274257</v>
      </c>
      <c r="AO50" s="243">
        <f>MAX($AJ50*AO$65,(EG_SOLARPV_min[[#This Row],[2024]]*(1+$AH50)))</f>
        <v>330.12563485699013</v>
      </c>
      <c r="AP50" s="243">
        <f t="shared" si="37"/>
        <v>412.65704357123764</v>
      </c>
      <c r="AQ50" s="243">
        <f t="shared" si="45"/>
        <v>495.18845228548514</v>
      </c>
      <c r="AR50" s="243">
        <f t="shared" si="45"/>
        <v>495.18845228548514</v>
      </c>
      <c r="AS50" s="243">
        <f t="shared" si="45"/>
        <v>495.18845228548514</v>
      </c>
      <c r="AT50" s="243">
        <f t="shared" si="45"/>
        <v>495.18845228548514</v>
      </c>
      <c r="AU50" s="243">
        <f t="shared" si="45"/>
        <v>495.18845228548514</v>
      </c>
      <c r="AV50" s="243">
        <f t="shared" si="45"/>
        <v>495.18845228548514</v>
      </c>
      <c r="BH50" s="77" t="b">
        <f>EG_SOLARPV_max[[#This Row],[2022]]&gt;=EG_SOLARPV_min[[#This Row],[2022]]</f>
        <v>1</v>
      </c>
    </row>
    <row r="51" spans="2:60" s="77" customFormat="1" ht="15">
      <c r="B51" s="58" t="str">
        <f t="shared" si="38"/>
        <v>KL</v>
      </c>
      <c r="C51" s="67">
        <f>SUMIF('Source-MNRE'!$A$6:$A$42,$B17,'Source-MNRE'!$L$6:$L$42)</f>
        <v>142.22999999999999</v>
      </c>
      <c r="D51" s="68">
        <f>SUMIF('Source-BTI'!$B$6:$B$25,'PV&amp;WIND'!B17,'Source-BTI'!$Q$6:$Q$25)</f>
        <v>132</v>
      </c>
      <c r="E51" s="68">
        <f>SUMIF('Source-BTI'!$B$6:$B$25,'PV&amp;WIND'!B17,'Source-BTI'!$T$6:$T$25)</f>
        <v>217</v>
      </c>
      <c r="F51" s="703">
        <f t="shared" si="39"/>
        <v>217</v>
      </c>
      <c r="G51" s="69">
        <f t="shared" si="40"/>
        <v>142.22999999999999</v>
      </c>
      <c r="H51" s="77">
        <f>SUMIF('Source-MNRE'!$AA$6:$AA$42,'PV&amp;WIND'!B51,'Source-MNRE'!$AC$6:$AC$42)</f>
        <v>114.77000000000001</v>
      </c>
      <c r="J51" s="248"/>
      <c r="K51" s="215">
        <f>SUMIFS('CEA-underConsSOLAR2'!$F$4:$F$64,'CEA-underConsSOLAR2'!$A$4:$A$64,'PV&amp;WIND'!$B51,'CEA-underConsSOLAR2'!$L$4:$L$64,'PV&amp;WIND'!K$38)</f>
        <v>0</v>
      </c>
      <c r="L51" s="215">
        <f>SUMIFS('CEA-underConsSOLAR2'!$F$4:$F$64,'CEA-underConsSOLAR2'!$A$4:$A$64,'PV&amp;WIND'!$B51,'CEA-underConsSOLAR2'!$L$4:$L$64,'PV&amp;WIND'!L$38)</f>
        <v>0</v>
      </c>
      <c r="M51" s="215">
        <f>SUMIFS('CEA-underConsSOLAR2'!$F$4:$F$64,'CEA-underConsSOLAR2'!$A$4:$A$64,'PV&amp;WIND'!$B51,'CEA-underConsSOLAR2'!$L$4:$L$64,'PV&amp;WIND'!M$38)</f>
        <v>0</v>
      </c>
      <c r="N51" s="215">
        <f>SUMIFS('CEA-underConsSOLAR2'!$F$4:$F$64,'CEA-underConsSOLAR2'!$A$4:$A$64,'PV&amp;WIND'!$B51,'CEA-underConsSOLAR2'!$L$4:$L$64,'PV&amp;WIND'!N$38)</f>
        <v>0</v>
      </c>
      <c r="O51" s="251">
        <f t="shared" si="41"/>
        <v>217</v>
      </c>
      <c r="P51" s="251">
        <f t="shared" si="42"/>
        <v>43.400000000000006</v>
      </c>
      <c r="Q51" s="251">
        <f t="shared" si="32"/>
        <v>65.099999999999994</v>
      </c>
      <c r="R51" s="251">
        <f t="shared" si="32"/>
        <v>108.5</v>
      </c>
      <c r="S51" s="221" t="str">
        <f t="shared" si="33"/>
        <v>KL</v>
      </c>
      <c r="T51" s="243">
        <f t="shared" si="34"/>
        <v>114.77000000000001</v>
      </c>
      <c r="U51" s="243">
        <f t="shared" si="35"/>
        <v>43.400000000000006</v>
      </c>
      <c r="V51" s="243">
        <f t="shared" si="43"/>
        <v>65.099999999999994</v>
      </c>
      <c r="W51" s="243">
        <f t="shared" si="44"/>
        <v>108.5</v>
      </c>
      <c r="X51" s="243">
        <v>0</v>
      </c>
      <c r="Y51" s="243">
        <v>0</v>
      </c>
      <c r="Z51" s="243">
        <v>0</v>
      </c>
      <c r="AA51" s="243">
        <v>0</v>
      </c>
      <c r="AB51" s="243">
        <v>0</v>
      </c>
      <c r="AC51" s="243">
        <v>0</v>
      </c>
      <c r="AD51" s="243">
        <v>0</v>
      </c>
      <c r="AE51" s="243"/>
      <c r="AF51" s="243"/>
      <c r="AG51" s="243"/>
      <c r="AH51" s="635">
        <f>VLOOKUP(EG_SOLARPV_max[[#This Row],[SubGeography2]],'MaxCapacity-Input'!$G$65:$L$90,5,FALSE)</f>
        <v>3.4351999999999994E-2</v>
      </c>
      <c r="AI51" s="77">
        <f>SUMIFS('Electricity Potential'!$G$5:$G$190,'Electricity Potential'!$C$5:$C$190,'PV&amp;WIND'!S51,'Electricity Potential'!$D$5:$D$190,'PV&amp;WIND'!AI$37)</f>
        <v>6110</v>
      </c>
      <c r="AJ51" s="420">
        <f t="shared" si="36"/>
        <v>8.1662657043571237E-3</v>
      </c>
      <c r="AK51" s="77" t="str">
        <f>EG_SOLARPV_min[[#This Row],[SubGeography2]]</f>
        <v>KL</v>
      </c>
      <c r="AL51" s="243">
        <f>EG_SOLARPV_min[[#This Row],[2021]]*(1+$AH51)</f>
        <v>118.71257904000001</v>
      </c>
      <c r="AM51" s="243">
        <f>EG_SOLARPV_min[[#This Row],[2022]]*(1+$AH51)</f>
        <v>44.890876800000001</v>
      </c>
      <c r="AN51" s="243">
        <f>MAX($AJ51*AN$65,(EG_SOLARPV_min[[#This Row],[2023]]*(1+$AH51)))</f>
        <v>67.336315199999987</v>
      </c>
      <c r="AO51" s="243">
        <f>MAX($AJ51*AO$65,(EG_SOLARPV_min[[#This Row],[2024]]*(1+$AH51)))</f>
        <v>112.22719199999999</v>
      </c>
      <c r="AP51" s="243">
        <f t="shared" si="37"/>
        <v>102.07832130446404</v>
      </c>
      <c r="AQ51" s="243">
        <f t="shared" si="45"/>
        <v>122.49398556535685</v>
      </c>
      <c r="AR51" s="243">
        <f t="shared" si="45"/>
        <v>122.49398556535685</v>
      </c>
      <c r="AS51" s="243">
        <f t="shared" si="45"/>
        <v>122.49398556535685</v>
      </c>
      <c r="AT51" s="243">
        <f t="shared" si="45"/>
        <v>122.49398556535685</v>
      </c>
      <c r="AU51" s="243">
        <f t="shared" si="45"/>
        <v>122.49398556535685</v>
      </c>
      <c r="AV51" s="243">
        <f t="shared" si="45"/>
        <v>122.49398556535685</v>
      </c>
      <c r="BH51" s="77" t="b">
        <f>EG_SOLARPV_max[[#This Row],[2022]]&gt;=EG_SOLARPV_min[[#This Row],[2022]]</f>
        <v>1</v>
      </c>
    </row>
    <row r="52" spans="2:60" s="77" customFormat="1" ht="15">
      <c r="B52" s="58" t="str">
        <f t="shared" si="38"/>
        <v>MP</v>
      </c>
      <c r="C52" s="67">
        <f>SUMIF('Source-MNRE'!$A$6:$A$42,$B18,'Source-MNRE'!$L$6:$L$42)</f>
        <v>2258.46</v>
      </c>
      <c r="D52" s="68">
        <f>SUMIF('Source-BTI'!$B$6:$B$25,'PV&amp;WIND'!B18,'Source-BTI'!$Q$6:$Q$25)</f>
        <v>2471</v>
      </c>
      <c r="E52" s="68">
        <f>SUMIF('Source-BTI'!$B$6:$B$25,'PV&amp;WIND'!B18,'Source-BTI'!$T$6:$T$25)</f>
        <v>335</v>
      </c>
      <c r="F52" s="703">
        <f t="shared" si="39"/>
        <v>547.54</v>
      </c>
      <c r="G52" s="69">
        <f t="shared" si="40"/>
        <v>2258.46</v>
      </c>
      <c r="H52" s="77">
        <f>SUMIF('Source-MNRE'!$AA$6:$AA$42,'PV&amp;WIND'!B52,'Source-MNRE'!$AC$6:$AC$42)</f>
        <v>204.75999999999976</v>
      </c>
      <c r="J52" s="248"/>
      <c r="K52" s="215">
        <f>SUMIFS('CEA-underConsSOLAR2'!$F$4:$F$64,'CEA-underConsSOLAR2'!$A$4:$A$64,'PV&amp;WIND'!$B52,'CEA-underConsSOLAR2'!$L$4:$L$64,'PV&amp;WIND'!K$38)</f>
        <v>0</v>
      </c>
      <c r="L52" s="215">
        <f>SUMIFS('CEA-underConsSOLAR2'!$F$4:$F$64,'CEA-underConsSOLAR2'!$A$4:$A$64,'PV&amp;WIND'!$B52,'CEA-underConsSOLAR2'!$L$4:$L$64,'PV&amp;WIND'!L$38)</f>
        <v>125</v>
      </c>
      <c r="M52" s="215">
        <f>SUMIFS('CEA-underConsSOLAR2'!$F$4:$F$64,'CEA-underConsSOLAR2'!$A$4:$A$64,'PV&amp;WIND'!$B52,'CEA-underConsSOLAR2'!$L$4:$L$64,'PV&amp;WIND'!M$38)</f>
        <v>0</v>
      </c>
      <c r="N52" s="215">
        <f>SUMIFS('CEA-underConsSOLAR2'!$F$4:$F$64,'CEA-underConsSOLAR2'!$A$4:$A$64,'PV&amp;WIND'!$B52,'CEA-underConsSOLAR2'!$L$4:$L$64,'PV&amp;WIND'!N$38)</f>
        <v>300</v>
      </c>
      <c r="O52" s="251">
        <f t="shared" si="41"/>
        <v>122.53999999999996</v>
      </c>
      <c r="P52" s="251">
        <f t="shared" si="42"/>
        <v>24.507999999999996</v>
      </c>
      <c r="Q52" s="251">
        <f t="shared" si="32"/>
        <v>36.761999999999986</v>
      </c>
      <c r="R52" s="251">
        <f t="shared" si="32"/>
        <v>61.269999999999982</v>
      </c>
      <c r="S52" s="222" t="str">
        <f t="shared" si="33"/>
        <v>MP</v>
      </c>
      <c r="T52" s="243">
        <f t="shared" si="34"/>
        <v>204.75999999999976</v>
      </c>
      <c r="U52" s="243">
        <f t="shared" si="35"/>
        <v>149.50799999999998</v>
      </c>
      <c r="V52" s="243">
        <f t="shared" si="43"/>
        <v>36.761999999999986</v>
      </c>
      <c r="W52" s="243">
        <f t="shared" si="44"/>
        <v>61.269999999999982</v>
      </c>
      <c r="X52" s="243">
        <v>0</v>
      </c>
      <c r="Y52" s="243">
        <v>0</v>
      </c>
      <c r="Z52" s="243">
        <v>0</v>
      </c>
      <c r="AA52" s="243">
        <v>0</v>
      </c>
      <c r="AB52" s="243">
        <v>0</v>
      </c>
      <c r="AC52" s="243">
        <v>0</v>
      </c>
      <c r="AD52" s="243">
        <v>0</v>
      </c>
      <c r="AE52" s="243"/>
      <c r="AF52" s="243"/>
      <c r="AG52" s="243"/>
      <c r="AH52" s="635">
        <f>VLOOKUP(EG_SOLARPV_max[[#This Row],[SubGeography2]],'MaxCapacity-Input'!$G$65:$L$90,5,FALSE)</f>
        <v>2.9882256765176259E-3</v>
      </c>
      <c r="AI52" s="77">
        <f>SUMIFS('Electricity Potential'!$G$5:$G$190,'Electricity Potential'!$C$5:$C$190,'PV&amp;WIND'!S52,'Electricity Potential'!$D$5:$D$190,'PV&amp;WIND'!AI$37)</f>
        <v>61660</v>
      </c>
      <c r="AJ52" s="420">
        <f t="shared" si="36"/>
        <v>8.2411120021384662E-2</v>
      </c>
      <c r="AK52" s="77" t="str">
        <f>EG_SOLARPV_min[[#This Row],[SubGeography2]]</f>
        <v>MP</v>
      </c>
      <c r="AL52" s="243">
        <f>EG_SOLARPV_min[[#This Row],[2021]]*(1+$AH52)</f>
        <v>205.37186908952353</v>
      </c>
      <c r="AM52" s="243">
        <f>EG_SOLARPV_min[[#This Row],[2022]]*(1+$AH52)</f>
        <v>149.9547636444448</v>
      </c>
      <c r="AN52" s="243">
        <f>MAX($AJ52*AN$65,(EG_SOLARPV_min[[#This Row],[2023]]*(1+$AH52)))</f>
        <v>618.08340016038494</v>
      </c>
      <c r="AO52" s="243">
        <f>MAX($AJ52*AO$65,(EG_SOLARPV_min[[#This Row],[2024]]*(1+$AH52)))</f>
        <v>824.11120021384659</v>
      </c>
      <c r="AP52" s="243">
        <f t="shared" si="37"/>
        <v>1030.1390002673083</v>
      </c>
      <c r="AQ52" s="243">
        <f t="shared" si="45"/>
        <v>1236.1668003207699</v>
      </c>
      <c r="AR52" s="243">
        <f t="shared" si="45"/>
        <v>1236.1668003207699</v>
      </c>
      <c r="AS52" s="243">
        <f t="shared" si="45"/>
        <v>1236.1668003207699</v>
      </c>
      <c r="AT52" s="243">
        <f t="shared" si="45"/>
        <v>1236.1668003207699</v>
      </c>
      <c r="AU52" s="243">
        <f t="shared" si="45"/>
        <v>1236.1668003207699</v>
      </c>
      <c r="AV52" s="243">
        <f t="shared" si="45"/>
        <v>1236.1668003207699</v>
      </c>
      <c r="BH52" s="77" t="b">
        <f>EG_SOLARPV_max[[#This Row],[2022]]&gt;=EG_SOLARPV_min[[#This Row],[2022]]</f>
        <v>1</v>
      </c>
    </row>
    <row r="53" spans="2:60" s="77" customFormat="1" ht="15">
      <c r="B53" s="58" t="str">
        <f t="shared" si="38"/>
        <v>MH</v>
      </c>
      <c r="C53" s="67">
        <f>SUMIF('Source-MNRE'!$A$6:$A$42,$B19,'Source-MNRE'!$L$6:$L$42)</f>
        <v>1801.8</v>
      </c>
      <c r="D53" s="68">
        <f>SUMIF('Source-BTI'!$B$6:$B$25,'PV&amp;WIND'!B19,'Source-BTI'!$Q$6:$Q$25)</f>
        <v>1846</v>
      </c>
      <c r="E53" s="68">
        <f>SUMIF('Source-BTI'!$B$6:$B$25,'PV&amp;WIND'!B19,'Source-BTI'!$T$6:$T$25)</f>
        <v>2752</v>
      </c>
      <c r="F53" s="703">
        <f t="shared" si="39"/>
        <v>2796.2</v>
      </c>
      <c r="G53" s="69">
        <f t="shared" si="40"/>
        <v>1801.8</v>
      </c>
      <c r="H53" s="77">
        <f>SUMIF('Source-MNRE'!$AA$6:$AA$42,'PV&amp;WIND'!B53,'Source-MNRE'!$AC$6:$AC$42)</f>
        <v>488.1700000000003</v>
      </c>
      <c r="J53" s="248"/>
      <c r="K53" s="215">
        <f>SUMIFS('CEA-underConsSOLAR2'!$F$4:$F$64,'CEA-underConsSOLAR2'!$A$4:$A$64,'PV&amp;WIND'!$B53,'CEA-underConsSOLAR2'!$L$4:$L$64,'PV&amp;WIND'!K$38)</f>
        <v>0</v>
      </c>
      <c r="L53" s="215">
        <f>SUMIFS('CEA-underConsSOLAR2'!$F$4:$F$64,'CEA-underConsSOLAR2'!$A$4:$A$64,'PV&amp;WIND'!$B53,'CEA-underConsSOLAR2'!$L$4:$L$64,'PV&amp;WIND'!L$38)</f>
        <v>0</v>
      </c>
      <c r="M53" s="215">
        <f>SUMIFS('CEA-underConsSOLAR2'!$F$4:$F$64,'CEA-underConsSOLAR2'!$A$4:$A$64,'PV&amp;WIND'!$B53,'CEA-underConsSOLAR2'!$L$4:$L$64,'PV&amp;WIND'!M$38)</f>
        <v>0</v>
      </c>
      <c r="N53" s="215">
        <f>SUMIFS('CEA-underConsSOLAR2'!$F$4:$F$64,'CEA-underConsSOLAR2'!$A$4:$A$64,'PV&amp;WIND'!$B53,'CEA-underConsSOLAR2'!$L$4:$L$64,'PV&amp;WIND'!N$38)</f>
        <v>0</v>
      </c>
      <c r="O53" s="251">
        <f t="shared" si="41"/>
        <v>2796.2</v>
      </c>
      <c r="P53" s="251">
        <f t="shared" si="42"/>
        <v>559.24</v>
      </c>
      <c r="Q53" s="251">
        <f t="shared" si="32"/>
        <v>838.8599999999999</v>
      </c>
      <c r="R53" s="251">
        <f t="shared" si="32"/>
        <v>1398.1</v>
      </c>
      <c r="S53" s="221" t="str">
        <f t="shared" si="33"/>
        <v>MH</v>
      </c>
      <c r="T53" s="243">
        <f t="shared" si="34"/>
        <v>488.1700000000003</v>
      </c>
      <c r="U53" s="243">
        <f t="shared" si="35"/>
        <v>559.24</v>
      </c>
      <c r="V53" s="243">
        <f t="shared" si="43"/>
        <v>838.8599999999999</v>
      </c>
      <c r="W53" s="243">
        <f t="shared" si="44"/>
        <v>1398.1</v>
      </c>
      <c r="X53" s="243">
        <v>0</v>
      </c>
      <c r="Y53" s="243">
        <v>0</v>
      </c>
      <c r="Z53" s="243">
        <v>0</v>
      </c>
      <c r="AA53" s="243">
        <v>0</v>
      </c>
      <c r="AB53" s="243">
        <v>0</v>
      </c>
      <c r="AC53" s="243">
        <v>0</v>
      </c>
      <c r="AD53" s="243">
        <v>0</v>
      </c>
      <c r="AE53" s="243"/>
      <c r="AF53" s="243"/>
      <c r="AG53" s="243"/>
      <c r="AH53" s="635">
        <f>VLOOKUP(EG_SOLARPV_max[[#This Row],[SubGeography2]],'MaxCapacity-Input'!$G$65:$L$90,5,FALSE)</f>
        <v>6.8916251527399192E-2</v>
      </c>
      <c r="AI53" s="77">
        <f>SUMIFS('Electricity Potential'!$G$5:$G$190,'Electricity Potential'!$C$5:$C$190,'PV&amp;WIND'!S53,'Electricity Potential'!$D$5:$D$190,'PV&amp;WIND'!AI$37)</f>
        <v>64320</v>
      </c>
      <c r="AJ53" s="420">
        <f t="shared" si="36"/>
        <v>8.5966319165998395E-2</v>
      </c>
      <c r="AK53" s="77" t="str">
        <f>EG_SOLARPV_min[[#This Row],[SubGeography2]]</f>
        <v>MH</v>
      </c>
      <c r="AL53" s="243">
        <f>EG_SOLARPV_min[[#This Row],[2021]]*(1+$AH53)</f>
        <v>521.81284650813075</v>
      </c>
      <c r="AM53" s="243">
        <f>EG_SOLARPV_min[[#This Row],[2022]]*(1+$AH53)</f>
        <v>597.78072450418267</v>
      </c>
      <c r="AN53" s="243">
        <f>MAX($AJ53*AN$65,(EG_SOLARPV_min[[#This Row],[2023]]*(1+$AH53)))</f>
        <v>896.67108675627389</v>
      </c>
      <c r="AO53" s="243">
        <f>MAX($AJ53*AO$65,(EG_SOLARPV_min[[#This Row],[2024]]*(1+$AH53)))</f>
        <v>1494.4518112604567</v>
      </c>
      <c r="AP53" s="243">
        <f t="shared" si="37"/>
        <v>1074.5789895749799</v>
      </c>
      <c r="AQ53" s="243">
        <f t="shared" si="45"/>
        <v>1289.494787489976</v>
      </c>
      <c r="AR53" s="243">
        <f t="shared" si="45"/>
        <v>1289.494787489976</v>
      </c>
      <c r="AS53" s="243">
        <f t="shared" si="45"/>
        <v>1289.494787489976</v>
      </c>
      <c r="AT53" s="243">
        <f t="shared" si="45"/>
        <v>1289.494787489976</v>
      </c>
      <c r="AU53" s="243">
        <f t="shared" si="45"/>
        <v>1289.494787489976</v>
      </c>
      <c r="AV53" s="243">
        <f t="shared" si="45"/>
        <v>1289.494787489976</v>
      </c>
      <c r="BH53" s="77" t="b">
        <f>EG_SOLARPV_max[[#This Row],[2022]]&gt;=EG_SOLARPV_min[[#This Row],[2022]]</f>
        <v>1</v>
      </c>
    </row>
    <row r="54" spans="2:60" s="77" customFormat="1" ht="15">
      <c r="B54" s="58" t="str">
        <f t="shared" si="38"/>
        <v>OD</v>
      </c>
      <c r="C54" s="67">
        <f>SUMIF('Source-MNRE'!$A$6:$A$42,$B20,'Source-MNRE'!$L$6:$L$42)</f>
        <v>397.84</v>
      </c>
      <c r="D54" s="68">
        <f>SUMIF('Source-BTI'!$B$6:$B$25,'PV&amp;WIND'!B20,'Source-BTI'!$Q$6:$Q$25)</f>
        <v>493</v>
      </c>
      <c r="E54" s="68">
        <f>SUMIF('Source-BTI'!$B$6:$B$25,'PV&amp;WIND'!B20,'Source-BTI'!$T$6:$T$25)</f>
        <v>20</v>
      </c>
      <c r="F54" s="703">
        <f t="shared" si="39"/>
        <v>115.16000000000003</v>
      </c>
      <c r="G54" s="69">
        <f t="shared" si="40"/>
        <v>397.84</v>
      </c>
      <c r="H54" s="77">
        <f>SUMIF('Source-MNRE'!$AA$6:$AA$42,'PV&amp;WIND'!B54,'Source-MNRE'!$AC$6:$AC$42)</f>
        <v>3.8800000000000523</v>
      </c>
      <c r="J54" s="248"/>
      <c r="K54" s="215">
        <f>SUMIFS('CEA-underConsSOLAR2'!$F$4:$F$64,'CEA-underConsSOLAR2'!$A$4:$A$64,'PV&amp;WIND'!$B54,'CEA-underConsSOLAR2'!$L$4:$L$64,'PV&amp;WIND'!K$38)</f>
        <v>0</v>
      </c>
      <c r="L54" s="215">
        <f>SUMIFS('CEA-underConsSOLAR2'!$F$4:$F$64,'CEA-underConsSOLAR2'!$A$4:$A$64,'PV&amp;WIND'!$B54,'CEA-underConsSOLAR2'!$L$4:$L$64,'PV&amp;WIND'!L$38)</f>
        <v>0</v>
      </c>
      <c r="M54" s="215">
        <f>SUMIFS('CEA-underConsSOLAR2'!$F$4:$F$64,'CEA-underConsSOLAR2'!$A$4:$A$64,'PV&amp;WIND'!$B54,'CEA-underConsSOLAR2'!$L$4:$L$64,'PV&amp;WIND'!M$38)</f>
        <v>0</v>
      </c>
      <c r="N54" s="215">
        <f>SUMIFS('CEA-underConsSOLAR2'!$F$4:$F$64,'CEA-underConsSOLAR2'!$A$4:$A$64,'PV&amp;WIND'!$B54,'CEA-underConsSOLAR2'!$L$4:$L$64,'PV&amp;WIND'!N$38)</f>
        <v>0</v>
      </c>
      <c r="O54" s="251">
        <f t="shared" si="41"/>
        <v>115.16000000000003</v>
      </c>
      <c r="P54" s="251">
        <f t="shared" si="42"/>
        <v>23.032000000000007</v>
      </c>
      <c r="Q54" s="251">
        <f t="shared" si="32"/>
        <v>34.548000000000009</v>
      </c>
      <c r="R54" s="251">
        <f t="shared" si="32"/>
        <v>57.580000000000013</v>
      </c>
      <c r="S54" s="222" t="str">
        <f t="shared" si="33"/>
        <v>OD</v>
      </c>
      <c r="T54" s="243">
        <f t="shared" si="34"/>
        <v>3.8800000000000523</v>
      </c>
      <c r="U54" s="243">
        <f t="shared" si="35"/>
        <v>23.032000000000007</v>
      </c>
      <c r="V54" s="243">
        <f t="shared" si="43"/>
        <v>34.548000000000009</v>
      </c>
      <c r="W54" s="243">
        <f t="shared" si="44"/>
        <v>57.580000000000013</v>
      </c>
      <c r="X54" s="243">
        <v>0</v>
      </c>
      <c r="Y54" s="243">
        <v>0</v>
      </c>
      <c r="Z54" s="243">
        <v>0</v>
      </c>
      <c r="AA54" s="243">
        <v>0</v>
      </c>
      <c r="AB54" s="243">
        <v>0</v>
      </c>
      <c r="AC54" s="243">
        <v>0</v>
      </c>
      <c r="AD54" s="243">
        <v>0</v>
      </c>
      <c r="AE54" s="243"/>
      <c r="AF54" s="243"/>
      <c r="AG54" s="243"/>
      <c r="AH54" s="635">
        <f>VLOOKUP(EG_SOLARPV_max[[#This Row],[SubGeography2]],'MaxCapacity-Input'!$G$65:$L$90,5,FALSE)</f>
        <v>0</v>
      </c>
      <c r="AI54" s="77">
        <f>SUMIFS('Electricity Potential'!$G$5:$G$190,'Electricity Potential'!$C$5:$C$190,'PV&amp;WIND'!S54,'Electricity Potential'!$D$5:$D$190,'PV&amp;WIND'!AI$37)</f>
        <v>25780</v>
      </c>
      <c r="AJ54" s="420">
        <f t="shared" si="36"/>
        <v>3.4456027800053461E-2</v>
      </c>
      <c r="AK54" s="77" t="str">
        <f>EG_SOLARPV_min[[#This Row],[SubGeography2]]</f>
        <v>OD</v>
      </c>
      <c r="AL54" s="243">
        <f>EG_SOLARPV_min[[#This Row],[2021]]*(1+$AH54)</f>
        <v>3.8800000000000523</v>
      </c>
      <c r="AM54" s="243">
        <f>EG_SOLARPV_min[[#This Row],[2022]]*(1+$AH54)</f>
        <v>23.032000000000007</v>
      </c>
      <c r="AN54" s="243">
        <f>MAX($AJ54*AN$65,(EG_SOLARPV_min[[#This Row],[2023]]*(1+$AH54)))</f>
        <v>258.42020850040097</v>
      </c>
      <c r="AO54" s="243">
        <f>MAX($AJ54*AO$65,(EG_SOLARPV_min[[#This Row],[2024]]*(1+$AH54)))</f>
        <v>344.56027800053459</v>
      </c>
      <c r="AP54" s="243">
        <f t="shared" si="37"/>
        <v>430.70034750066827</v>
      </c>
      <c r="AQ54" s="243">
        <f t="shared" si="45"/>
        <v>516.84041700080195</v>
      </c>
      <c r="AR54" s="243">
        <f t="shared" si="45"/>
        <v>516.84041700080195</v>
      </c>
      <c r="AS54" s="243">
        <f t="shared" si="45"/>
        <v>516.84041700080195</v>
      </c>
      <c r="AT54" s="243">
        <f t="shared" si="45"/>
        <v>516.84041700080195</v>
      </c>
      <c r="AU54" s="243">
        <f t="shared" si="45"/>
        <v>516.84041700080195</v>
      </c>
      <c r="AV54" s="243">
        <f t="shared" si="45"/>
        <v>516.84041700080195</v>
      </c>
      <c r="BH54" s="77" t="b">
        <f>EG_SOLARPV_max[[#This Row],[2022]]&gt;=EG_SOLARPV_min[[#This Row],[2022]]</f>
        <v>1</v>
      </c>
    </row>
    <row r="55" spans="2:60" s="77" customFormat="1" ht="15">
      <c r="B55" s="58" t="str">
        <f t="shared" si="38"/>
        <v>PB</v>
      </c>
      <c r="C55" s="67">
        <f>SUMIF('Source-MNRE'!$A$6:$A$42,$B21,'Source-MNRE'!$L$6:$L$42)</f>
        <v>947.1</v>
      </c>
      <c r="D55" s="68">
        <f>SUMIF('Source-BTI'!$B$6:$B$25,'PV&amp;WIND'!B21,'Source-BTI'!$Q$6:$Q$25)</f>
        <v>930</v>
      </c>
      <c r="E55" s="68">
        <f>SUMIF('Source-BTI'!$B$6:$B$25,'PV&amp;WIND'!B21,'Source-BTI'!$T$6:$T$25)</f>
        <v>110</v>
      </c>
      <c r="F55" s="703">
        <f t="shared" si="39"/>
        <v>110</v>
      </c>
      <c r="G55" s="69">
        <f t="shared" si="40"/>
        <v>947.1</v>
      </c>
      <c r="H55" s="77">
        <f>SUMIF('Source-MNRE'!$AA$6:$AA$42,'PV&amp;WIND'!B55,'Source-MNRE'!$AC$6:$AC$42)</f>
        <v>0</v>
      </c>
      <c r="J55" s="248"/>
      <c r="K55" s="215">
        <f>SUMIFS('CEA-underConsSOLAR2'!$F$4:$F$64,'CEA-underConsSOLAR2'!$A$4:$A$64,'PV&amp;WIND'!$B55,'CEA-underConsSOLAR2'!$L$4:$L$64,'PV&amp;WIND'!K$38)</f>
        <v>0</v>
      </c>
      <c r="L55" s="215">
        <f>SUMIFS('CEA-underConsSOLAR2'!$F$4:$F$64,'CEA-underConsSOLAR2'!$A$4:$A$64,'PV&amp;WIND'!$B55,'CEA-underConsSOLAR2'!$L$4:$L$64,'PV&amp;WIND'!L$38)</f>
        <v>0</v>
      </c>
      <c r="M55" s="215">
        <f>SUMIFS('CEA-underConsSOLAR2'!$F$4:$F$64,'CEA-underConsSOLAR2'!$A$4:$A$64,'PV&amp;WIND'!$B55,'CEA-underConsSOLAR2'!$L$4:$L$64,'PV&amp;WIND'!M$38)</f>
        <v>0</v>
      </c>
      <c r="N55" s="215">
        <f>SUMIFS('CEA-underConsSOLAR2'!$F$4:$F$64,'CEA-underConsSOLAR2'!$A$4:$A$64,'PV&amp;WIND'!$B55,'CEA-underConsSOLAR2'!$L$4:$L$64,'PV&amp;WIND'!N$38)</f>
        <v>0</v>
      </c>
      <c r="O55" s="251">
        <f t="shared" si="41"/>
        <v>110</v>
      </c>
      <c r="P55" s="251">
        <f t="shared" si="42"/>
        <v>22</v>
      </c>
      <c r="Q55" s="251">
        <f t="shared" si="42"/>
        <v>33</v>
      </c>
      <c r="R55" s="251">
        <f t="shared" si="42"/>
        <v>55</v>
      </c>
      <c r="S55" s="221" t="str">
        <f t="shared" si="33"/>
        <v>PB</v>
      </c>
      <c r="T55" s="243">
        <f t="shared" si="34"/>
        <v>0</v>
      </c>
      <c r="U55" s="243">
        <f t="shared" si="35"/>
        <v>22</v>
      </c>
      <c r="V55" s="243">
        <f t="shared" si="43"/>
        <v>33</v>
      </c>
      <c r="W55" s="243">
        <f t="shared" si="44"/>
        <v>55</v>
      </c>
      <c r="X55" s="243">
        <v>0</v>
      </c>
      <c r="Y55" s="243">
        <v>0</v>
      </c>
      <c r="Z55" s="243">
        <v>0</v>
      </c>
      <c r="AA55" s="243">
        <v>0</v>
      </c>
      <c r="AB55" s="243">
        <v>0</v>
      </c>
      <c r="AC55" s="243">
        <v>0</v>
      </c>
      <c r="AD55" s="243">
        <v>0</v>
      </c>
      <c r="AE55" s="243"/>
      <c r="AF55" s="243"/>
      <c r="AG55" s="243"/>
      <c r="AH55" s="635">
        <f>VLOOKUP(EG_SOLARPV_max[[#This Row],[SubGeography2]],'MaxCapacity-Input'!$G$65:$L$90,5,FALSE)</f>
        <v>0</v>
      </c>
      <c r="AI55" s="77">
        <f>SUMIFS('Electricity Potential'!$G$5:$G$190,'Electricity Potential'!$C$5:$C$190,'PV&amp;WIND'!S55,'Electricity Potential'!$D$5:$D$190,'PV&amp;WIND'!AI$37)</f>
        <v>2810</v>
      </c>
      <c r="AJ55" s="420">
        <f t="shared" si="36"/>
        <v>3.7556802993851911E-3</v>
      </c>
      <c r="AK55" s="77" t="str">
        <f>EG_SOLARPV_min[[#This Row],[SubGeography2]]</f>
        <v>PB</v>
      </c>
      <c r="AL55" s="243">
        <f>EG_SOLARPV_min[[#This Row],[2021]]*(1+$AH55)</f>
        <v>0</v>
      </c>
      <c r="AM55" s="243">
        <f>EG_SOLARPV_min[[#This Row],[2022]]*(1+$AH55)</f>
        <v>22</v>
      </c>
      <c r="AN55" s="243">
        <f>MAX($AJ55*AN$65,(EG_SOLARPV_min[[#This Row],[2023]]*(1+$AH55)))</f>
        <v>33</v>
      </c>
      <c r="AO55" s="243">
        <f>MAX($AJ55*AO$65,(EG_SOLARPV_min[[#This Row],[2024]]*(1+$AH55)))</f>
        <v>55</v>
      </c>
      <c r="AP55" s="243">
        <f t="shared" ref="AP55:AP63" si="46">$AJ55*AP$65</f>
        <v>46.946003742314886</v>
      </c>
      <c r="AQ55" s="243">
        <f t="shared" si="45"/>
        <v>56.335204490777869</v>
      </c>
      <c r="AR55" s="243">
        <f t="shared" si="45"/>
        <v>56.335204490777869</v>
      </c>
      <c r="AS55" s="243">
        <f t="shared" si="45"/>
        <v>56.335204490777869</v>
      </c>
      <c r="AT55" s="243">
        <f t="shared" si="45"/>
        <v>56.335204490777869</v>
      </c>
      <c r="AU55" s="243">
        <f t="shared" si="45"/>
        <v>56.335204490777869</v>
      </c>
      <c r="AV55" s="243">
        <f t="shared" si="45"/>
        <v>56.335204490777869</v>
      </c>
      <c r="BH55" s="77" t="b">
        <f>EG_SOLARPV_max[[#This Row],[2022]]&gt;=EG_SOLARPV_min[[#This Row],[2022]]</f>
        <v>1</v>
      </c>
    </row>
    <row r="56" spans="2:60" s="77" customFormat="1" ht="15">
      <c r="B56" s="58" t="str">
        <f t="shared" si="38"/>
        <v>RJ</v>
      </c>
      <c r="C56" s="67">
        <f>SUMIF('Source-MNRE'!$A$6:$A$42,$B22,'Source-MNRE'!$L$6:$L$42)</f>
        <v>5137.91</v>
      </c>
      <c r="D56" s="68">
        <f>SUMIF('Source-BTI'!$B$6:$B$25,'PV&amp;WIND'!B22,'Source-BTI'!$Q$6:$Q$25)</f>
        <v>5096</v>
      </c>
      <c r="E56" s="68">
        <f>SUMIF('Source-BTI'!$B$6:$B$25,'PV&amp;WIND'!B22,'Source-BTI'!$T$6:$T$25)</f>
        <v>27263</v>
      </c>
      <c r="F56" s="703">
        <f t="shared" si="39"/>
        <v>27263</v>
      </c>
      <c r="G56" s="69">
        <f t="shared" si="40"/>
        <v>5137.91</v>
      </c>
      <c r="H56" s="77">
        <f>SUMIF('Source-MNRE'!$AA$6:$AA$42,'PV&amp;WIND'!B56,'Source-MNRE'!$AC$6:$AC$42)</f>
        <v>334.67000000000007</v>
      </c>
      <c r="J56" s="248"/>
      <c r="K56" s="215">
        <f>SUMIFS('CEA-underConsSOLAR2'!$F$4:$F$64,'CEA-underConsSOLAR2'!$A$4:$A$64,'PV&amp;WIND'!$B56,'CEA-underConsSOLAR2'!$L$4:$L$64,'PV&amp;WIND'!K$38)</f>
        <v>0</v>
      </c>
      <c r="L56" s="215">
        <f>SUMIFS('CEA-underConsSOLAR2'!$F$4:$F$64,'CEA-underConsSOLAR2'!$A$4:$A$64,'PV&amp;WIND'!$B56,'CEA-underConsSOLAR2'!$L$4:$L$64,'PV&amp;WIND'!L$38)</f>
        <v>1150</v>
      </c>
      <c r="M56" s="215">
        <f>SUMIFS('CEA-underConsSOLAR2'!$F$4:$F$64,'CEA-underConsSOLAR2'!$A$4:$A$64,'PV&amp;WIND'!$B56,'CEA-underConsSOLAR2'!$L$4:$L$64,'PV&amp;WIND'!M$38)</f>
        <v>2260</v>
      </c>
      <c r="N56" s="215">
        <f>SUMIFS('CEA-underConsSOLAR2'!$F$4:$F$64,'CEA-underConsSOLAR2'!$A$4:$A$64,'PV&amp;WIND'!$B56,'CEA-underConsSOLAR2'!$L$4:$L$64,'PV&amp;WIND'!N$38)</f>
        <v>4180</v>
      </c>
      <c r="O56" s="251">
        <f t="shared" si="41"/>
        <v>19673</v>
      </c>
      <c r="P56" s="251">
        <f t="shared" si="42"/>
        <v>3934.6000000000004</v>
      </c>
      <c r="Q56" s="251">
        <f t="shared" si="42"/>
        <v>5901.9</v>
      </c>
      <c r="R56" s="251">
        <f t="shared" si="42"/>
        <v>9836.5</v>
      </c>
      <c r="S56" s="222" t="str">
        <f t="shared" si="33"/>
        <v>RJ</v>
      </c>
      <c r="T56" s="243">
        <f t="shared" si="34"/>
        <v>334.67000000000007</v>
      </c>
      <c r="U56" s="243">
        <f t="shared" si="35"/>
        <v>5084.6000000000004</v>
      </c>
      <c r="V56" s="243">
        <f t="shared" si="43"/>
        <v>8161.9</v>
      </c>
      <c r="W56" s="243">
        <f t="shared" si="44"/>
        <v>9836.5</v>
      </c>
      <c r="X56" s="243">
        <v>0</v>
      </c>
      <c r="Y56" s="243">
        <v>0</v>
      </c>
      <c r="Z56" s="243">
        <v>0</v>
      </c>
      <c r="AA56" s="243">
        <v>0</v>
      </c>
      <c r="AB56" s="243">
        <v>0</v>
      </c>
      <c r="AC56" s="243">
        <v>0</v>
      </c>
      <c r="AD56" s="243">
        <v>0</v>
      </c>
      <c r="AE56" s="243"/>
      <c r="AF56" s="243"/>
      <c r="AG56" s="243"/>
      <c r="AH56" s="635">
        <f>VLOOKUP(EG_SOLARPV_max[[#This Row],[SubGeography2]],'MaxCapacity-Input'!$G$65:$L$90,5,FALSE)</f>
        <v>5.5669904086777744E-2</v>
      </c>
      <c r="AI56" s="77">
        <f>SUMIFS('Electricity Potential'!$G$5:$G$190,'Electricity Potential'!$C$5:$C$190,'PV&amp;WIND'!S56,'Electricity Potential'!$D$5:$D$190,'PV&amp;WIND'!AI$37)</f>
        <v>142310</v>
      </c>
      <c r="AJ56" s="420">
        <f t="shared" si="36"/>
        <v>0.19020315423683506</v>
      </c>
      <c r="AK56" s="77" t="str">
        <f>EG_SOLARPV_min[[#This Row],[SubGeography2]]</f>
        <v>RJ</v>
      </c>
      <c r="AL56" s="243">
        <f>EG_SOLARPV_min[[#This Row],[2021]]*(1+$AH56)</f>
        <v>353.30104680072202</v>
      </c>
      <c r="AM56" s="243">
        <f>EG_SOLARPV_min[[#This Row],[2022]]*(1+$AH56)</f>
        <v>5367.6591943196308</v>
      </c>
      <c r="AN56" s="243">
        <f>MAX($AJ56*AN$65,(EG_SOLARPV_min[[#This Row],[2023]]*(1+$AH56)))</f>
        <v>8616.2721901658715</v>
      </c>
      <c r="AO56" s="243">
        <f>MAX($AJ56*AO$65,(EG_SOLARPV_min[[#This Row],[2024]]*(1+$AH56)))</f>
        <v>10384.097011549591</v>
      </c>
      <c r="AP56" s="243">
        <f t="shared" si="46"/>
        <v>2377.5394279604384</v>
      </c>
      <c r="AQ56" s="243">
        <f t="shared" si="45"/>
        <v>2853.0473135525258</v>
      </c>
      <c r="AR56" s="243">
        <f t="shared" si="45"/>
        <v>2853.0473135525258</v>
      </c>
      <c r="AS56" s="243">
        <f t="shared" si="45"/>
        <v>2853.0473135525258</v>
      </c>
      <c r="AT56" s="243">
        <f t="shared" si="45"/>
        <v>2853.0473135525258</v>
      </c>
      <c r="AU56" s="243">
        <f t="shared" si="45"/>
        <v>2853.0473135525258</v>
      </c>
      <c r="AV56" s="243">
        <f t="shared" si="45"/>
        <v>2853.0473135525258</v>
      </c>
      <c r="BH56" s="77" t="b">
        <f>EG_SOLARPV_max[[#This Row],[2022]]&gt;=EG_SOLARPV_min[[#This Row],[2022]]</f>
        <v>1</v>
      </c>
    </row>
    <row r="57" spans="2:60" s="77" customFormat="1" ht="15">
      <c r="B57" s="58" t="str">
        <f t="shared" si="38"/>
        <v>TN</v>
      </c>
      <c r="C57" s="67">
        <f>SUMIF('Source-MNRE'!$A$6:$A$42,$B23,'Source-MNRE'!$L$6:$L$42)</f>
        <v>3915.88</v>
      </c>
      <c r="D57" s="68">
        <f>SUMIF('Source-BTI'!$B$6:$B$25,'PV&amp;WIND'!B23,'Source-BTI'!$Q$6:$Q$25)</f>
        <v>3901</v>
      </c>
      <c r="E57" s="68">
        <f>SUMIF('Source-BTI'!$B$6:$B$25,'PV&amp;WIND'!B23,'Source-BTI'!$T$6:$T$25)</f>
        <v>1063</v>
      </c>
      <c r="F57" s="703">
        <f t="shared" si="39"/>
        <v>1063</v>
      </c>
      <c r="G57" s="69">
        <f t="shared" si="40"/>
        <v>3915.88</v>
      </c>
      <c r="H57" s="77">
        <f>SUMIF('Source-MNRE'!$AA$6:$AA$42,'PV&amp;WIND'!B57,'Source-MNRE'!$AC$6:$AC$42)</f>
        <v>487.60000000000036</v>
      </c>
      <c r="J57" s="248"/>
      <c r="K57" s="215">
        <f>SUMIFS('CEA-underConsSOLAR2'!$F$4:$F$64,'CEA-underConsSOLAR2'!$A$4:$A$64,'PV&amp;WIND'!$B57,'CEA-underConsSOLAR2'!$L$4:$L$64,'PV&amp;WIND'!K$38)</f>
        <v>0</v>
      </c>
      <c r="L57" s="215">
        <f>SUMIFS('CEA-underConsSOLAR2'!$F$4:$F$64,'CEA-underConsSOLAR2'!$A$4:$A$64,'PV&amp;WIND'!$B57,'CEA-underConsSOLAR2'!$L$4:$L$64,'PV&amp;WIND'!L$38)</f>
        <v>250</v>
      </c>
      <c r="M57" s="215">
        <f>SUMIFS('CEA-underConsSOLAR2'!$F$4:$F$64,'CEA-underConsSOLAR2'!$A$4:$A$64,'PV&amp;WIND'!$B57,'CEA-underConsSOLAR2'!$L$4:$L$64,'PV&amp;WIND'!M$38)</f>
        <v>0</v>
      </c>
      <c r="N57" s="215">
        <f>SUMIFS('CEA-underConsSOLAR2'!$F$4:$F$64,'CEA-underConsSOLAR2'!$A$4:$A$64,'PV&amp;WIND'!$B57,'CEA-underConsSOLAR2'!$L$4:$L$64,'PV&amp;WIND'!N$38)</f>
        <v>150</v>
      </c>
      <c r="O57" s="251">
        <f t="shared" si="41"/>
        <v>663</v>
      </c>
      <c r="P57" s="251">
        <f t="shared" si="42"/>
        <v>132.6</v>
      </c>
      <c r="Q57" s="251">
        <f t="shared" si="42"/>
        <v>198.9</v>
      </c>
      <c r="R57" s="251">
        <f t="shared" si="42"/>
        <v>331.5</v>
      </c>
      <c r="S57" s="221" t="str">
        <f t="shared" si="33"/>
        <v>TN</v>
      </c>
      <c r="T57" s="243">
        <f t="shared" si="34"/>
        <v>487.60000000000036</v>
      </c>
      <c r="U57" s="243">
        <f t="shared" si="35"/>
        <v>382.6</v>
      </c>
      <c r="V57" s="243">
        <f t="shared" si="43"/>
        <v>198.9</v>
      </c>
      <c r="W57" s="243">
        <f t="shared" si="44"/>
        <v>331.5</v>
      </c>
      <c r="X57" s="243">
        <v>0</v>
      </c>
      <c r="Y57" s="243">
        <v>0</v>
      </c>
      <c r="Z57" s="243">
        <v>0</v>
      </c>
      <c r="AA57" s="243">
        <v>0</v>
      </c>
      <c r="AB57" s="243">
        <v>0</v>
      </c>
      <c r="AC57" s="243">
        <v>0</v>
      </c>
      <c r="AD57" s="243">
        <v>0</v>
      </c>
      <c r="AE57" s="243"/>
      <c r="AF57" s="243"/>
      <c r="AG57" s="243"/>
      <c r="AH57" s="635">
        <f>VLOOKUP(EG_SOLARPV_max[[#This Row],[SubGeography2]],'MaxCapacity-Input'!$G$65:$L$90,5,FALSE)</f>
        <v>2.755671009442905E-2</v>
      </c>
      <c r="AI57" s="77">
        <f>SUMIFS('Electricity Potential'!$G$5:$G$190,'Electricity Potential'!$C$5:$C$190,'PV&amp;WIND'!S57,'Electricity Potential'!$D$5:$D$190,'PV&amp;WIND'!AI$37)</f>
        <v>17670</v>
      </c>
      <c r="AJ57" s="420">
        <f t="shared" si="36"/>
        <v>2.3616680032076984E-2</v>
      </c>
      <c r="AK57" s="77" t="str">
        <f>EG_SOLARPV_min[[#This Row],[SubGeography2]]</f>
        <v>TN</v>
      </c>
      <c r="AL57" s="243">
        <f>EG_SOLARPV_min[[#This Row],[2021]]*(1+$AH57)</f>
        <v>501.03665184204391</v>
      </c>
      <c r="AM57" s="243">
        <f>EG_SOLARPV_min[[#This Row],[2022]]*(1+$AH57)</f>
        <v>393.14319728212854</v>
      </c>
      <c r="AN57" s="243">
        <f>MAX($AJ57*AN$65,(EG_SOLARPV_min[[#This Row],[2023]]*(1+$AH57)))</f>
        <v>204.38102963778192</v>
      </c>
      <c r="AO57" s="243">
        <f>MAX($AJ57*AO$65,(EG_SOLARPV_min[[#This Row],[2024]]*(1+$AH57)))</f>
        <v>340.6350493963032</v>
      </c>
      <c r="AP57" s="243">
        <f t="shared" si="46"/>
        <v>295.20850040096229</v>
      </c>
      <c r="AQ57" s="243">
        <f t="shared" si="45"/>
        <v>354.25020048115476</v>
      </c>
      <c r="AR57" s="243">
        <f t="shared" si="45"/>
        <v>354.25020048115476</v>
      </c>
      <c r="AS57" s="243">
        <f t="shared" si="45"/>
        <v>354.25020048115476</v>
      </c>
      <c r="AT57" s="243">
        <f t="shared" si="45"/>
        <v>354.25020048115476</v>
      </c>
      <c r="AU57" s="243">
        <f t="shared" si="45"/>
        <v>354.25020048115476</v>
      </c>
      <c r="AV57" s="243">
        <f t="shared" si="45"/>
        <v>354.25020048115476</v>
      </c>
      <c r="BH57" s="77" t="b">
        <f>EG_SOLARPV_max[[#This Row],[2022]]&gt;=EG_SOLARPV_min[[#This Row],[2022]]</f>
        <v>1</v>
      </c>
    </row>
    <row r="58" spans="2:60" s="77" customFormat="1" ht="15">
      <c r="B58" s="58" t="str">
        <f t="shared" si="38"/>
        <v>TS</v>
      </c>
      <c r="C58" s="67">
        <f>SUMIF('Source-MNRE'!$A$6:$A$42,$B24,'Source-MNRE'!$L$6:$L$42)</f>
        <v>3620.75</v>
      </c>
      <c r="D58" s="68">
        <f>SUMIF('Source-BTI'!$B$6:$B$25,'PV&amp;WIND'!B24,'Source-BTI'!$Q$6:$Q$25)</f>
        <v>3616</v>
      </c>
      <c r="E58" s="68">
        <f>SUMIF('Source-BTI'!$B$6:$B$25,'PV&amp;WIND'!B24,'Source-BTI'!$T$6:$T$25)</f>
        <v>138</v>
      </c>
      <c r="F58" s="703">
        <f t="shared" si="39"/>
        <v>138</v>
      </c>
      <c r="G58" s="69">
        <f t="shared" si="40"/>
        <v>3620.75</v>
      </c>
      <c r="H58" s="77">
        <f>SUMIF('Source-MNRE'!$AA$6:$AA$42,'PV&amp;WIND'!B58,'Source-MNRE'!$AC$6:$AC$42)</f>
        <v>315.61000000000013</v>
      </c>
      <c r="J58" s="248"/>
      <c r="K58" s="215">
        <f>SUMIFS('CEA-underConsSOLAR2'!$F$4:$F$64,'CEA-underConsSOLAR2'!$A$4:$A$64,'PV&amp;WIND'!$B58,'CEA-underConsSOLAR2'!$L$4:$L$64,'PV&amp;WIND'!K$38)</f>
        <v>0</v>
      </c>
      <c r="L58" s="215">
        <f>SUMIFS('CEA-underConsSOLAR2'!$F$4:$F$64,'CEA-underConsSOLAR2'!$A$4:$A$64,'PV&amp;WIND'!$B58,'CEA-underConsSOLAR2'!$L$4:$L$64,'PV&amp;WIND'!L$38)</f>
        <v>0</v>
      </c>
      <c r="M58" s="215">
        <f>SUMIFS('CEA-underConsSOLAR2'!$F$4:$F$64,'CEA-underConsSOLAR2'!$A$4:$A$64,'PV&amp;WIND'!$B58,'CEA-underConsSOLAR2'!$L$4:$L$64,'PV&amp;WIND'!M$38)</f>
        <v>0</v>
      </c>
      <c r="N58" s="215">
        <f>SUMIFS('CEA-underConsSOLAR2'!$F$4:$F$64,'CEA-underConsSOLAR2'!$A$4:$A$64,'PV&amp;WIND'!$B58,'CEA-underConsSOLAR2'!$L$4:$L$64,'PV&amp;WIND'!N$38)</f>
        <v>0</v>
      </c>
      <c r="O58" s="251">
        <f t="shared" si="41"/>
        <v>138</v>
      </c>
      <c r="P58" s="251">
        <f t="shared" si="42"/>
        <v>27.6</v>
      </c>
      <c r="Q58" s="251">
        <f t="shared" si="42"/>
        <v>41.4</v>
      </c>
      <c r="R58" s="251">
        <f t="shared" si="42"/>
        <v>69</v>
      </c>
      <c r="S58" s="222" t="str">
        <f t="shared" si="33"/>
        <v>TS</v>
      </c>
      <c r="T58" s="243">
        <f t="shared" si="34"/>
        <v>315.61000000000013</v>
      </c>
      <c r="U58" s="243">
        <f t="shared" si="35"/>
        <v>27.6</v>
      </c>
      <c r="V58" s="243">
        <f t="shared" si="43"/>
        <v>41.4</v>
      </c>
      <c r="W58" s="243">
        <f t="shared" si="44"/>
        <v>69</v>
      </c>
      <c r="X58" s="243">
        <v>0</v>
      </c>
      <c r="Y58" s="243">
        <v>0</v>
      </c>
      <c r="Z58" s="243">
        <v>0</v>
      </c>
      <c r="AA58" s="243">
        <v>0</v>
      </c>
      <c r="AB58" s="243">
        <v>0</v>
      </c>
      <c r="AC58" s="243">
        <v>0</v>
      </c>
      <c r="AD58" s="243">
        <v>0</v>
      </c>
      <c r="AE58" s="243"/>
      <c r="AF58" s="243"/>
      <c r="AG58" s="243"/>
      <c r="AH58" s="635">
        <f>VLOOKUP(EG_SOLARPV_max[[#This Row],[SubGeography2]],'MaxCapacity-Input'!$G$65:$L$90,5,FALSE)</f>
        <v>0.44423887587822014</v>
      </c>
      <c r="AI58" s="77">
        <f>SUMIFS('Electricity Potential'!$G$5:$G$190,'Electricity Potential'!$C$5:$C$190,'PV&amp;WIND'!S58,'Electricity Potential'!$D$5:$D$190,'PV&amp;WIND'!AI$37)</f>
        <v>20410</v>
      </c>
      <c r="AJ58" s="420">
        <f t="shared" si="36"/>
        <v>2.7278802459235498E-2</v>
      </c>
      <c r="AK58" s="77" t="str">
        <f>EG_SOLARPV_min[[#This Row],[SubGeography2]]</f>
        <v>TS</v>
      </c>
      <c r="AL58" s="243">
        <f>EG_SOLARPV_min[[#This Row],[2021]]*(1+$AH58)</f>
        <v>455.81623161592523</v>
      </c>
      <c r="AM58" s="243">
        <f>EG_SOLARPV_min[[#This Row],[2022]]*(1+$AH58)</f>
        <v>39.860992974238876</v>
      </c>
      <c r="AN58" s="243">
        <f>MAX($AJ58*AN$65,(EG_SOLARPV_min[[#This Row],[2023]]*(1+$AH58)))</f>
        <v>204.59101844426624</v>
      </c>
      <c r="AO58" s="243">
        <f>MAX($AJ58*AO$65,(EG_SOLARPV_min[[#This Row],[2024]]*(1+$AH58)))</f>
        <v>272.78802459235499</v>
      </c>
      <c r="AP58" s="243">
        <f t="shared" si="46"/>
        <v>340.98503074044373</v>
      </c>
      <c r="AQ58" s="243">
        <f t="shared" si="45"/>
        <v>409.18203688853248</v>
      </c>
      <c r="AR58" s="243">
        <f t="shared" si="45"/>
        <v>409.18203688853248</v>
      </c>
      <c r="AS58" s="243">
        <f t="shared" si="45"/>
        <v>409.18203688853248</v>
      </c>
      <c r="AT58" s="243">
        <f t="shared" si="45"/>
        <v>409.18203688853248</v>
      </c>
      <c r="AU58" s="243">
        <f t="shared" si="45"/>
        <v>409.18203688853248</v>
      </c>
      <c r="AV58" s="243">
        <f t="shared" si="45"/>
        <v>409.18203688853248</v>
      </c>
      <c r="BH58" s="77" t="b">
        <f>EG_SOLARPV_max[[#This Row],[2022]]&gt;=EG_SOLARPV_min[[#This Row],[2022]]</f>
        <v>1</v>
      </c>
    </row>
    <row r="59" spans="2:60" s="77" customFormat="1" ht="15">
      <c r="B59" s="58" t="str">
        <f t="shared" si="38"/>
        <v>UP</v>
      </c>
      <c r="C59" s="67">
        <f>SUMIF('Source-MNRE'!$A$6:$A$42,$B25,'Source-MNRE'!$L$6:$L$42)</f>
        <v>1095.0999999999999</v>
      </c>
      <c r="D59" s="68">
        <f>SUMIF('Source-BTI'!$B$6:$B$25,'PV&amp;WIND'!B25,'Source-BTI'!$Q$6:$Q$25)</f>
        <v>1001</v>
      </c>
      <c r="E59" s="68">
        <f>SUMIF('Source-BTI'!$B$6:$B$25,'PV&amp;WIND'!B25,'Source-BTI'!$T$6:$T$25)</f>
        <v>1545</v>
      </c>
      <c r="F59" s="703">
        <f t="shared" si="39"/>
        <v>1545</v>
      </c>
      <c r="G59" s="69">
        <f t="shared" si="40"/>
        <v>1095.0999999999999</v>
      </c>
      <c r="H59" s="77">
        <f>SUMIF('Source-MNRE'!$AA$6:$AA$42,'PV&amp;WIND'!B59,'Source-MNRE'!$AC$6:$AC$42)</f>
        <v>572.40000000000009</v>
      </c>
      <c r="J59" s="248"/>
      <c r="K59" s="215">
        <f>SUMIFS('CEA-underConsSOLAR2'!$F$4:$F$64,'CEA-underConsSOLAR2'!$A$4:$A$64,'PV&amp;WIND'!$B59,'CEA-underConsSOLAR2'!$L$4:$L$64,'PV&amp;WIND'!K$38)</f>
        <v>0</v>
      </c>
      <c r="L59" s="215">
        <f>SUMIFS('CEA-underConsSOLAR2'!$F$4:$F$64,'CEA-underConsSOLAR2'!$A$4:$A$64,'PV&amp;WIND'!$B59,'CEA-underConsSOLAR2'!$L$4:$L$64,'PV&amp;WIND'!L$38)</f>
        <v>0</v>
      </c>
      <c r="M59" s="215">
        <f>SUMIFS('CEA-underConsSOLAR2'!$F$4:$F$64,'CEA-underConsSOLAR2'!$A$4:$A$64,'PV&amp;WIND'!$B59,'CEA-underConsSOLAR2'!$L$4:$L$64,'PV&amp;WIND'!M$38)</f>
        <v>100</v>
      </c>
      <c r="N59" s="215">
        <f>SUMIFS('CEA-underConsSOLAR2'!$F$4:$F$64,'CEA-underConsSOLAR2'!$A$4:$A$64,'PV&amp;WIND'!$B59,'CEA-underConsSOLAR2'!$L$4:$L$64,'PV&amp;WIND'!N$38)</f>
        <v>0</v>
      </c>
      <c r="O59" s="251">
        <f t="shared" si="41"/>
        <v>1445</v>
      </c>
      <c r="P59" s="251">
        <f t="shared" si="42"/>
        <v>289</v>
      </c>
      <c r="Q59" s="251">
        <f t="shared" si="42"/>
        <v>433.5</v>
      </c>
      <c r="R59" s="251">
        <f t="shared" si="42"/>
        <v>722.5</v>
      </c>
      <c r="S59" s="221" t="str">
        <f t="shared" si="33"/>
        <v>UP</v>
      </c>
      <c r="T59" s="243">
        <f t="shared" si="34"/>
        <v>572.40000000000009</v>
      </c>
      <c r="U59" s="243">
        <f t="shared" si="35"/>
        <v>289</v>
      </c>
      <c r="V59" s="243">
        <f t="shared" si="43"/>
        <v>533.5</v>
      </c>
      <c r="W59" s="243">
        <f t="shared" si="44"/>
        <v>722.5</v>
      </c>
      <c r="X59" s="243">
        <v>0</v>
      </c>
      <c r="Y59" s="243">
        <v>0</v>
      </c>
      <c r="Z59" s="243">
        <v>0</v>
      </c>
      <c r="AA59" s="243">
        <v>0</v>
      </c>
      <c r="AB59" s="243">
        <v>0</v>
      </c>
      <c r="AC59" s="243">
        <v>0</v>
      </c>
      <c r="AD59" s="243">
        <v>0</v>
      </c>
      <c r="AE59" s="243"/>
      <c r="AF59" s="243"/>
      <c r="AG59" s="243"/>
      <c r="AH59" s="635">
        <f>VLOOKUP(EG_SOLARPV_max[[#This Row],[SubGeography2]],'MaxCapacity-Input'!$G$65:$L$90,5,FALSE)</f>
        <v>0</v>
      </c>
      <c r="AI59" s="77">
        <f>SUMIFS('Electricity Potential'!$G$5:$G$190,'Electricity Potential'!$C$5:$C$190,'PV&amp;WIND'!S59,'Electricity Potential'!$D$5:$D$190,'PV&amp;WIND'!AI$37)</f>
        <v>22830</v>
      </c>
      <c r="AJ59" s="420">
        <f t="shared" si="36"/>
        <v>3.0513231756214915E-2</v>
      </c>
      <c r="AK59" s="77" t="str">
        <f>EG_SOLARPV_min[[#This Row],[SubGeography2]]</f>
        <v>UP</v>
      </c>
      <c r="AL59" s="243">
        <f>EG_SOLARPV_min[[#This Row],[2021]]*(1+$AH59)</f>
        <v>572.40000000000009</v>
      </c>
      <c r="AM59" s="243">
        <f>EG_SOLARPV_min[[#This Row],[2022]]*(1+$AH59)</f>
        <v>289</v>
      </c>
      <c r="AN59" s="243">
        <f>MAX($AJ59*AN$65,(EG_SOLARPV_min[[#This Row],[2023]]*(1+$AH59)))</f>
        <v>533.5</v>
      </c>
      <c r="AO59" s="243">
        <f>MAX($AJ59*AO$65,(EG_SOLARPV_min[[#This Row],[2024]]*(1+$AH59)))</f>
        <v>722.5</v>
      </c>
      <c r="AP59" s="243">
        <f t="shared" si="46"/>
        <v>381.41539695268642</v>
      </c>
      <c r="AQ59" s="243">
        <f t="shared" si="45"/>
        <v>457.69847634322372</v>
      </c>
      <c r="AR59" s="243">
        <f t="shared" si="45"/>
        <v>457.69847634322372</v>
      </c>
      <c r="AS59" s="243">
        <f t="shared" si="45"/>
        <v>457.69847634322372</v>
      </c>
      <c r="AT59" s="243">
        <f t="shared" si="45"/>
        <v>457.69847634322372</v>
      </c>
      <c r="AU59" s="243">
        <f t="shared" si="45"/>
        <v>457.69847634322372</v>
      </c>
      <c r="AV59" s="243">
        <f t="shared" si="45"/>
        <v>457.69847634322372</v>
      </c>
      <c r="BH59" s="77" t="b">
        <f>EG_SOLARPV_max[[#This Row],[2022]]&gt;=EG_SOLARPV_min[[#This Row],[2022]]</f>
        <v>1</v>
      </c>
    </row>
    <row r="60" spans="2:60" s="77" customFormat="1" ht="15">
      <c r="B60" s="58" t="str">
        <f t="shared" si="38"/>
        <v>UK</v>
      </c>
      <c r="C60" s="67">
        <f>SUMIF('Source-MNRE'!$A$6:$A$42,$B26,'Source-MNRE'!$L$6:$L$42)</f>
        <v>315.89999999999998</v>
      </c>
      <c r="D60" s="68">
        <f>SUMIF('Source-BTI'!$B$6:$B$25,'PV&amp;WIND'!B26,'Source-BTI'!$Q$6:$Q$25)</f>
        <v>225</v>
      </c>
      <c r="E60" s="68">
        <f>SUMIF('Source-BTI'!$B$6:$B$25,'PV&amp;WIND'!B26,'Source-BTI'!$T$6:$T$25)</f>
        <v>0</v>
      </c>
      <c r="F60" s="703">
        <f t="shared" si="39"/>
        <v>0</v>
      </c>
      <c r="G60" s="69">
        <f t="shared" si="40"/>
        <v>315.89999999999998</v>
      </c>
      <c r="H60" s="77">
        <f>SUMIF('Source-MNRE'!$AA$6:$AA$42,'PV&amp;WIND'!B60,'Source-MNRE'!$AC$6:$AC$42)</f>
        <v>37.509999999999991</v>
      </c>
      <c r="J60" s="248"/>
      <c r="K60" s="215">
        <f>SUMIFS('CEA-underConsSOLAR2'!$F$4:$F$64,'CEA-underConsSOLAR2'!$A$4:$A$64,'PV&amp;WIND'!$B60,'CEA-underConsSOLAR2'!$L$4:$L$64,'PV&amp;WIND'!K$38)</f>
        <v>0</v>
      </c>
      <c r="L60" s="215">
        <f>SUMIFS('CEA-underConsSOLAR2'!$F$4:$F$64,'CEA-underConsSOLAR2'!$A$4:$A$64,'PV&amp;WIND'!$B60,'CEA-underConsSOLAR2'!$L$4:$L$64,'PV&amp;WIND'!L$38)</f>
        <v>0</v>
      </c>
      <c r="M60" s="215">
        <f>SUMIFS('CEA-underConsSOLAR2'!$F$4:$F$64,'CEA-underConsSOLAR2'!$A$4:$A$64,'PV&amp;WIND'!$B60,'CEA-underConsSOLAR2'!$L$4:$L$64,'PV&amp;WIND'!M$38)</f>
        <v>0</v>
      </c>
      <c r="N60" s="215">
        <f>SUMIFS('CEA-underConsSOLAR2'!$F$4:$F$64,'CEA-underConsSOLAR2'!$A$4:$A$64,'PV&amp;WIND'!$B60,'CEA-underConsSOLAR2'!$L$4:$L$64,'PV&amp;WIND'!N$38)</f>
        <v>0</v>
      </c>
      <c r="O60" s="251">
        <f t="shared" si="41"/>
        <v>0</v>
      </c>
      <c r="P60" s="251">
        <f t="shared" si="42"/>
        <v>0</v>
      </c>
      <c r="Q60" s="251">
        <f t="shared" si="42"/>
        <v>0</v>
      </c>
      <c r="R60" s="251">
        <f t="shared" si="42"/>
        <v>0</v>
      </c>
      <c r="S60" s="222" t="str">
        <f t="shared" si="33"/>
        <v>UK</v>
      </c>
      <c r="T60" s="243">
        <f t="shared" si="34"/>
        <v>37.509999999999991</v>
      </c>
      <c r="U60" s="243">
        <f t="shared" si="35"/>
        <v>0</v>
      </c>
      <c r="V60" s="243">
        <f t="shared" si="43"/>
        <v>0</v>
      </c>
      <c r="W60" s="243">
        <f t="shared" si="44"/>
        <v>0</v>
      </c>
      <c r="X60" s="243">
        <v>0</v>
      </c>
      <c r="Y60" s="243">
        <v>0</v>
      </c>
      <c r="Z60" s="243">
        <v>0</v>
      </c>
      <c r="AA60" s="243">
        <v>0</v>
      </c>
      <c r="AB60" s="243">
        <v>0</v>
      </c>
      <c r="AC60" s="243">
        <v>0</v>
      </c>
      <c r="AD60" s="243">
        <v>0</v>
      </c>
      <c r="AE60" s="243"/>
      <c r="AF60" s="243"/>
      <c r="AG60" s="243"/>
      <c r="AH60" s="635">
        <f>VLOOKUP(EG_SOLARPV_max[[#This Row],[SubGeography2]],'MaxCapacity-Input'!$G$65:$L$90,5,FALSE)</f>
        <v>0</v>
      </c>
      <c r="AI60" s="77">
        <f>SUMIFS('Electricity Potential'!$G$5:$G$190,'Electricity Potential'!$C$5:$C$190,'PV&amp;WIND'!S60,'Electricity Potential'!$D$5:$D$190,'PV&amp;WIND'!AI$37)</f>
        <v>16800</v>
      </c>
      <c r="AJ60" s="420">
        <f t="shared" si="36"/>
        <v>2.2453889334402566E-2</v>
      </c>
      <c r="AK60" s="77" t="str">
        <f>EG_SOLARPV_min[[#This Row],[SubGeography2]]</f>
        <v>UK</v>
      </c>
      <c r="AL60" s="243">
        <f>EG_SOLARPV_min[[#This Row],[2021]]*(1+$AH60)</f>
        <v>37.509999999999991</v>
      </c>
      <c r="AM60" s="243">
        <f>EG_SOLARPV_min[[#This Row],[2022]]*(1+$AH60)</f>
        <v>0</v>
      </c>
      <c r="AN60" s="243">
        <f>MAX($AJ60*AN$65,(EG_SOLARPV_min[[#This Row],[2023]]*(1+$AH60)))</f>
        <v>168.40417000801924</v>
      </c>
      <c r="AO60" s="243">
        <f>MAX($AJ60*AO$65,(EG_SOLARPV_min[[#This Row],[2024]]*(1+$AH60)))</f>
        <v>224.53889334402567</v>
      </c>
      <c r="AP60" s="243">
        <f t="shared" si="46"/>
        <v>280.67361668003207</v>
      </c>
      <c r="AQ60" s="243">
        <f t="shared" si="45"/>
        <v>336.80834001603847</v>
      </c>
      <c r="AR60" s="243">
        <f t="shared" si="45"/>
        <v>336.80834001603847</v>
      </c>
      <c r="AS60" s="243">
        <f t="shared" si="45"/>
        <v>336.80834001603847</v>
      </c>
      <c r="AT60" s="243">
        <f t="shared" si="45"/>
        <v>336.80834001603847</v>
      </c>
      <c r="AU60" s="243">
        <f t="shared" si="45"/>
        <v>336.80834001603847</v>
      </c>
      <c r="AV60" s="243">
        <f t="shared" si="45"/>
        <v>336.80834001603847</v>
      </c>
      <c r="BH60" s="77" t="b">
        <f>EG_SOLARPV_max[[#This Row],[2022]]&gt;=EG_SOLARPV_min[[#This Row],[2022]]</f>
        <v>1</v>
      </c>
    </row>
    <row r="61" spans="2:60" s="77" customFormat="1" ht="15">
      <c r="B61" s="58" t="str">
        <f t="shared" si="38"/>
        <v>WB</v>
      </c>
      <c r="C61" s="67">
        <f>SUMIF('Source-MNRE'!$A$6:$A$42,$B27,'Source-MNRE'!$L$6:$L$42)</f>
        <v>114.46000000000001</v>
      </c>
      <c r="D61" s="68">
        <f>SUMIF('Source-BTI'!$B$6:$B$25,'PV&amp;WIND'!B27,'Source-BTI'!$Q$6:$Q$25)</f>
        <v>125</v>
      </c>
      <c r="E61" s="68">
        <f>SUMIF('Source-BTI'!$B$6:$B$25,'PV&amp;WIND'!B27,'Source-BTI'!$T$6:$T$25)</f>
        <v>20</v>
      </c>
      <c r="F61" s="703">
        <f t="shared" si="39"/>
        <v>30.539999999999992</v>
      </c>
      <c r="G61" s="69">
        <f t="shared" si="40"/>
        <v>114.46000000000001</v>
      </c>
      <c r="H61" s="77">
        <f>SUMIF('Source-MNRE'!$AA$6:$AA$42,'PV&amp;WIND'!B61,'Source-MNRE'!$AC$6:$AC$42)</f>
        <v>35.379999999999995</v>
      </c>
      <c r="J61" s="248"/>
      <c r="K61" s="215">
        <f>SUMIFS('CEA-underConsSOLAR2'!$F$4:$F$64,'CEA-underConsSOLAR2'!$A$4:$A$64,'PV&amp;WIND'!$B61,'CEA-underConsSOLAR2'!$L$4:$L$64,'PV&amp;WIND'!K$38)</f>
        <v>0</v>
      </c>
      <c r="L61" s="215">
        <f>SUMIFS('CEA-underConsSOLAR2'!$F$4:$F$64,'CEA-underConsSOLAR2'!$A$4:$A$64,'PV&amp;WIND'!$B61,'CEA-underConsSOLAR2'!$L$4:$L$64,'PV&amp;WIND'!L$38)</f>
        <v>0</v>
      </c>
      <c r="M61" s="215">
        <f>SUMIFS('CEA-underConsSOLAR2'!$F$4:$F$64,'CEA-underConsSOLAR2'!$A$4:$A$64,'PV&amp;WIND'!$B61,'CEA-underConsSOLAR2'!$L$4:$L$64,'PV&amp;WIND'!M$38)</f>
        <v>0</v>
      </c>
      <c r="N61" s="215">
        <f>SUMIFS('CEA-underConsSOLAR2'!$F$4:$F$64,'CEA-underConsSOLAR2'!$A$4:$A$64,'PV&amp;WIND'!$B61,'CEA-underConsSOLAR2'!$L$4:$L$64,'PV&amp;WIND'!N$38)</f>
        <v>0</v>
      </c>
      <c r="O61" s="251">
        <f t="shared" si="41"/>
        <v>30.539999999999992</v>
      </c>
      <c r="P61" s="251">
        <f t="shared" si="42"/>
        <v>6.1079999999999988</v>
      </c>
      <c r="Q61" s="251">
        <f t="shared" si="42"/>
        <v>9.1619999999999973</v>
      </c>
      <c r="R61" s="251">
        <f t="shared" si="42"/>
        <v>15.269999999999996</v>
      </c>
      <c r="S61" s="221" t="str">
        <f t="shared" si="33"/>
        <v>WB</v>
      </c>
      <c r="T61" s="243">
        <f t="shared" si="34"/>
        <v>35.379999999999995</v>
      </c>
      <c r="U61" s="243">
        <f t="shared" si="35"/>
        <v>6.1079999999999988</v>
      </c>
      <c r="V61" s="243">
        <f t="shared" si="43"/>
        <v>9.1619999999999973</v>
      </c>
      <c r="W61" s="243">
        <f t="shared" si="44"/>
        <v>15.269999999999996</v>
      </c>
      <c r="X61" s="243">
        <v>0</v>
      </c>
      <c r="Y61" s="243">
        <v>0</v>
      </c>
      <c r="Z61" s="243">
        <v>0</v>
      </c>
      <c r="AA61" s="243">
        <v>0</v>
      </c>
      <c r="AB61" s="243">
        <v>0</v>
      </c>
      <c r="AC61" s="243">
        <v>0</v>
      </c>
      <c r="AD61" s="243">
        <v>0</v>
      </c>
      <c r="AE61" s="243"/>
      <c r="AF61" s="243"/>
      <c r="AG61" s="243"/>
      <c r="AH61" s="635">
        <f>VLOOKUP(EG_SOLARPV_max[[#This Row],[SubGeography2]],'MaxCapacity-Input'!$G$65:$L$90,5,FALSE)</f>
        <v>0</v>
      </c>
      <c r="AI61" s="77">
        <f>SUMIFS('Electricity Potential'!$G$5:$G$190,'Electricity Potential'!$C$5:$C$190,'PV&amp;WIND'!S61,'Electricity Potential'!$D$5:$D$190,'PV&amp;WIND'!AI$37)</f>
        <v>6260</v>
      </c>
      <c r="AJ61" s="420">
        <f t="shared" si="36"/>
        <v>8.3667468591285751E-3</v>
      </c>
      <c r="AK61" s="77" t="str">
        <f>EG_SOLARPV_min[[#This Row],[SubGeography2]]</f>
        <v>WB</v>
      </c>
      <c r="AL61" s="243">
        <f>EG_SOLARPV_min[[#This Row],[2021]]*(1+$AH61)</f>
        <v>35.379999999999995</v>
      </c>
      <c r="AM61" s="243">
        <f>EG_SOLARPV_min[[#This Row],[2022]]*(1+$AH61)</f>
        <v>6.1079999999999988</v>
      </c>
      <c r="AN61" s="243">
        <f>MAX($AJ61*AN$65,(EG_SOLARPV_min[[#This Row],[2023]]*(1+$AH61)))</f>
        <v>62.750601443464312</v>
      </c>
      <c r="AO61" s="243">
        <f>MAX($AJ61*AO$65,(EG_SOLARPV_min[[#This Row],[2024]]*(1+$AH61)))</f>
        <v>83.667468591285754</v>
      </c>
      <c r="AP61" s="243">
        <f t="shared" si="46"/>
        <v>104.58433573910719</v>
      </c>
      <c r="AQ61" s="243">
        <f t="shared" si="45"/>
        <v>125.50120288692862</v>
      </c>
      <c r="AR61" s="243">
        <f t="shared" si="45"/>
        <v>125.50120288692862</v>
      </c>
      <c r="AS61" s="243">
        <f t="shared" si="45"/>
        <v>125.50120288692862</v>
      </c>
      <c r="AT61" s="243">
        <f t="shared" si="45"/>
        <v>125.50120288692862</v>
      </c>
      <c r="AU61" s="243">
        <f t="shared" si="45"/>
        <v>125.50120288692862</v>
      </c>
      <c r="AV61" s="243">
        <f t="shared" si="45"/>
        <v>125.50120288692862</v>
      </c>
      <c r="BH61" s="77" t="b">
        <f>EG_SOLARPV_max[[#This Row],[2022]]&gt;=EG_SOLARPV_min[[#This Row],[2022]]</f>
        <v>1</v>
      </c>
    </row>
    <row r="62" spans="2:60" s="77" customFormat="1" ht="15">
      <c r="B62" s="58" t="str">
        <f t="shared" si="38"/>
        <v>UT</v>
      </c>
      <c r="C62" s="67">
        <f>SUMIF('Source-MNRE'!$A$6:$A$42,$B28,'Source-MNRE'!$L$6:$L$42)</f>
        <v>71.38000000000001</v>
      </c>
      <c r="D62" s="68">
        <f>SUMIF('Source-BTI'!$B$6:$B$25,'PV&amp;WIND'!B28,'Source-BTI'!$Q$6:$Q$25)</f>
        <v>0</v>
      </c>
      <c r="E62" s="68">
        <f>SUMIF('Source-BTI'!$B$6:$B$25,'PV&amp;WIND'!B28,'Source-BTI'!$T$6:$T$25)</f>
        <v>0</v>
      </c>
      <c r="F62" s="703">
        <f t="shared" si="39"/>
        <v>0</v>
      </c>
      <c r="G62" s="69">
        <f t="shared" si="40"/>
        <v>71.38000000000001</v>
      </c>
      <c r="H62" s="77">
        <f>SUMIF('Source-MNRE'!$AA$6:$AA$42,'PV&amp;WIND'!B62,'Source-MNRE'!$AC$6:$AC$42)</f>
        <v>29.119999999999997</v>
      </c>
      <c r="J62" s="248"/>
      <c r="K62" s="215">
        <f>SUMIFS('CEA-underConsSOLAR2'!$F$4:$F$64,'CEA-underConsSOLAR2'!$A$4:$A$64,'PV&amp;WIND'!$B62,'CEA-underConsSOLAR2'!$L$4:$L$64,'PV&amp;WIND'!K$38)</f>
        <v>0</v>
      </c>
      <c r="L62" s="215">
        <f>SUMIFS('CEA-underConsSOLAR2'!$F$4:$F$64,'CEA-underConsSOLAR2'!$A$4:$A$64,'PV&amp;WIND'!$B62,'CEA-underConsSOLAR2'!$L$4:$L$64,'PV&amp;WIND'!L$38)</f>
        <v>0</v>
      </c>
      <c r="M62" s="215">
        <f>SUMIFS('CEA-underConsSOLAR2'!$F$4:$F$64,'CEA-underConsSOLAR2'!$A$4:$A$64,'PV&amp;WIND'!$B62,'CEA-underConsSOLAR2'!$L$4:$L$64,'PV&amp;WIND'!M$38)</f>
        <v>0</v>
      </c>
      <c r="N62" s="215">
        <f>SUMIFS('CEA-underConsSOLAR2'!$F$4:$F$64,'CEA-underConsSOLAR2'!$A$4:$A$64,'PV&amp;WIND'!$B62,'CEA-underConsSOLAR2'!$L$4:$L$64,'PV&amp;WIND'!N$38)</f>
        <v>0</v>
      </c>
      <c r="O62" s="251">
        <f t="shared" si="41"/>
        <v>0</v>
      </c>
      <c r="P62" s="251">
        <f t="shared" si="42"/>
        <v>0</v>
      </c>
      <c r="Q62" s="251">
        <f t="shared" si="42"/>
        <v>0</v>
      </c>
      <c r="R62" s="251">
        <f t="shared" si="42"/>
        <v>0</v>
      </c>
      <c r="S62" s="222" t="str">
        <f t="shared" si="33"/>
        <v>UT</v>
      </c>
      <c r="T62" s="243">
        <f t="shared" si="34"/>
        <v>29.119999999999997</v>
      </c>
      <c r="U62" s="243">
        <f t="shared" si="35"/>
        <v>0</v>
      </c>
      <c r="V62" s="243">
        <f t="shared" si="43"/>
        <v>0</v>
      </c>
      <c r="W62" s="243">
        <f t="shared" si="44"/>
        <v>0</v>
      </c>
      <c r="X62" s="243">
        <v>0</v>
      </c>
      <c r="Y62" s="243">
        <v>0</v>
      </c>
      <c r="Z62" s="243">
        <v>0</v>
      </c>
      <c r="AA62" s="243">
        <v>0</v>
      </c>
      <c r="AB62" s="243">
        <v>0</v>
      </c>
      <c r="AC62" s="243">
        <v>0</v>
      </c>
      <c r="AD62" s="243">
        <v>0</v>
      </c>
      <c r="AE62" s="243"/>
      <c r="AF62" s="243"/>
      <c r="AG62" s="243"/>
      <c r="AH62" s="635">
        <f>VLOOKUP(EG_SOLARPV_max[[#This Row],[SubGeography2]],'MaxCapacity-Input'!$G$65:$L$90,5,FALSE)</f>
        <v>0</v>
      </c>
      <c r="AI62" s="77">
        <f>SUMIFS('Electricity Potential'!$G$5:$G$190,'Electricity Potential'!$C$5:$C$190,'PV&amp;WIND'!S62,'Electricity Potential'!$D$5:$D$190,'PV&amp;WIND'!AI$37)</f>
        <v>0</v>
      </c>
      <c r="AJ62" s="420">
        <f>AI62/$AI$64</f>
        <v>0</v>
      </c>
      <c r="AK62" s="77" t="str">
        <f>EG_SOLARPV_min[[#This Row],[SubGeography2]]</f>
        <v>UT</v>
      </c>
      <c r="AL62" s="243">
        <f>EG_SOLARPV_min[[#This Row],[2021]]*(1+$AH62)</f>
        <v>29.119999999999997</v>
      </c>
      <c r="AM62" s="243">
        <f>EG_SOLARPV_min[[#This Row],[2022]]*(1+$AH62)</f>
        <v>0</v>
      </c>
      <c r="AN62" s="243">
        <f>MAX($AJ62*AN$65,(EG_SOLARPV_min[[#This Row],[2023]]*(1+$AH62)))</f>
        <v>0</v>
      </c>
      <c r="AO62" s="243">
        <f>MAX($AJ62*AO$65,(EG_SOLARPV_min[[#This Row],[2024]]*(1+$AH62)))</f>
        <v>0</v>
      </c>
      <c r="AP62" s="243">
        <f t="shared" si="46"/>
        <v>0</v>
      </c>
      <c r="AQ62" s="243">
        <f t="shared" si="45"/>
        <v>0</v>
      </c>
      <c r="AR62" s="243">
        <f t="shared" si="45"/>
        <v>0</v>
      </c>
      <c r="AS62" s="243">
        <f t="shared" si="45"/>
        <v>0</v>
      </c>
      <c r="AT62" s="243">
        <f t="shared" si="45"/>
        <v>0</v>
      </c>
      <c r="AU62" s="243">
        <f t="shared" si="45"/>
        <v>0</v>
      </c>
      <c r="AV62" s="243">
        <f t="shared" si="45"/>
        <v>0</v>
      </c>
      <c r="BH62" s="77" t="b">
        <f>EG_SOLARPV_max[[#This Row],[2022]]&gt;=EG_SOLARPV_min[[#This Row],[2022]]</f>
        <v>1</v>
      </c>
    </row>
    <row r="63" spans="2:60" s="77" customFormat="1" ht="15">
      <c r="B63" s="58" t="str">
        <f t="shared" si="38"/>
        <v>DL</v>
      </c>
      <c r="C63" s="67">
        <f>SUMIF('Source-MNRE'!$A$6:$A$42,$B29,'Source-MNRE'!$L$6:$L$42)</f>
        <v>165.16</v>
      </c>
      <c r="D63" s="68">
        <f>SUMIF('Source-BTI'!$B$6:$B$25,'PV&amp;WIND'!B29,'Source-BTI'!$Q$6:$Q$25)</f>
        <v>0</v>
      </c>
      <c r="E63" s="68">
        <f>SUMIF('Source-BTI'!$B$6:$B$25,'PV&amp;WIND'!B29,'Source-BTI'!$T$6:$T$25)</f>
        <v>0</v>
      </c>
      <c r="F63" s="703">
        <f t="shared" si="39"/>
        <v>0</v>
      </c>
      <c r="G63" s="69">
        <f t="shared" si="40"/>
        <v>165.16</v>
      </c>
      <c r="H63" s="77">
        <f>SUMIF('Source-MNRE'!$AA$6:$AA$42,'PV&amp;WIND'!B63,'Source-MNRE'!$AC$6:$AC$42)</f>
        <v>27.810000000000002</v>
      </c>
      <c r="J63" s="248"/>
      <c r="K63" s="215">
        <f>SUMIFS('CEA-underConsSOLAR2'!$F$4:$F$64,'CEA-underConsSOLAR2'!$A$4:$A$64,'PV&amp;WIND'!$B63,'CEA-underConsSOLAR2'!$L$4:$L$64,'PV&amp;WIND'!K$38)</f>
        <v>0</v>
      </c>
      <c r="L63" s="215">
        <f>SUMIFS('CEA-underConsSOLAR2'!$F$4:$F$64,'CEA-underConsSOLAR2'!$A$4:$A$64,'PV&amp;WIND'!$B63,'CEA-underConsSOLAR2'!$L$4:$L$64,'PV&amp;WIND'!L$38)</f>
        <v>3</v>
      </c>
      <c r="M63" s="215">
        <f>SUMIFS('CEA-underConsSOLAR2'!$F$4:$F$64,'CEA-underConsSOLAR2'!$A$4:$A$64,'PV&amp;WIND'!$B63,'CEA-underConsSOLAR2'!$L$4:$L$64,'PV&amp;WIND'!M$38)</f>
        <v>0</v>
      </c>
      <c r="N63" s="215">
        <f>SUMIFS('CEA-underConsSOLAR2'!$F$4:$F$64,'CEA-underConsSOLAR2'!$A$4:$A$64,'PV&amp;WIND'!$B63,'CEA-underConsSOLAR2'!$L$4:$L$64,'PV&amp;WIND'!N$38)</f>
        <v>0</v>
      </c>
      <c r="O63" s="251">
        <f t="shared" si="41"/>
        <v>0</v>
      </c>
      <c r="P63" s="251">
        <f t="shared" si="42"/>
        <v>0</v>
      </c>
      <c r="Q63" s="251">
        <f t="shared" si="42"/>
        <v>0</v>
      </c>
      <c r="R63" s="251">
        <f t="shared" si="42"/>
        <v>0</v>
      </c>
      <c r="S63" s="221" t="str">
        <f t="shared" si="33"/>
        <v>DL</v>
      </c>
      <c r="T63" s="243">
        <f t="shared" si="34"/>
        <v>27.810000000000002</v>
      </c>
      <c r="U63" s="243">
        <f t="shared" si="35"/>
        <v>3</v>
      </c>
      <c r="V63" s="243">
        <f t="shared" si="43"/>
        <v>0</v>
      </c>
      <c r="W63" s="243">
        <f t="shared" si="44"/>
        <v>0</v>
      </c>
      <c r="X63" s="243">
        <v>0</v>
      </c>
      <c r="Y63" s="243">
        <v>0</v>
      </c>
      <c r="Z63" s="243">
        <v>0</v>
      </c>
      <c r="AA63" s="243">
        <v>0</v>
      </c>
      <c r="AB63" s="243">
        <v>0</v>
      </c>
      <c r="AC63" s="243">
        <v>0</v>
      </c>
      <c r="AD63" s="243">
        <v>0</v>
      </c>
      <c r="AE63" s="243"/>
      <c r="AF63" s="243"/>
      <c r="AG63" s="243"/>
      <c r="AH63" s="635">
        <f>VLOOKUP(EG_SOLARPV_max[[#This Row],[SubGeography2]],'MaxCapacity-Input'!$G$65:$L$90,5,FALSE)</f>
        <v>0</v>
      </c>
      <c r="AI63" s="77">
        <f>SUMIFS('Electricity Potential'!$G$5:$G$190,'Electricity Potential'!$C$5:$C$190,'PV&amp;WIND'!S63,'Electricity Potential'!$D$5:$D$190,'PV&amp;WIND'!AI$37)</f>
        <v>2050</v>
      </c>
      <c r="AJ63" s="420">
        <f>AI63/$AI$64</f>
        <v>2.7399091152098369E-3</v>
      </c>
      <c r="AK63" s="77" t="str">
        <f>EG_SOLARPV_min[[#This Row],[SubGeography2]]</f>
        <v>DL</v>
      </c>
      <c r="AL63" s="243">
        <f>EG_SOLARPV_min[[#This Row],[2021]]*(1+$AH63)</f>
        <v>27.810000000000002</v>
      </c>
      <c r="AM63" s="243">
        <f>EG_SOLARPV_min[[#This Row],[2022]]*(1+$AH63)</f>
        <v>3</v>
      </c>
      <c r="AN63" s="243">
        <f>MAX($AJ63*AN$65,(EG_SOLARPV_min[[#This Row],[2023]]*(1+$AH63)))</f>
        <v>20.549318364073777</v>
      </c>
      <c r="AO63" s="243">
        <f>MAX($AJ63*AO$65,(EG_SOLARPV_min[[#This Row],[2024]]*(1+$AH63)))</f>
        <v>27.399091152098368</v>
      </c>
      <c r="AP63" s="243">
        <f t="shared" si="46"/>
        <v>34.248863940122959</v>
      </c>
      <c r="AQ63" s="243">
        <f t="shared" si="45"/>
        <v>41.098636728147554</v>
      </c>
      <c r="AR63" s="243">
        <f t="shared" si="45"/>
        <v>41.098636728147554</v>
      </c>
      <c r="AS63" s="243">
        <f t="shared" si="45"/>
        <v>41.098636728147554</v>
      </c>
      <c r="AT63" s="243">
        <f t="shared" si="45"/>
        <v>41.098636728147554</v>
      </c>
      <c r="AU63" s="243">
        <f t="shared" si="45"/>
        <v>41.098636728147554</v>
      </c>
      <c r="AV63" s="243">
        <f t="shared" si="45"/>
        <v>41.098636728147554</v>
      </c>
      <c r="BH63" s="77" t="b">
        <f>EG_SOLARPV_max[[#This Row],[2022]]&gt;=EG_SOLARPV_min[[#This Row],[2022]]</f>
        <v>1</v>
      </c>
    </row>
    <row r="64" spans="2:60" s="77" customFormat="1" ht="15">
      <c r="B64" s="58" t="str">
        <f t="shared" si="38"/>
        <v>UNALLOCATED</v>
      </c>
      <c r="C64" s="67">
        <f>SUMIF('Source-MNRE'!$A$6:$A$42,$B30,'Source-MNRE'!$L$6:$L$42)</f>
        <v>0</v>
      </c>
      <c r="D64" s="68">
        <f>SUMIF('Source-BTI'!$B$6:$B$25,'PV&amp;WIND'!B30,'Source-BTI'!$Q$6:$Q$25)</f>
        <v>0</v>
      </c>
      <c r="E64" s="68">
        <f>SUMIF('Source-BTI'!$B$6:$B$25,'PV&amp;WIND'!B30,'Source-BTI'!$T$6:$T$25)</f>
        <v>0</v>
      </c>
      <c r="F64" s="703">
        <f t="shared" si="39"/>
        <v>0</v>
      </c>
      <c r="G64" s="69">
        <f t="shared" si="40"/>
        <v>0</v>
      </c>
      <c r="H64" s="77">
        <f>SUMIF('Source-MNRE'!$AA$6:$AA$42,'PV&amp;WIND'!B64,'Source-MNRE'!$AC$6:$AC$42)</f>
        <v>0</v>
      </c>
      <c r="J64" s="248"/>
      <c r="K64" s="215">
        <f>SUMIFS('CEA-underConsSOLAR2'!$F$4:$F$64,'CEA-underConsSOLAR2'!$A$4:$A$64,'PV&amp;WIND'!$B64,'CEA-underConsSOLAR2'!$L$4:$L$64,'PV&amp;WIND'!K$38)</f>
        <v>0</v>
      </c>
      <c r="L64" s="215">
        <f>SUMIFS('CEA-underConsSOLAR2'!$F$4:$F$64,'CEA-underConsSOLAR2'!$A$4:$A$64,'PV&amp;WIND'!$B64,'CEA-underConsSOLAR2'!$L$4:$L$64,'PV&amp;WIND'!L$38)</f>
        <v>1004</v>
      </c>
      <c r="M64" s="215">
        <f>SUMIFS('CEA-underConsSOLAR2'!$F$4:$F$64,'CEA-underConsSOLAR2'!$A$4:$A$64,'PV&amp;WIND'!$B64,'CEA-underConsSOLAR2'!$L$4:$L$64,'PV&amp;WIND'!M$38)</f>
        <v>0</v>
      </c>
      <c r="N64" s="215">
        <f>SUMIFS('CEA-underConsSOLAR2'!$F$4:$F$64,'CEA-underConsSOLAR2'!$A$4:$A$64,'PV&amp;WIND'!$B64,'CEA-underConsSOLAR2'!$L$4:$L$64,'PV&amp;WIND'!N$38)</f>
        <v>0</v>
      </c>
      <c r="O64" s="251">
        <f t="shared" si="41"/>
        <v>0</v>
      </c>
      <c r="P64" s="251">
        <f t="shared" si="42"/>
        <v>0</v>
      </c>
      <c r="Q64" s="251">
        <f t="shared" si="42"/>
        <v>0</v>
      </c>
      <c r="R64" s="251">
        <f t="shared" si="42"/>
        <v>0</v>
      </c>
      <c r="S64" s="58"/>
      <c r="T64" s="68">
        <f>SUM(T39:T63)</f>
        <v>4438.8600000000015</v>
      </c>
      <c r="U64" s="68">
        <f t="shared" ref="U64:AD64" si="47">SUM(U39:U63)</f>
        <v>8359.898000000001</v>
      </c>
      <c r="V64" s="68">
        <f t="shared" si="47"/>
        <v>11480.346999999998</v>
      </c>
      <c r="W64" s="68">
        <f t="shared" si="47"/>
        <v>15117.244999999999</v>
      </c>
      <c r="X64" s="68">
        <f t="shared" si="47"/>
        <v>0</v>
      </c>
      <c r="Y64" s="68">
        <f t="shared" si="47"/>
        <v>0</v>
      </c>
      <c r="Z64" s="68">
        <f t="shared" si="47"/>
        <v>0</v>
      </c>
      <c r="AA64" s="68">
        <f t="shared" si="47"/>
        <v>0</v>
      </c>
      <c r="AB64" s="68">
        <f t="shared" si="47"/>
        <v>0</v>
      </c>
      <c r="AC64" s="68">
        <f t="shared" si="47"/>
        <v>0</v>
      </c>
      <c r="AD64" s="68">
        <f t="shared" si="47"/>
        <v>0</v>
      </c>
      <c r="AE64" s="68"/>
      <c r="AF64" s="68"/>
      <c r="AG64" s="68"/>
      <c r="AI64" s="77">
        <f>SUM(AI39:AI63)</f>
        <v>748200</v>
      </c>
      <c r="AK64" s="77" t="s">
        <v>1916</v>
      </c>
      <c r="AN64" s="629">
        <f t="shared" ref="AN64:AV64" si="48">AN65-V64</f>
        <v>-3980.3469999999979</v>
      </c>
      <c r="AO64" s="629">
        <f t="shared" si="48"/>
        <v>-5117.244999999999</v>
      </c>
      <c r="AP64" s="629">
        <f t="shared" si="48"/>
        <v>12500</v>
      </c>
      <c r="AQ64" s="629">
        <f t="shared" si="48"/>
        <v>15000</v>
      </c>
      <c r="AR64" s="629">
        <f t="shared" si="48"/>
        <v>15000</v>
      </c>
      <c r="AS64" s="629">
        <f t="shared" si="48"/>
        <v>15000</v>
      </c>
      <c r="AT64" s="629">
        <f t="shared" si="48"/>
        <v>15000</v>
      </c>
      <c r="AU64" s="629">
        <f t="shared" si="48"/>
        <v>15000</v>
      </c>
      <c r="AV64" s="629">
        <f t="shared" si="48"/>
        <v>15000</v>
      </c>
    </row>
    <row r="65" spans="2:48" s="84" customFormat="1" ht="13.5" thickBot="1">
      <c r="B65" s="75" t="str">
        <f>B31</f>
        <v xml:space="preserve">TOTAL </v>
      </c>
      <c r="C65" s="89">
        <f>SUM(C39:C64)</f>
        <v>34614.879999999997</v>
      </c>
      <c r="D65" s="90">
        <f>SUM(D39:D64)</f>
        <v>34091</v>
      </c>
      <c r="E65" s="90">
        <f>SUM(E39:E64)</f>
        <v>38799</v>
      </c>
      <c r="F65" s="72">
        <f>SUM(F39:F64)</f>
        <v>39551.49</v>
      </c>
      <c r="G65" s="72">
        <f t="shared" si="40"/>
        <v>34614.879999999997</v>
      </c>
      <c r="H65" s="77">
        <f>SUMIF('Source-MNRE'!$AA$6:$AA$42,'PV&amp;WIND'!B65,'Source-MNRE'!$AC$6:$AC$42)</f>
        <v>0</v>
      </c>
      <c r="J65" s="91"/>
      <c r="K65" s="91"/>
      <c r="L65" s="91"/>
      <c r="M65" s="91"/>
      <c r="N65" s="91"/>
      <c r="O65" s="252"/>
      <c r="P65" s="252"/>
      <c r="Q65" s="252"/>
      <c r="R65" s="252"/>
      <c r="T65" s="217"/>
      <c r="U65" s="217"/>
      <c r="V65" s="217"/>
      <c r="AK65" s="77" t="s">
        <v>1250</v>
      </c>
      <c r="AN65" s="347">
        <f>'MaxCapacity-Input'!E11</f>
        <v>7500</v>
      </c>
      <c r="AO65" s="347">
        <f>'MaxCapacity-Input'!F11</f>
        <v>10000</v>
      </c>
      <c r="AP65" s="347">
        <f>'MaxCapacity-Input'!G11</f>
        <v>12500</v>
      </c>
      <c r="AQ65" s="347">
        <f>'MaxCapacity-Input'!H11</f>
        <v>15000</v>
      </c>
      <c r="AR65" s="347">
        <f>'MaxCapacity-Input'!I11</f>
        <v>15000</v>
      </c>
      <c r="AS65" s="347">
        <f>'MaxCapacity-Input'!J11</f>
        <v>15000</v>
      </c>
      <c r="AT65" s="347">
        <f>'MaxCapacity-Input'!K11</f>
        <v>15000</v>
      </c>
      <c r="AU65" s="347">
        <f>'MaxCapacity-Input'!L11</f>
        <v>15000</v>
      </c>
      <c r="AV65" s="347">
        <f>'MaxCapacity-Input'!M11</f>
        <v>15000</v>
      </c>
    </row>
    <row r="66" spans="2:48">
      <c r="B66" s="58" t="s">
        <v>240</v>
      </c>
      <c r="F66" s="86">
        <f>'CEA-underConsSOLAR0'!E18</f>
        <v>13816</v>
      </c>
    </row>
    <row r="67" spans="2:48">
      <c r="F67" s="74">
        <f>F66/F65</f>
        <v>0.34931680197130377</v>
      </c>
    </row>
  </sheetData>
  <mergeCells count="6">
    <mergeCell ref="K36:M36"/>
    <mergeCell ref="K2:M2"/>
    <mergeCell ref="P36:R36"/>
    <mergeCell ref="P2:R2"/>
    <mergeCell ref="T2:AD2"/>
    <mergeCell ref="T36:AD36"/>
  </mergeCells>
  <pageMargins left="0.7" right="0.7" top="0.75" bottom="0.75" header="0.3" footer="0.3"/>
  <pageSetup orientation="portrait"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U190"/>
  <sheetViews>
    <sheetView zoomScaleNormal="100" workbookViewId="0"/>
  </sheetViews>
  <sheetFormatPr defaultRowHeight="15"/>
  <cols>
    <col min="1" max="1" width="9.140625" style="416"/>
    <col min="2" max="2" width="20.85546875" style="416" bestFit="1" customWidth="1"/>
    <col min="3" max="3" width="8.5703125" style="416" bestFit="1" customWidth="1"/>
    <col min="4" max="4" width="12.42578125" style="416" customWidth="1"/>
    <col min="5" max="5" width="19.85546875" style="416" bestFit="1" customWidth="1"/>
    <col min="6" max="9" width="9.140625" style="416"/>
    <col min="10" max="10" width="20.85546875" style="416" bestFit="1" customWidth="1"/>
    <col min="11" max="11" width="11.140625" style="416" bestFit="1" customWidth="1"/>
    <col min="12" max="17" width="9.140625" style="416"/>
    <col min="18" max="18" width="14.42578125" style="416" bestFit="1" customWidth="1"/>
    <col min="19" max="19" width="12.7109375" style="416" customWidth="1"/>
    <col min="20" max="16384" width="9.140625" style="416"/>
  </cols>
  <sheetData>
    <row r="1" spans="1:21">
      <c r="A1" s="39" t="s">
        <v>975</v>
      </c>
    </row>
    <row r="2" spans="1:21">
      <c r="A2" s="416" t="s">
        <v>974</v>
      </c>
    </row>
    <row r="3" spans="1:21">
      <c r="A3" s="416" t="s">
        <v>973</v>
      </c>
      <c r="N3" s="39" t="s">
        <v>1935</v>
      </c>
    </row>
    <row r="4" spans="1:21">
      <c r="A4" s="39" t="s">
        <v>972</v>
      </c>
      <c r="B4" s="39" t="s">
        <v>122</v>
      </c>
      <c r="C4" s="704" t="s">
        <v>977</v>
      </c>
      <c r="D4" s="39" t="s">
        <v>971</v>
      </c>
      <c r="E4" s="39" t="s">
        <v>970</v>
      </c>
      <c r="F4" s="39" t="s">
        <v>969</v>
      </c>
      <c r="G4" s="39" t="s">
        <v>968</v>
      </c>
      <c r="H4" s="39"/>
      <c r="J4" s="416" t="s">
        <v>976</v>
      </c>
      <c r="K4" s="416" t="s">
        <v>977</v>
      </c>
      <c r="O4" s="416" t="s">
        <v>952</v>
      </c>
      <c r="P4" s="416" t="s">
        <v>955</v>
      </c>
      <c r="Q4" s="416" t="s">
        <v>906</v>
      </c>
      <c r="R4" s="416" t="s">
        <v>954</v>
      </c>
      <c r="S4" s="416" t="s">
        <v>953</v>
      </c>
      <c r="T4" s="416" t="s">
        <v>964</v>
      </c>
      <c r="U4" s="416" t="s">
        <v>959</v>
      </c>
    </row>
    <row r="5" spans="1:21">
      <c r="A5" s="416" t="s">
        <v>963</v>
      </c>
      <c r="B5" s="416" t="s">
        <v>917</v>
      </c>
      <c r="C5" s="339" t="str">
        <f>VLOOKUP(B5,'Electricity Potential'!$J$5:$K$40,2,FALSE)</f>
        <v>WB</v>
      </c>
      <c r="D5" s="416" t="s">
        <v>906</v>
      </c>
      <c r="E5" s="416" t="s">
        <v>956</v>
      </c>
      <c r="F5" s="416">
        <v>2020</v>
      </c>
      <c r="G5" s="416">
        <v>2829</v>
      </c>
      <c r="J5" s="416" t="s">
        <v>917</v>
      </c>
      <c r="K5" s="416" t="s">
        <v>17</v>
      </c>
      <c r="N5" s="632" t="str">
        <f>EG_WIND_min[[#This Row],[SubGeography2]]</f>
        <v>AP</v>
      </c>
      <c r="O5" s="416">
        <f>SUMIFS($G$5:$G$190,$C$5:$C$190,$N5,$D$5:$D$190,O$4)</f>
        <v>38440</v>
      </c>
      <c r="P5" s="416">
        <f>SUMIFS($G$5:$G$190,$C$5:$C$190,$N5,$D$5:$D$190,P$4)</f>
        <v>74906</v>
      </c>
      <c r="Q5" s="416">
        <f t="shared" ref="Q5:U5" si="0">SUMIFS($G$5:$G$190,$C$5:$C$190,$N5,$D$5:$D$190,Q$4)</f>
        <v>2341</v>
      </c>
      <c r="R5" s="416">
        <f t="shared" si="0"/>
        <v>409</v>
      </c>
      <c r="S5" s="416">
        <f t="shared" si="0"/>
        <v>578</v>
      </c>
      <c r="T5" s="416">
        <f t="shared" si="0"/>
        <v>300</v>
      </c>
      <c r="U5" s="416">
        <f t="shared" si="0"/>
        <v>123</v>
      </c>
    </row>
    <row r="6" spans="1:21">
      <c r="A6" s="416" t="s">
        <v>963</v>
      </c>
      <c r="B6" s="416" t="s">
        <v>917</v>
      </c>
      <c r="C6" s="339" t="str">
        <f>VLOOKUP(B6,'Electricity Potential'!$J$5:$K$40,2,FALSE)</f>
        <v>WB</v>
      </c>
      <c r="D6" s="416" t="s">
        <v>955</v>
      </c>
      <c r="E6" s="416" t="s">
        <v>951</v>
      </c>
      <c r="F6" s="416">
        <v>2020</v>
      </c>
      <c r="G6" s="416">
        <v>1050</v>
      </c>
      <c r="J6" s="416" t="s">
        <v>920</v>
      </c>
      <c r="K6" s="416" t="s">
        <v>20</v>
      </c>
      <c r="N6" s="633" t="str">
        <f>EG_WIND_min[[#This Row],[SubGeography2]]</f>
        <v>NE</v>
      </c>
      <c r="O6" s="416">
        <f t="shared" ref="O6:U29" si="1">SUMIFS($G$5:$G$190,$C$5:$C$190,$N6,$D$5:$D$190,O$4)</f>
        <v>48540</v>
      </c>
      <c r="P6" s="416">
        <f t="shared" si="1"/>
        <v>275</v>
      </c>
      <c r="Q6" s="416">
        <f t="shared" si="1"/>
        <v>61954</v>
      </c>
      <c r="R6" s="416">
        <f t="shared" si="1"/>
        <v>3059.86</v>
      </c>
      <c r="S6" s="416">
        <f t="shared" si="1"/>
        <v>47.9</v>
      </c>
      <c r="T6" s="416">
        <f t="shared" si="1"/>
        <v>0</v>
      </c>
      <c r="U6" s="416">
        <f t="shared" si="1"/>
        <v>7.5</v>
      </c>
    </row>
    <row r="7" spans="1:21">
      <c r="A7" s="416" t="s">
        <v>963</v>
      </c>
      <c r="B7" s="416" t="s">
        <v>917</v>
      </c>
      <c r="C7" s="339" t="str">
        <f>VLOOKUP(B7,'Electricity Potential'!$J$5:$K$40,2,FALSE)</f>
        <v>WB</v>
      </c>
      <c r="D7" s="416" t="s">
        <v>954</v>
      </c>
      <c r="E7" s="416" t="s">
        <v>951</v>
      </c>
      <c r="F7" s="416">
        <v>2020</v>
      </c>
      <c r="G7" s="416">
        <v>392.06</v>
      </c>
      <c r="J7" s="416" t="s">
        <v>921</v>
      </c>
      <c r="K7" s="416" t="s">
        <v>19</v>
      </c>
      <c r="N7" s="632" t="str">
        <f>EG_WIND_min[[#This Row],[SubGeography2]]</f>
        <v>AS</v>
      </c>
      <c r="O7" s="416">
        <f t="shared" si="1"/>
        <v>13760</v>
      </c>
      <c r="P7" s="416">
        <f t="shared" si="1"/>
        <v>246</v>
      </c>
      <c r="Q7" s="416">
        <f t="shared" si="1"/>
        <v>650</v>
      </c>
      <c r="R7" s="416">
        <f t="shared" si="1"/>
        <v>202</v>
      </c>
      <c r="S7" s="416">
        <f t="shared" si="1"/>
        <v>212</v>
      </c>
      <c r="T7" s="416">
        <f t="shared" si="1"/>
        <v>0</v>
      </c>
      <c r="U7" s="416">
        <f t="shared" si="1"/>
        <v>8</v>
      </c>
    </row>
    <row r="8" spans="1:21">
      <c r="A8" s="416" t="s">
        <v>963</v>
      </c>
      <c r="B8" s="416" t="s">
        <v>917</v>
      </c>
      <c r="C8" s="339" t="str">
        <f>VLOOKUP(B8,'Electricity Potential'!$J$5:$K$40,2,FALSE)</f>
        <v>WB</v>
      </c>
      <c r="D8" s="416" t="s">
        <v>953</v>
      </c>
      <c r="E8" s="416" t="s">
        <v>951</v>
      </c>
      <c r="F8" s="416">
        <v>2020</v>
      </c>
      <c r="G8" s="416">
        <v>396</v>
      </c>
      <c r="J8" s="416" t="s">
        <v>929</v>
      </c>
      <c r="K8" s="416" t="s">
        <v>9</v>
      </c>
      <c r="N8" s="633" t="str">
        <f>EG_WIND_min[[#This Row],[SubGeography2]]</f>
        <v>BR</v>
      </c>
      <c r="O8" s="416">
        <f t="shared" si="1"/>
        <v>11200</v>
      </c>
      <c r="P8" s="416">
        <f t="shared" si="1"/>
        <v>3650</v>
      </c>
      <c r="Q8" s="416">
        <f t="shared" si="1"/>
        <v>40</v>
      </c>
      <c r="R8" s="416">
        <f t="shared" si="1"/>
        <v>527</v>
      </c>
      <c r="S8" s="416">
        <f t="shared" si="1"/>
        <v>619</v>
      </c>
      <c r="T8" s="416">
        <f t="shared" si="1"/>
        <v>300</v>
      </c>
      <c r="U8" s="416">
        <f t="shared" si="1"/>
        <v>73</v>
      </c>
    </row>
    <row r="9" spans="1:21">
      <c r="A9" s="416" t="s">
        <v>963</v>
      </c>
      <c r="B9" s="416" t="s">
        <v>917</v>
      </c>
      <c r="C9" s="339" t="str">
        <f>VLOOKUP(B9,'Electricity Potential'!$J$5:$K$40,2,FALSE)</f>
        <v>WB</v>
      </c>
      <c r="D9" s="416" t="s">
        <v>959</v>
      </c>
      <c r="E9" s="416" t="s">
        <v>951</v>
      </c>
      <c r="F9" s="416">
        <v>2020</v>
      </c>
      <c r="G9" s="416">
        <v>148</v>
      </c>
      <c r="J9" s="416" t="s">
        <v>967</v>
      </c>
      <c r="K9" s="416" t="s">
        <v>18</v>
      </c>
      <c r="N9" s="632" t="str">
        <f>EG_WIND_min[[#This Row],[SubGeography2]]</f>
        <v>CG</v>
      </c>
      <c r="O9" s="416">
        <f t="shared" si="1"/>
        <v>18270</v>
      </c>
      <c r="P9" s="416">
        <f t="shared" si="1"/>
        <v>348</v>
      </c>
      <c r="Q9" s="416">
        <f t="shared" si="1"/>
        <v>2202</v>
      </c>
      <c r="R9" s="416">
        <f t="shared" si="1"/>
        <v>1098</v>
      </c>
      <c r="S9" s="416">
        <f t="shared" si="1"/>
        <v>236</v>
      </c>
      <c r="T9" s="416">
        <f t="shared" si="1"/>
        <v>0</v>
      </c>
      <c r="U9" s="416">
        <f t="shared" si="1"/>
        <v>24</v>
      </c>
    </row>
    <row r="10" spans="1:21">
      <c r="A10" s="416" t="s">
        <v>963</v>
      </c>
      <c r="B10" s="416" t="s">
        <v>917</v>
      </c>
      <c r="C10" s="339" t="str">
        <f>VLOOKUP(B10,'Electricity Potential'!$J$5:$K$40,2,FALSE)</f>
        <v>WB</v>
      </c>
      <c r="D10" s="416" t="s">
        <v>952</v>
      </c>
      <c r="E10" s="416" t="s">
        <v>951</v>
      </c>
      <c r="F10" s="416">
        <v>2020</v>
      </c>
      <c r="G10" s="416">
        <v>6260</v>
      </c>
      <c r="J10" s="416" t="s">
        <v>933</v>
      </c>
      <c r="K10" s="416" t="s">
        <v>0</v>
      </c>
      <c r="N10" s="633" t="str">
        <f>EG_WIND_min[[#This Row],[SubGeography2]]</f>
        <v>GA</v>
      </c>
      <c r="O10" s="416">
        <f t="shared" si="1"/>
        <v>880</v>
      </c>
      <c r="P10" s="416">
        <f t="shared" si="1"/>
        <v>8</v>
      </c>
      <c r="Q10" s="416">
        <f t="shared" si="1"/>
        <v>55</v>
      </c>
      <c r="R10" s="416">
        <f t="shared" si="1"/>
        <v>5</v>
      </c>
      <c r="S10" s="416">
        <f t="shared" si="1"/>
        <v>26</v>
      </c>
      <c r="T10" s="416">
        <f t="shared" si="1"/>
        <v>0</v>
      </c>
      <c r="U10" s="416">
        <f t="shared" si="1"/>
        <v>0</v>
      </c>
    </row>
    <row r="11" spans="1:21">
      <c r="A11" s="416" t="s">
        <v>963</v>
      </c>
      <c r="B11" s="416" t="s">
        <v>920</v>
      </c>
      <c r="C11" s="339" t="str">
        <f>VLOOKUP(B11,'Electricity Potential'!$J$5:$K$40,2,FALSE)</f>
        <v>JH</v>
      </c>
      <c r="D11" s="416" t="s">
        <v>906</v>
      </c>
      <c r="E11" s="416" t="s">
        <v>956</v>
      </c>
      <c r="F11" s="416">
        <v>2020</v>
      </c>
      <c r="G11" s="416">
        <v>582</v>
      </c>
      <c r="J11" s="416" t="s">
        <v>928</v>
      </c>
      <c r="K11" s="416" t="s">
        <v>10</v>
      </c>
      <c r="N11" s="632" t="str">
        <f>EG_WIND_min[[#This Row],[SubGeography2]]</f>
        <v>GJ</v>
      </c>
      <c r="O11" s="416">
        <f t="shared" si="1"/>
        <v>35770</v>
      </c>
      <c r="P11" s="416">
        <f t="shared" si="1"/>
        <v>142560</v>
      </c>
      <c r="Q11" s="416">
        <f t="shared" si="1"/>
        <v>590</v>
      </c>
      <c r="R11" s="416">
        <f t="shared" si="1"/>
        <v>202</v>
      </c>
      <c r="S11" s="416">
        <f t="shared" si="1"/>
        <v>1221</v>
      </c>
      <c r="T11" s="416">
        <f t="shared" si="1"/>
        <v>350</v>
      </c>
      <c r="U11" s="416">
        <f t="shared" si="1"/>
        <v>112</v>
      </c>
    </row>
    <row r="12" spans="1:21">
      <c r="A12" s="416" t="s">
        <v>963</v>
      </c>
      <c r="B12" s="416" t="s">
        <v>920</v>
      </c>
      <c r="C12" s="339" t="str">
        <f>VLOOKUP(B12,'Electricity Potential'!$J$5:$K$40,2,FALSE)</f>
        <v>JH</v>
      </c>
      <c r="D12" s="416" t="s">
        <v>954</v>
      </c>
      <c r="E12" s="416" t="s">
        <v>951</v>
      </c>
      <c r="F12" s="416">
        <v>2020</v>
      </c>
      <c r="G12" s="416">
        <v>228</v>
      </c>
      <c r="J12" s="416" t="s">
        <v>919</v>
      </c>
      <c r="K12" s="416" t="s">
        <v>16</v>
      </c>
      <c r="N12" s="633" t="str">
        <f>EG_WIND_min[[#This Row],[SubGeography2]]</f>
        <v>HR</v>
      </c>
      <c r="O12" s="416">
        <f t="shared" si="1"/>
        <v>4560</v>
      </c>
      <c r="P12" s="416">
        <f t="shared" si="1"/>
        <v>419</v>
      </c>
      <c r="Q12" s="416">
        <f t="shared" si="1"/>
        <v>64</v>
      </c>
      <c r="R12" s="416">
        <f t="shared" si="1"/>
        <v>107</v>
      </c>
      <c r="S12" s="416">
        <f t="shared" si="1"/>
        <v>1333</v>
      </c>
      <c r="T12" s="416">
        <f t="shared" si="1"/>
        <v>350</v>
      </c>
      <c r="U12" s="416">
        <f t="shared" si="1"/>
        <v>24</v>
      </c>
    </row>
    <row r="13" spans="1:21">
      <c r="A13" s="416" t="s">
        <v>963</v>
      </c>
      <c r="B13" s="416" t="s">
        <v>920</v>
      </c>
      <c r="C13" s="339" t="str">
        <f>VLOOKUP(B13,'Electricity Potential'!$J$5:$K$40,2,FALSE)</f>
        <v>JH</v>
      </c>
      <c r="D13" s="416" t="s">
        <v>953</v>
      </c>
      <c r="E13" s="416" t="s">
        <v>951</v>
      </c>
      <c r="F13" s="416">
        <v>2020</v>
      </c>
      <c r="G13" s="416">
        <v>90</v>
      </c>
      <c r="J13" s="416" t="s">
        <v>927</v>
      </c>
      <c r="K13" s="416" t="s">
        <v>14</v>
      </c>
      <c r="N13" s="632" t="str">
        <f>EG_WIND_min[[#This Row],[SubGeography2]]</f>
        <v>HP</v>
      </c>
      <c r="O13" s="416">
        <f t="shared" si="1"/>
        <v>33840</v>
      </c>
      <c r="P13" s="416">
        <f t="shared" si="1"/>
        <v>151</v>
      </c>
      <c r="Q13" s="416">
        <f t="shared" si="1"/>
        <v>18540</v>
      </c>
      <c r="R13" s="416">
        <f t="shared" si="1"/>
        <v>3460</v>
      </c>
      <c r="S13" s="416">
        <f t="shared" si="1"/>
        <v>142</v>
      </c>
      <c r="T13" s="416">
        <f t="shared" si="1"/>
        <v>0</v>
      </c>
      <c r="U13" s="416">
        <f t="shared" si="1"/>
        <v>2</v>
      </c>
    </row>
    <row r="14" spans="1:21">
      <c r="A14" s="416" t="s">
        <v>963</v>
      </c>
      <c r="B14" s="416" t="s">
        <v>920</v>
      </c>
      <c r="C14" s="339" t="str">
        <f>VLOOKUP(B14,'Electricity Potential'!$J$5:$K$40,2,FALSE)</f>
        <v>JH</v>
      </c>
      <c r="D14" s="416" t="s">
        <v>959</v>
      </c>
      <c r="E14" s="416" t="s">
        <v>951</v>
      </c>
      <c r="F14" s="416">
        <v>2020</v>
      </c>
      <c r="G14" s="416">
        <v>10</v>
      </c>
      <c r="J14" s="416" t="s">
        <v>922</v>
      </c>
      <c r="K14" s="416" t="s">
        <v>15</v>
      </c>
      <c r="N14" s="633" t="str">
        <f>EG_WIND_min[[#This Row],[SubGeography2]]</f>
        <v>JK</v>
      </c>
      <c r="O14" s="416">
        <f t="shared" si="1"/>
        <v>111050</v>
      </c>
      <c r="P14" s="416">
        <f t="shared" si="1"/>
        <v>3</v>
      </c>
      <c r="Q14" s="416">
        <f t="shared" si="1"/>
        <v>13543</v>
      </c>
      <c r="R14" s="416">
        <f t="shared" si="1"/>
        <v>1707</v>
      </c>
      <c r="S14" s="416">
        <f t="shared" si="1"/>
        <v>43</v>
      </c>
      <c r="T14" s="416">
        <f t="shared" si="1"/>
        <v>0</v>
      </c>
      <c r="U14" s="416">
        <f t="shared" si="1"/>
        <v>0</v>
      </c>
    </row>
    <row r="15" spans="1:21">
      <c r="A15" s="416" t="s">
        <v>963</v>
      </c>
      <c r="B15" s="416" t="s">
        <v>920</v>
      </c>
      <c r="C15" s="339" t="str">
        <f>VLOOKUP(B15,'Electricity Potential'!$J$5:$K$40,2,FALSE)</f>
        <v>JH</v>
      </c>
      <c r="D15" s="416" t="s">
        <v>952</v>
      </c>
      <c r="E15" s="416" t="s">
        <v>951</v>
      </c>
      <c r="F15" s="416">
        <v>2020</v>
      </c>
      <c r="G15" s="416">
        <v>18180</v>
      </c>
      <c r="J15" s="416" t="s">
        <v>918</v>
      </c>
      <c r="K15" s="416" t="s">
        <v>90</v>
      </c>
      <c r="N15" s="632" t="str">
        <f>EG_WIND_min[[#This Row],[SubGeography2]]</f>
        <v>JH</v>
      </c>
      <c r="O15" s="416">
        <f t="shared" si="1"/>
        <v>18180</v>
      </c>
      <c r="P15" s="416">
        <f t="shared" si="1"/>
        <v>0</v>
      </c>
      <c r="Q15" s="416">
        <f t="shared" si="1"/>
        <v>582</v>
      </c>
      <c r="R15" s="416">
        <f t="shared" si="1"/>
        <v>228</v>
      </c>
      <c r="S15" s="416">
        <f t="shared" si="1"/>
        <v>90</v>
      </c>
      <c r="T15" s="416">
        <f t="shared" si="1"/>
        <v>0</v>
      </c>
      <c r="U15" s="416">
        <f t="shared" si="1"/>
        <v>10</v>
      </c>
    </row>
    <row r="16" spans="1:21">
      <c r="A16" s="416" t="s">
        <v>963</v>
      </c>
      <c r="B16" s="416" t="s">
        <v>921</v>
      </c>
      <c r="C16" s="339" t="str">
        <f>VLOOKUP(B16,'Electricity Potential'!$J$5:$K$40,2,FALSE)</f>
        <v>BR</v>
      </c>
      <c r="D16" s="416" t="s">
        <v>906</v>
      </c>
      <c r="E16" s="416" t="s">
        <v>956</v>
      </c>
      <c r="F16" s="416">
        <v>2020</v>
      </c>
      <c r="G16" s="416">
        <v>40</v>
      </c>
      <c r="J16" s="416" t="s">
        <v>914</v>
      </c>
      <c r="K16" s="416" t="s">
        <v>29</v>
      </c>
      <c r="N16" s="633" t="str">
        <f>EG_WIND_min[[#This Row],[SubGeography2]]</f>
        <v>KA</v>
      </c>
      <c r="O16" s="416">
        <f t="shared" si="1"/>
        <v>24700</v>
      </c>
      <c r="P16" s="416">
        <f t="shared" si="1"/>
        <v>124155</v>
      </c>
      <c r="Q16" s="416">
        <f t="shared" si="1"/>
        <v>6459</v>
      </c>
      <c r="R16" s="416">
        <f t="shared" si="1"/>
        <v>3726</v>
      </c>
      <c r="S16" s="416">
        <f t="shared" si="1"/>
        <v>1131</v>
      </c>
      <c r="T16" s="416">
        <f t="shared" si="1"/>
        <v>450</v>
      </c>
      <c r="U16" s="416">
        <f t="shared" si="1"/>
        <v>0</v>
      </c>
    </row>
    <row r="17" spans="1:21">
      <c r="A17" s="416" t="s">
        <v>963</v>
      </c>
      <c r="B17" s="416" t="s">
        <v>921</v>
      </c>
      <c r="C17" s="339" t="str">
        <f>VLOOKUP(B17,'Electricity Potential'!$J$5:$K$40,2,FALSE)</f>
        <v>BR</v>
      </c>
      <c r="D17" s="416" t="s">
        <v>955</v>
      </c>
      <c r="E17" s="416" t="s">
        <v>951</v>
      </c>
      <c r="F17" s="416">
        <v>2020</v>
      </c>
      <c r="G17" s="416">
        <v>3650</v>
      </c>
      <c r="J17" s="416" t="s">
        <v>915</v>
      </c>
      <c r="K17" s="416" t="s">
        <v>90</v>
      </c>
      <c r="N17" s="632" t="str">
        <f>EG_WIND_min[[#This Row],[SubGeography2]]</f>
        <v>KL</v>
      </c>
      <c r="O17" s="416">
        <f t="shared" si="1"/>
        <v>6110</v>
      </c>
      <c r="P17" s="416">
        <f t="shared" si="1"/>
        <v>2311</v>
      </c>
      <c r="Q17" s="416">
        <f t="shared" si="1"/>
        <v>3378</v>
      </c>
      <c r="R17" s="416">
        <f t="shared" si="1"/>
        <v>647</v>
      </c>
      <c r="S17" s="416">
        <f t="shared" si="1"/>
        <v>1044</v>
      </c>
      <c r="T17" s="416">
        <f t="shared" si="1"/>
        <v>0</v>
      </c>
      <c r="U17" s="416">
        <f t="shared" si="1"/>
        <v>36</v>
      </c>
    </row>
    <row r="18" spans="1:21">
      <c r="A18" s="416" t="s">
        <v>963</v>
      </c>
      <c r="B18" s="416" t="s">
        <v>921</v>
      </c>
      <c r="C18" s="339" t="str">
        <f>VLOOKUP(B18,'Electricity Potential'!$J$5:$K$40,2,FALSE)</f>
        <v>BR</v>
      </c>
      <c r="D18" s="416" t="s">
        <v>954</v>
      </c>
      <c r="E18" s="416" t="s">
        <v>951</v>
      </c>
      <c r="F18" s="416">
        <v>2020</v>
      </c>
      <c r="G18" s="416">
        <v>527</v>
      </c>
      <c r="J18" s="416" t="s">
        <v>912</v>
      </c>
      <c r="K18" s="416" t="s">
        <v>90</v>
      </c>
      <c r="N18" s="633" t="str">
        <f>EG_WIND_min[[#This Row],[SubGeography2]]</f>
        <v>MP</v>
      </c>
      <c r="O18" s="416">
        <f t="shared" si="1"/>
        <v>61660</v>
      </c>
      <c r="P18" s="416">
        <f t="shared" si="1"/>
        <v>15404</v>
      </c>
      <c r="Q18" s="416">
        <f t="shared" si="1"/>
        <v>1970</v>
      </c>
      <c r="R18" s="416">
        <f t="shared" si="1"/>
        <v>820</v>
      </c>
      <c r="S18" s="416">
        <f t="shared" si="1"/>
        <v>1364</v>
      </c>
      <c r="T18" s="416">
        <f t="shared" si="1"/>
        <v>0</v>
      </c>
      <c r="U18" s="416">
        <f t="shared" si="1"/>
        <v>78</v>
      </c>
    </row>
    <row r="19" spans="1:21">
      <c r="A19" s="416" t="s">
        <v>963</v>
      </c>
      <c r="B19" s="416" t="s">
        <v>921</v>
      </c>
      <c r="C19" s="339" t="str">
        <f>VLOOKUP(B19,'Electricity Potential'!$J$5:$K$40,2,FALSE)</f>
        <v>BR</v>
      </c>
      <c r="D19" s="416" t="s">
        <v>953</v>
      </c>
      <c r="E19" s="416" t="s">
        <v>951</v>
      </c>
      <c r="F19" s="416">
        <v>2020</v>
      </c>
      <c r="G19" s="416">
        <v>619</v>
      </c>
      <c r="J19" s="416" t="s">
        <v>910</v>
      </c>
      <c r="K19" s="416" t="s">
        <v>90</v>
      </c>
      <c r="N19" s="632" t="str">
        <f>EG_WIND_min[[#This Row],[SubGeography2]]</f>
        <v>MH</v>
      </c>
      <c r="O19" s="416">
        <f t="shared" si="1"/>
        <v>64320</v>
      </c>
      <c r="P19" s="416">
        <f t="shared" si="1"/>
        <v>98213</v>
      </c>
      <c r="Q19" s="416">
        <f t="shared" si="1"/>
        <v>3314</v>
      </c>
      <c r="R19" s="416">
        <f t="shared" si="1"/>
        <v>786</v>
      </c>
      <c r="S19" s="416">
        <f t="shared" si="1"/>
        <v>1887</v>
      </c>
      <c r="T19" s="416">
        <f t="shared" si="1"/>
        <v>1250</v>
      </c>
      <c r="U19" s="416">
        <f t="shared" si="1"/>
        <v>287</v>
      </c>
    </row>
    <row r="20" spans="1:21">
      <c r="A20" s="416" t="s">
        <v>963</v>
      </c>
      <c r="B20" s="416" t="s">
        <v>921</v>
      </c>
      <c r="C20" s="339" t="str">
        <f>VLOOKUP(B20,'Electricity Potential'!$J$5:$K$40,2,FALSE)</f>
        <v>BR</v>
      </c>
      <c r="D20" s="416" t="s">
        <v>964</v>
      </c>
      <c r="E20" s="416" t="s">
        <v>951</v>
      </c>
      <c r="F20" s="416">
        <v>2020</v>
      </c>
      <c r="G20" s="416">
        <v>300</v>
      </c>
      <c r="J20" s="416" t="s">
        <v>931</v>
      </c>
      <c r="K20" s="416" t="s">
        <v>8</v>
      </c>
      <c r="N20" s="633" t="str">
        <f>EG_WIND_min[[#This Row],[SubGeography2]]</f>
        <v>OD</v>
      </c>
      <c r="O20" s="416">
        <f t="shared" si="1"/>
        <v>25780</v>
      </c>
      <c r="P20" s="416">
        <f t="shared" si="1"/>
        <v>8346</v>
      </c>
      <c r="Q20" s="416">
        <f t="shared" si="1"/>
        <v>2981</v>
      </c>
      <c r="R20" s="416">
        <f t="shared" si="1"/>
        <v>286</v>
      </c>
      <c r="S20" s="416">
        <f t="shared" si="1"/>
        <v>246</v>
      </c>
      <c r="T20" s="416">
        <f t="shared" si="1"/>
        <v>0</v>
      </c>
      <c r="U20" s="416">
        <f t="shared" si="1"/>
        <v>22</v>
      </c>
    </row>
    <row r="21" spans="1:21">
      <c r="A21" s="416" t="s">
        <v>963</v>
      </c>
      <c r="B21" s="416" t="s">
        <v>921</v>
      </c>
      <c r="C21" s="339" t="str">
        <f>VLOOKUP(B21,'Electricity Potential'!$J$5:$K$40,2,FALSE)</f>
        <v>BR</v>
      </c>
      <c r="D21" s="416" t="s">
        <v>959</v>
      </c>
      <c r="E21" s="416" t="s">
        <v>951</v>
      </c>
      <c r="F21" s="416">
        <v>2020</v>
      </c>
      <c r="G21" s="416">
        <v>73</v>
      </c>
      <c r="J21" s="416" t="s">
        <v>966</v>
      </c>
      <c r="K21" s="416" t="s">
        <v>89</v>
      </c>
      <c r="N21" s="632" t="str">
        <f>EG_WIND_min[[#This Row],[SubGeography2]]</f>
        <v>PB</v>
      </c>
      <c r="O21" s="416">
        <f t="shared" si="1"/>
        <v>2810</v>
      </c>
      <c r="P21" s="416">
        <f t="shared" si="1"/>
        <v>278</v>
      </c>
      <c r="Q21" s="416">
        <f t="shared" si="1"/>
        <v>971</v>
      </c>
      <c r="R21" s="416">
        <f t="shared" si="1"/>
        <v>578</v>
      </c>
      <c r="S21" s="416">
        <f t="shared" si="1"/>
        <v>3172</v>
      </c>
      <c r="T21" s="416">
        <f t="shared" si="1"/>
        <v>300</v>
      </c>
      <c r="U21" s="416">
        <f t="shared" si="1"/>
        <v>45</v>
      </c>
    </row>
    <row r="22" spans="1:21">
      <c r="A22" s="416" t="s">
        <v>963</v>
      </c>
      <c r="B22" s="416" t="s">
        <v>921</v>
      </c>
      <c r="C22" s="339" t="str">
        <f>VLOOKUP(B22,'Electricity Potential'!$J$5:$K$40,2,FALSE)</f>
        <v>BR</v>
      </c>
      <c r="D22" s="416" t="s">
        <v>952</v>
      </c>
      <c r="E22" s="416" t="s">
        <v>951</v>
      </c>
      <c r="F22" s="416">
        <v>2020</v>
      </c>
      <c r="G22" s="416">
        <v>11200</v>
      </c>
      <c r="J22" s="416" t="s">
        <v>925</v>
      </c>
      <c r="K22" s="416" t="s">
        <v>12</v>
      </c>
      <c r="N22" s="633" t="str">
        <f>EG_WIND_min[[#This Row],[SubGeography2]]</f>
        <v>RJ</v>
      </c>
      <c r="O22" s="416">
        <f t="shared" si="1"/>
        <v>142310</v>
      </c>
      <c r="P22" s="416">
        <f t="shared" si="1"/>
        <v>127756</v>
      </c>
      <c r="Q22" s="416">
        <f t="shared" si="1"/>
        <v>483</v>
      </c>
      <c r="R22" s="416">
        <f t="shared" si="1"/>
        <v>52</v>
      </c>
      <c r="S22" s="416">
        <f t="shared" si="1"/>
        <v>1039</v>
      </c>
      <c r="T22" s="416">
        <f t="shared" si="1"/>
        <v>0</v>
      </c>
      <c r="U22" s="416">
        <f t="shared" si="1"/>
        <v>62</v>
      </c>
    </row>
    <row r="23" spans="1:21">
      <c r="A23" s="416" t="s">
        <v>626</v>
      </c>
      <c r="B23" s="416" t="s">
        <v>929</v>
      </c>
      <c r="C23" s="339" t="str">
        <f>VLOOKUP(B23,'Electricity Potential'!$J$5:$K$40,2,FALSE)</f>
        <v>MP</v>
      </c>
      <c r="D23" s="416" t="s">
        <v>906</v>
      </c>
      <c r="E23" s="416" t="s">
        <v>956</v>
      </c>
      <c r="F23" s="416">
        <v>2020</v>
      </c>
      <c r="G23" s="416">
        <v>1970</v>
      </c>
      <c r="J23" s="416" t="s">
        <v>924</v>
      </c>
      <c r="K23" s="416" t="s">
        <v>92</v>
      </c>
      <c r="N23" s="632" t="str">
        <f>EG_WIND_min[[#This Row],[SubGeography2]]</f>
        <v>TN</v>
      </c>
      <c r="O23" s="416">
        <f t="shared" si="1"/>
        <v>17670</v>
      </c>
      <c r="P23" s="416">
        <f t="shared" si="1"/>
        <v>68750</v>
      </c>
      <c r="Q23" s="416">
        <f t="shared" si="1"/>
        <v>1693</v>
      </c>
      <c r="R23" s="416">
        <f t="shared" si="1"/>
        <v>604</v>
      </c>
      <c r="S23" s="416">
        <f t="shared" si="1"/>
        <v>1070</v>
      </c>
      <c r="T23" s="416">
        <f t="shared" si="1"/>
        <v>450</v>
      </c>
      <c r="U23" s="416">
        <f t="shared" si="1"/>
        <v>151</v>
      </c>
    </row>
    <row r="24" spans="1:21">
      <c r="A24" s="416" t="s">
        <v>626</v>
      </c>
      <c r="B24" s="416" t="s">
        <v>929</v>
      </c>
      <c r="C24" s="339" t="str">
        <f>VLOOKUP(B24,'Electricity Potential'!$J$5:$K$40,2,FALSE)</f>
        <v>MP</v>
      </c>
      <c r="D24" s="416" t="s">
        <v>955</v>
      </c>
      <c r="E24" s="416" t="s">
        <v>951</v>
      </c>
      <c r="F24" s="416">
        <v>2020</v>
      </c>
      <c r="G24" s="416">
        <v>15404</v>
      </c>
      <c r="J24" s="416" t="s">
        <v>935</v>
      </c>
      <c r="K24" s="416" t="s">
        <v>6</v>
      </c>
      <c r="N24" s="633" t="str">
        <f>EG_WIND_min[[#This Row],[SubGeography2]]</f>
        <v>TS</v>
      </c>
      <c r="O24" s="416">
        <f t="shared" si="1"/>
        <v>20410</v>
      </c>
      <c r="P24" s="416">
        <f t="shared" si="1"/>
        <v>24835</v>
      </c>
      <c r="Q24" s="416">
        <f t="shared" si="1"/>
        <v>2019</v>
      </c>
      <c r="R24" s="416">
        <f t="shared" si="1"/>
        <v>102</v>
      </c>
      <c r="S24" s="416">
        <f t="shared" si="1"/>
        <v>0</v>
      </c>
      <c r="T24" s="416">
        <f t="shared" si="1"/>
        <v>0</v>
      </c>
      <c r="U24" s="416">
        <f t="shared" si="1"/>
        <v>0</v>
      </c>
    </row>
    <row r="25" spans="1:21">
      <c r="A25" s="416" t="s">
        <v>626</v>
      </c>
      <c r="B25" s="416" t="s">
        <v>929</v>
      </c>
      <c r="C25" s="339" t="str">
        <f>VLOOKUP(B25,'Electricity Potential'!$J$5:$K$40,2,FALSE)</f>
        <v>MP</v>
      </c>
      <c r="D25" s="416" t="s">
        <v>954</v>
      </c>
      <c r="E25" s="416" t="s">
        <v>951</v>
      </c>
      <c r="F25" s="416">
        <v>2020</v>
      </c>
      <c r="G25" s="416">
        <v>820</v>
      </c>
      <c r="J25" s="416" t="s">
        <v>965</v>
      </c>
      <c r="K25" s="416" t="s">
        <v>13</v>
      </c>
      <c r="N25" s="632" t="str">
        <f>EG_WIND_min[[#This Row],[SubGeography2]]</f>
        <v>UP</v>
      </c>
      <c r="O25" s="416">
        <f t="shared" si="1"/>
        <v>22830</v>
      </c>
      <c r="P25" s="416">
        <f t="shared" si="1"/>
        <v>101</v>
      </c>
      <c r="Q25" s="416">
        <f t="shared" si="1"/>
        <v>664</v>
      </c>
      <c r="R25" s="416">
        <f t="shared" si="1"/>
        <v>460.75</v>
      </c>
      <c r="S25" s="416">
        <f t="shared" si="1"/>
        <v>1616.7</v>
      </c>
      <c r="T25" s="416">
        <f t="shared" si="1"/>
        <v>1250</v>
      </c>
      <c r="U25" s="416">
        <f t="shared" si="1"/>
        <v>176</v>
      </c>
    </row>
    <row r="26" spans="1:21">
      <c r="A26" s="416" t="s">
        <v>626</v>
      </c>
      <c r="B26" s="416" t="s">
        <v>929</v>
      </c>
      <c r="C26" s="339" t="str">
        <f>VLOOKUP(B26,'Electricity Potential'!$J$5:$K$40,2,FALSE)</f>
        <v>MP</v>
      </c>
      <c r="D26" s="416" t="s">
        <v>953</v>
      </c>
      <c r="E26" s="416" t="s">
        <v>951</v>
      </c>
      <c r="F26" s="416">
        <v>2020</v>
      </c>
      <c r="G26" s="416">
        <v>1364</v>
      </c>
      <c r="J26" s="416" t="s">
        <v>940</v>
      </c>
      <c r="K26" s="416" t="s">
        <v>93</v>
      </c>
      <c r="N26" s="633" t="str">
        <f>EG_WIND_min[[#This Row],[SubGeography2]]</f>
        <v>UK</v>
      </c>
      <c r="O26" s="416">
        <f t="shared" si="1"/>
        <v>16800</v>
      </c>
      <c r="P26" s="416">
        <f t="shared" si="1"/>
        <v>54</v>
      </c>
      <c r="Q26" s="416">
        <f t="shared" si="1"/>
        <v>17998</v>
      </c>
      <c r="R26" s="416">
        <f t="shared" si="1"/>
        <v>1664.31</v>
      </c>
      <c r="S26" s="416">
        <f t="shared" si="1"/>
        <v>23.7</v>
      </c>
      <c r="T26" s="416">
        <f t="shared" si="1"/>
        <v>0</v>
      </c>
      <c r="U26" s="416">
        <f t="shared" si="1"/>
        <v>5</v>
      </c>
    </row>
    <row r="27" spans="1:21">
      <c r="A27" s="416" t="s">
        <v>626</v>
      </c>
      <c r="B27" s="416" t="s">
        <v>929</v>
      </c>
      <c r="C27" s="339" t="str">
        <f>VLOOKUP(B27,'Electricity Potential'!$J$5:$K$40,2,FALSE)</f>
        <v>MP</v>
      </c>
      <c r="D27" s="416" t="s">
        <v>959</v>
      </c>
      <c r="E27" s="416" t="s">
        <v>951</v>
      </c>
      <c r="F27" s="416">
        <v>2020</v>
      </c>
      <c r="G27" s="416">
        <v>78</v>
      </c>
      <c r="J27" s="416" t="s">
        <v>939</v>
      </c>
      <c r="K27" s="416" t="s">
        <v>5</v>
      </c>
      <c r="N27" s="632" t="str">
        <f>EG_WIND_min[[#This Row],[SubGeography2]]</f>
        <v>WB</v>
      </c>
      <c r="O27" s="416">
        <f t="shared" si="1"/>
        <v>6260</v>
      </c>
      <c r="P27" s="416">
        <f t="shared" si="1"/>
        <v>1050</v>
      </c>
      <c r="Q27" s="416">
        <f t="shared" si="1"/>
        <v>2829</v>
      </c>
      <c r="R27" s="416">
        <f t="shared" si="1"/>
        <v>392.06</v>
      </c>
      <c r="S27" s="416">
        <f t="shared" si="1"/>
        <v>396</v>
      </c>
      <c r="T27" s="416">
        <f t="shared" si="1"/>
        <v>0</v>
      </c>
      <c r="U27" s="416">
        <f t="shared" si="1"/>
        <v>148</v>
      </c>
    </row>
    <row r="28" spans="1:21">
      <c r="A28" s="416" t="s">
        <v>626</v>
      </c>
      <c r="B28" s="416" t="s">
        <v>929</v>
      </c>
      <c r="C28" s="339" t="str">
        <f>VLOOKUP(B28,'Electricity Potential'!$J$5:$K$40,2,FALSE)</f>
        <v>MP</v>
      </c>
      <c r="D28" s="416" t="s">
        <v>952</v>
      </c>
      <c r="E28" s="416" t="s">
        <v>951</v>
      </c>
      <c r="F28" s="416">
        <v>2020</v>
      </c>
      <c r="G28" s="416">
        <v>61660</v>
      </c>
      <c r="J28" s="416" t="s">
        <v>938</v>
      </c>
      <c r="K28" s="416" t="s">
        <v>88</v>
      </c>
      <c r="N28" s="633" t="str">
        <f>EG_WIND_min[[#This Row],[SubGeography2]]</f>
        <v>UT</v>
      </c>
      <c r="O28" s="416">
        <f t="shared" si="1"/>
        <v>0</v>
      </c>
      <c r="P28" s="416">
        <f t="shared" si="1"/>
        <v>382</v>
      </c>
      <c r="Q28" s="416">
        <f t="shared" si="1"/>
        <v>0</v>
      </c>
      <c r="R28" s="416">
        <f t="shared" si="1"/>
        <v>0</v>
      </c>
      <c r="S28" s="416">
        <f t="shared" si="1"/>
        <v>0</v>
      </c>
      <c r="T28" s="416">
        <f t="shared" si="1"/>
        <v>0</v>
      </c>
      <c r="U28" s="416">
        <f t="shared" si="1"/>
        <v>8.5</v>
      </c>
    </row>
    <row r="29" spans="1:21">
      <c r="A29" s="416" t="s">
        <v>626</v>
      </c>
      <c r="B29" s="416" t="s">
        <v>967</v>
      </c>
      <c r="C29" s="339" t="str">
        <f>VLOOKUP(B29,'Electricity Potential'!$J$5:$K$40,2,FALSE)</f>
        <v>CG</v>
      </c>
      <c r="D29" s="416" t="s">
        <v>906</v>
      </c>
      <c r="E29" s="416" t="s">
        <v>956</v>
      </c>
      <c r="F29" s="416">
        <v>2020</v>
      </c>
      <c r="G29" s="416">
        <v>2202</v>
      </c>
      <c r="J29" s="416" t="s">
        <v>926</v>
      </c>
      <c r="K29" s="416" t="s">
        <v>11</v>
      </c>
      <c r="N29" s="632" t="str">
        <f>EG_WIND_min[[#This Row],[SubGeography2]]</f>
        <v>DL</v>
      </c>
      <c r="O29" s="416">
        <f t="shared" si="1"/>
        <v>2050</v>
      </c>
      <c r="P29" s="416">
        <f t="shared" si="1"/>
        <v>0</v>
      </c>
      <c r="Q29" s="416">
        <f t="shared" si="1"/>
        <v>0</v>
      </c>
      <c r="R29" s="416">
        <f t="shared" si="1"/>
        <v>0</v>
      </c>
      <c r="S29" s="416">
        <f t="shared" si="1"/>
        <v>0</v>
      </c>
      <c r="T29" s="416">
        <f t="shared" si="1"/>
        <v>0</v>
      </c>
      <c r="U29" s="416">
        <f t="shared" si="1"/>
        <v>131</v>
      </c>
    </row>
    <row r="30" spans="1:21">
      <c r="A30" s="416" t="s">
        <v>626</v>
      </c>
      <c r="B30" s="416" t="s">
        <v>967</v>
      </c>
      <c r="C30" s="339" t="str">
        <f>VLOOKUP(B30,'Electricity Potential'!$J$5:$K$40,2,FALSE)</f>
        <v>CG</v>
      </c>
      <c r="D30" s="416" t="s">
        <v>955</v>
      </c>
      <c r="E30" s="416" t="s">
        <v>951</v>
      </c>
      <c r="F30" s="416">
        <v>2020</v>
      </c>
      <c r="G30" s="416">
        <v>348</v>
      </c>
      <c r="J30" s="416" t="s">
        <v>936</v>
      </c>
      <c r="K30" s="416" t="s">
        <v>1</v>
      </c>
    </row>
    <row r="31" spans="1:21">
      <c r="A31" s="416" t="s">
        <v>626</v>
      </c>
      <c r="B31" s="416" t="s">
        <v>967</v>
      </c>
      <c r="C31" s="339" t="str">
        <f>VLOOKUP(B31,'Electricity Potential'!$J$5:$K$40,2,FALSE)</f>
        <v>CG</v>
      </c>
      <c r="D31" s="416" t="s">
        <v>954</v>
      </c>
      <c r="E31" s="416" t="s">
        <v>951</v>
      </c>
      <c r="F31" s="416">
        <v>2020</v>
      </c>
      <c r="G31" s="416">
        <v>1098</v>
      </c>
      <c r="J31" s="416" t="s">
        <v>934</v>
      </c>
      <c r="K31" s="416" t="s">
        <v>4</v>
      </c>
    </row>
    <row r="32" spans="1:21">
      <c r="A32" s="416" t="s">
        <v>626</v>
      </c>
      <c r="B32" s="416" t="s">
        <v>967</v>
      </c>
      <c r="C32" s="339" t="str">
        <f>VLOOKUP(B32,'Electricity Potential'!$J$5:$K$40,2,FALSE)</f>
        <v>CG</v>
      </c>
      <c r="D32" s="416" t="s">
        <v>953</v>
      </c>
      <c r="E32" s="416" t="s">
        <v>951</v>
      </c>
      <c r="F32" s="416">
        <v>2020</v>
      </c>
      <c r="G32" s="416">
        <v>236</v>
      </c>
      <c r="J32" s="416" t="s">
        <v>932</v>
      </c>
      <c r="K32" s="416" t="s">
        <v>91</v>
      </c>
    </row>
    <row r="33" spans="1:11">
      <c r="A33" s="416" t="s">
        <v>626</v>
      </c>
      <c r="B33" s="416" t="s">
        <v>967</v>
      </c>
      <c r="C33" s="339" t="str">
        <f>VLOOKUP(B33,'Electricity Potential'!$J$5:$K$40,2,FALSE)</f>
        <v>CG</v>
      </c>
      <c r="D33" s="416" t="s">
        <v>959</v>
      </c>
      <c r="E33" s="416" t="s">
        <v>951</v>
      </c>
      <c r="F33" s="416">
        <v>2020</v>
      </c>
      <c r="G33" s="416">
        <v>24</v>
      </c>
      <c r="J33" s="416" t="s">
        <v>913</v>
      </c>
      <c r="K33" s="416" t="s">
        <v>90</v>
      </c>
    </row>
    <row r="34" spans="1:11">
      <c r="A34" s="416" t="s">
        <v>626</v>
      </c>
      <c r="B34" s="416" t="s">
        <v>967</v>
      </c>
      <c r="C34" s="339" t="str">
        <f>VLOOKUP(B34,'Electricity Potential'!$J$5:$K$40,2,FALSE)</f>
        <v>CG</v>
      </c>
      <c r="D34" s="416" t="s">
        <v>952</v>
      </c>
      <c r="E34" s="416" t="s">
        <v>951</v>
      </c>
      <c r="F34" s="416">
        <v>2020</v>
      </c>
      <c r="G34" s="416">
        <v>18270</v>
      </c>
      <c r="J34" s="416" t="s">
        <v>911</v>
      </c>
      <c r="K34" s="416" t="s">
        <v>90</v>
      </c>
    </row>
    <row r="35" spans="1:11">
      <c r="A35" s="416" t="s">
        <v>625</v>
      </c>
      <c r="B35" s="416" t="s">
        <v>933</v>
      </c>
      <c r="C35" s="339" t="str">
        <f>VLOOKUP(B35,'Electricity Potential'!$J$5:$K$40,2,FALSE)</f>
        <v>UP</v>
      </c>
      <c r="D35" s="416" t="s">
        <v>906</v>
      </c>
      <c r="E35" s="416" t="s">
        <v>956</v>
      </c>
      <c r="F35" s="416">
        <v>2020</v>
      </c>
      <c r="G35" s="416">
        <v>664</v>
      </c>
      <c r="J35" s="416" t="s">
        <v>909</v>
      </c>
      <c r="K35" s="416" t="s">
        <v>90</v>
      </c>
    </row>
    <row r="36" spans="1:11">
      <c r="A36" s="416" t="s">
        <v>625</v>
      </c>
      <c r="B36" s="416" t="s">
        <v>933</v>
      </c>
      <c r="C36" s="339" t="str">
        <f>VLOOKUP(B36,'Electricity Potential'!$J$5:$K$40,2,FALSE)</f>
        <v>UP</v>
      </c>
      <c r="D36" s="416" t="s">
        <v>955</v>
      </c>
      <c r="E36" s="416" t="s">
        <v>951</v>
      </c>
      <c r="F36" s="416">
        <v>2020</v>
      </c>
      <c r="G36" s="416">
        <v>101</v>
      </c>
      <c r="J36" s="416" t="s">
        <v>962</v>
      </c>
    </row>
    <row r="37" spans="1:11">
      <c r="A37" s="416" t="s">
        <v>625</v>
      </c>
      <c r="B37" s="416" t="s">
        <v>933</v>
      </c>
      <c r="C37" s="339" t="str">
        <f>VLOOKUP(B37,'Electricity Potential'!$J$5:$K$40,2,FALSE)</f>
        <v>UP</v>
      </c>
      <c r="D37" s="416" t="s">
        <v>954</v>
      </c>
      <c r="E37" s="416" t="s">
        <v>951</v>
      </c>
      <c r="F37" s="416">
        <v>2020</v>
      </c>
      <c r="G37" s="416">
        <v>460.75</v>
      </c>
      <c r="J37" s="416" t="s">
        <v>961</v>
      </c>
    </row>
    <row r="38" spans="1:11">
      <c r="A38" s="416" t="s">
        <v>625</v>
      </c>
      <c r="B38" s="416" t="s">
        <v>933</v>
      </c>
      <c r="C38" s="339" t="str">
        <f>VLOOKUP(B38,'Electricity Potential'!$J$5:$K$40,2,FALSE)</f>
        <v>UP</v>
      </c>
      <c r="D38" s="416" t="s">
        <v>953</v>
      </c>
      <c r="E38" s="416" t="s">
        <v>951</v>
      </c>
      <c r="F38" s="416">
        <v>2020</v>
      </c>
      <c r="G38" s="416">
        <v>1616.7</v>
      </c>
      <c r="J38" s="416" t="s">
        <v>960</v>
      </c>
      <c r="K38" s="416" t="s">
        <v>92</v>
      </c>
    </row>
    <row r="39" spans="1:11">
      <c r="A39" s="416" t="s">
        <v>625</v>
      </c>
      <c r="B39" s="416" t="s">
        <v>933</v>
      </c>
      <c r="C39" s="339" t="str">
        <f>VLOOKUP(B39,'Electricity Potential'!$J$5:$K$40,2,FALSE)</f>
        <v>UP</v>
      </c>
      <c r="D39" s="416" t="s">
        <v>964</v>
      </c>
      <c r="E39" s="416" t="s">
        <v>951</v>
      </c>
      <c r="F39" s="416">
        <v>2020</v>
      </c>
      <c r="G39" s="416">
        <v>1250</v>
      </c>
      <c r="J39" s="416" t="s">
        <v>957</v>
      </c>
    </row>
    <row r="40" spans="1:11">
      <c r="A40" s="416" t="s">
        <v>625</v>
      </c>
      <c r="B40" s="416" t="s">
        <v>933</v>
      </c>
      <c r="C40" s="339" t="str">
        <f>VLOOKUP(B40,'Electricity Potential'!$J$5:$K$40,2,FALSE)</f>
        <v>UP</v>
      </c>
      <c r="D40" s="416" t="s">
        <v>959</v>
      </c>
      <c r="E40" s="416" t="s">
        <v>951</v>
      </c>
      <c r="F40" s="416">
        <v>2020</v>
      </c>
      <c r="G40" s="416">
        <v>176</v>
      </c>
      <c r="J40" s="416" t="s">
        <v>937</v>
      </c>
      <c r="K40" s="416" t="s">
        <v>89</v>
      </c>
    </row>
    <row r="41" spans="1:11">
      <c r="A41" s="416" t="s">
        <v>625</v>
      </c>
      <c r="B41" s="416" t="s">
        <v>933</v>
      </c>
      <c r="C41" s="339" t="str">
        <f>VLOOKUP(B41,'Electricity Potential'!$J$5:$K$40,2,FALSE)</f>
        <v>UP</v>
      </c>
      <c r="D41" s="416" t="s">
        <v>952</v>
      </c>
      <c r="E41" s="416" t="s">
        <v>951</v>
      </c>
      <c r="F41" s="416">
        <v>2020</v>
      </c>
      <c r="G41" s="416">
        <v>22830</v>
      </c>
    </row>
    <row r="42" spans="1:11">
      <c r="A42" s="416" t="s">
        <v>626</v>
      </c>
      <c r="B42" s="416" t="s">
        <v>928</v>
      </c>
      <c r="C42" s="339" t="str">
        <f>VLOOKUP(B42,'Electricity Potential'!$J$5:$K$40,2,FALSE)</f>
        <v>MH</v>
      </c>
      <c r="D42" s="416" t="s">
        <v>906</v>
      </c>
      <c r="E42" s="416" t="s">
        <v>956</v>
      </c>
      <c r="F42" s="416">
        <v>2020</v>
      </c>
      <c r="G42" s="416">
        <v>3314</v>
      </c>
    </row>
    <row r="43" spans="1:11">
      <c r="A43" s="416" t="s">
        <v>626</v>
      </c>
      <c r="B43" s="416" t="s">
        <v>928</v>
      </c>
      <c r="C43" s="339" t="str">
        <f>VLOOKUP(B43,'Electricity Potential'!$J$5:$K$40,2,FALSE)</f>
        <v>MH</v>
      </c>
      <c r="D43" s="416" t="s">
        <v>955</v>
      </c>
      <c r="E43" s="416" t="s">
        <v>951</v>
      </c>
      <c r="F43" s="416">
        <v>2020</v>
      </c>
      <c r="G43" s="416">
        <v>98213</v>
      </c>
    </row>
    <row r="44" spans="1:11">
      <c r="A44" s="416" t="s">
        <v>626</v>
      </c>
      <c r="B44" s="416" t="s">
        <v>928</v>
      </c>
      <c r="C44" s="339" t="str">
        <f>VLOOKUP(B44,'Electricity Potential'!$J$5:$K$40,2,FALSE)</f>
        <v>MH</v>
      </c>
      <c r="D44" s="416" t="s">
        <v>954</v>
      </c>
      <c r="E44" s="416" t="s">
        <v>951</v>
      </c>
      <c r="F44" s="416">
        <v>2020</v>
      </c>
      <c r="G44" s="416">
        <v>786</v>
      </c>
    </row>
    <row r="45" spans="1:11">
      <c r="A45" s="416" t="s">
        <v>626</v>
      </c>
      <c r="B45" s="416" t="s">
        <v>928</v>
      </c>
      <c r="C45" s="339" t="str">
        <f>VLOOKUP(B45,'Electricity Potential'!$J$5:$K$40,2,FALSE)</f>
        <v>MH</v>
      </c>
      <c r="D45" s="416" t="s">
        <v>953</v>
      </c>
      <c r="E45" s="416" t="s">
        <v>951</v>
      </c>
      <c r="F45" s="416">
        <v>2020</v>
      </c>
      <c r="G45" s="416">
        <v>1887</v>
      </c>
    </row>
    <row r="46" spans="1:11">
      <c r="A46" s="416" t="s">
        <v>626</v>
      </c>
      <c r="B46" s="416" t="s">
        <v>928</v>
      </c>
      <c r="C46" s="339" t="str">
        <f>VLOOKUP(B46,'Electricity Potential'!$J$5:$K$40,2,FALSE)</f>
        <v>MH</v>
      </c>
      <c r="D46" s="416" t="s">
        <v>964</v>
      </c>
      <c r="E46" s="416" t="s">
        <v>951</v>
      </c>
      <c r="F46" s="416">
        <v>2020</v>
      </c>
      <c r="G46" s="416">
        <v>1250</v>
      </c>
    </row>
    <row r="47" spans="1:11">
      <c r="A47" s="416" t="s">
        <v>626</v>
      </c>
      <c r="B47" s="416" t="s">
        <v>928</v>
      </c>
      <c r="C47" s="339" t="str">
        <f>VLOOKUP(B47,'Electricity Potential'!$J$5:$K$40,2,FALSE)</f>
        <v>MH</v>
      </c>
      <c r="D47" s="416" t="s">
        <v>959</v>
      </c>
      <c r="E47" s="416" t="s">
        <v>951</v>
      </c>
      <c r="F47" s="416">
        <v>2020</v>
      </c>
      <c r="G47" s="416">
        <v>287</v>
      </c>
    </row>
    <row r="48" spans="1:11">
      <c r="A48" s="416" t="s">
        <v>626</v>
      </c>
      <c r="B48" s="416" t="s">
        <v>928</v>
      </c>
      <c r="C48" s="339" t="str">
        <f>VLOOKUP(B48,'Electricity Potential'!$J$5:$K$40,2,FALSE)</f>
        <v>MH</v>
      </c>
      <c r="D48" s="416" t="s">
        <v>952</v>
      </c>
      <c r="E48" s="416" t="s">
        <v>951</v>
      </c>
      <c r="F48" s="416">
        <v>2020</v>
      </c>
      <c r="G48" s="416">
        <v>64320</v>
      </c>
    </row>
    <row r="49" spans="1:7">
      <c r="A49" s="416" t="s">
        <v>963</v>
      </c>
      <c r="B49" s="416" t="s">
        <v>919</v>
      </c>
      <c r="C49" s="339" t="str">
        <f>VLOOKUP(B49,'Electricity Potential'!$J$5:$K$40,2,FALSE)</f>
        <v>OD</v>
      </c>
      <c r="D49" s="416" t="s">
        <v>906</v>
      </c>
      <c r="E49" s="416" t="s">
        <v>956</v>
      </c>
      <c r="F49" s="416">
        <v>2020</v>
      </c>
      <c r="G49" s="416">
        <v>2981</v>
      </c>
    </row>
    <row r="50" spans="1:7">
      <c r="A50" s="416" t="s">
        <v>963</v>
      </c>
      <c r="B50" s="416" t="s">
        <v>919</v>
      </c>
      <c r="C50" s="339" t="str">
        <f>VLOOKUP(B50,'Electricity Potential'!$J$5:$K$40,2,FALSE)</f>
        <v>OD</v>
      </c>
      <c r="D50" s="416" t="s">
        <v>955</v>
      </c>
      <c r="E50" s="416" t="s">
        <v>951</v>
      </c>
      <c r="F50" s="416">
        <v>2020</v>
      </c>
      <c r="G50" s="416">
        <v>8346</v>
      </c>
    </row>
    <row r="51" spans="1:7">
      <c r="A51" s="416" t="s">
        <v>963</v>
      </c>
      <c r="B51" s="416" t="s">
        <v>919</v>
      </c>
      <c r="C51" s="339" t="str">
        <f>VLOOKUP(B51,'Electricity Potential'!$J$5:$K$40,2,FALSE)</f>
        <v>OD</v>
      </c>
      <c r="D51" s="416" t="s">
        <v>954</v>
      </c>
      <c r="E51" s="416" t="s">
        <v>951</v>
      </c>
      <c r="F51" s="416">
        <v>2020</v>
      </c>
      <c r="G51" s="416">
        <v>286</v>
      </c>
    </row>
    <row r="52" spans="1:7">
      <c r="A52" s="416" t="s">
        <v>963</v>
      </c>
      <c r="B52" s="416" t="s">
        <v>919</v>
      </c>
      <c r="C52" s="339" t="str">
        <f>VLOOKUP(B52,'Electricity Potential'!$J$5:$K$40,2,FALSE)</f>
        <v>OD</v>
      </c>
      <c r="D52" s="416" t="s">
        <v>953</v>
      </c>
      <c r="E52" s="416" t="s">
        <v>951</v>
      </c>
      <c r="F52" s="416">
        <v>2020</v>
      </c>
      <c r="G52" s="416">
        <v>246</v>
      </c>
    </row>
    <row r="53" spans="1:7">
      <c r="A53" s="416" t="s">
        <v>963</v>
      </c>
      <c r="B53" s="416" t="s">
        <v>919</v>
      </c>
      <c r="C53" s="339" t="str">
        <f>VLOOKUP(B53,'Electricity Potential'!$J$5:$K$40,2,FALSE)</f>
        <v>OD</v>
      </c>
      <c r="D53" s="416" t="s">
        <v>959</v>
      </c>
      <c r="E53" s="416" t="s">
        <v>951</v>
      </c>
      <c r="F53" s="416">
        <v>2020</v>
      </c>
      <c r="G53" s="416">
        <v>22</v>
      </c>
    </row>
    <row r="54" spans="1:7">
      <c r="A54" s="416" t="s">
        <v>963</v>
      </c>
      <c r="B54" s="416" t="s">
        <v>919</v>
      </c>
      <c r="C54" s="339" t="str">
        <f>VLOOKUP(B54,'Electricity Potential'!$J$5:$K$40,2,FALSE)</f>
        <v>OD</v>
      </c>
      <c r="D54" s="416" t="s">
        <v>952</v>
      </c>
      <c r="E54" s="416" t="s">
        <v>951</v>
      </c>
      <c r="F54" s="416">
        <v>2020</v>
      </c>
      <c r="G54" s="416">
        <v>25780</v>
      </c>
    </row>
    <row r="55" spans="1:7">
      <c r="A55" s="416" t="s">
        <v>627</v>
      </c>
      <c r="B55" s="416" t="s">
        <v>927</v>
      </c>
      <c r="C55" s="339" t="str">
        <f>VLOOKUP(B55,'Electricity Potential'!$J$5:$K$40,2,FALSE)</f>
        <v>AP</v>
      </c>
      <c r="D55" s="416" t="s">
        <v>906</v>
      </c>
      <c r="E55" s="416" t="s">
        <v>956</v>
      </c>
      <c r="F55" s="416">
        <v>2020</v>
      </c>
      <c r="G55" s="416">
        <v>2341</v>
      </c>
    </row>
    <row r="56" spans="1:7">
      <c r="A56" s="416" t="s">
        <v>627</v>
      </c>
      <c r="B56" s="416" t="s">
        <v>927</v>
      </c>
      <c r="C56" s="339" t="str">
        <f>VLOOKUP(B56,'Electricity Potential'!$J$5:$K$40,2,FALSE)</f>
        <v>AP</v>
      </c>
      <c r="D56" s="416" t="s">
        <v>955</v>
      </c>
      <c r="E56" s="416" t="s">
        <v>951</v>
      </c>
      <c r="F56" s="416">
        <v>2020</v>
      </c>
      <c r="G56" s="416">
        <v>74906</v>
      </c>
    </row>
    <row r="57" spans="1:7">
      <c r="A57" s="416" t="s">
        <v>627</v>
      </c>
      <c r="B57" s="416" t="s">
        <v>927</v>
      </c>
      <c r="C57" s="339" t="str">
        <f>VLOOKUP(B57,'Electricity Potential'!$J$5:$K$40,2,FALSE)</f>
        <v>AP</v>
      </c>
      <c r="D57" s="416" t="s">
        <v>954</v>
      </c>
      <c r="E57" s="416" t="s">
        <v>951</v>
      </c>
      <c r="F57" s="416">
        <v>2020</v>
      </c>
      <c r="G57" s="416">
        <v>409</v>
      </c>
    </row>
    <row r="58" spans="1:7">
      <c r="A58" s="416" t="s">
        <v>627</v>
      </c>
      <c r="B58" s="416" t="s">
        <v>927</v>
      </c>
      <c r="C58" s="339" t="str">
        <f>VLOOKUP(B58,'Electricity Potential'!$J$5:$K$40,2,FALSE)</f>
        <v>AP</v>
      </c>
      <c r="D58" s="416" t="s">
        <v>953</v>
      </c>
      <c r="E58" s="416" t="s">
        <v>951</v>
      </c>
      <c r="F58" s="416">
        <v>2020</v>
      </c>
      <c r="G58" s="416">
        <v>578</v>
      </c>
    </row>
    <row r="59" spans="1:7">
      <c r="A59" s="416" t="s">
        <v>627</v>
      </c>
      <c r="B59" s="416" t="s">
        <v>927</v>
      </c>
      <c r="C59" s="339" t="str">
        <f>VLOOKUP(B59,'Electricity Potential'!$J$5:$K$40,2,FALSE)</f>
        <v>AP</v>
      </c>
      <c r="D59" s="416" t="s">
        <v>964</v>
      </c>
      <c r="E59" s="416" t="s">
        <v>951</v>
      </c>
      <c r="F59" s="416">
        <v>2020</v>
      </c>
      <c r="G59" s="416">
        <v>300</v>
      </c>
    </row>
    <row r="60" spans="1:7">
      <c r="A60" s="416" t="s">
        <v>627</v>
      </c>
      <c r="B60" s="416" t="s">
        <v>927</v>
      </c>
      <c r="C60" s="339" t="str">
        <f>VLOOKUP(B60,'Electricity Potential'!$J$5:$K$40,2,FALSE)</f>
        <v>AP</v>
      </c>
      <c r="D60" s="416" t="s">
        <v>959</v>
      </c>
      <c r="E60" s="416" t="s">
        <v>951</v>
      </c>
      <c r="F60" s="416">
        <v>2020</v>
      </c>
      <c r="G60" s="416">
        <v>123</v>
      </c>
    </row>
    <row r="61" spans="1:7">
      <c r="A61" s="416" t="s">
        <v>627</v>
      </c>
      <c r="B61" s="416" t="s">
        <v>927</v>
      </c>
      <c r="C61" s="339" t="str">
        <f>VLOOKUP(B61,'Electricity Potential'!$J$5:$K$40,2,FALSE)</f>
        <v>AP</v>
      </c>
      <c r="D61" s="416" t="s">
        <v>952</v>
      </c>
      <c r="E61" s="416" t="s">
        <v>951</v>
      </c>
      <c r="F61" s="416">
        <v>2020</v>
      </c>
      <c r="G61" s="416">
        <v>38440</v>
      </c>
    </row>
    <row r="62" spans="1:7">
      <c r="A62" s="416" t="s">
        <v>627</v>
      </c>
      <c r="B62" s="416" t="s">
        <v>922</v>
      </c>
      <c r="C62" s="339" t="str">
        <f>VLOOKUP(B62,'Electricity Potential'!$J$5:$K$40,2,FALSE)</f>
        <v>TS</v>
      </c>
      <c r="D62" s="416" t="s">
        <v>906</v>
      </c>
      <c r="E62" s="416" t="s">
        <v>956</v>
      </c>
      <c r="F62" s="416">
        <v>2020</v>
      </c>
      <c r="G62" s="416">
        <v>2019</v>
      </c>
    </row>
    <row r="63" spans="1:7">
      <c r="A63" s="416" t="s">
        <v>627</v>
      </c>
      <c r="B63" s="416" t="s">
        <v>922</v>
      </c>
      <c r="C63" s="339" t="str">
        <f>VLOOKUP(B63,'Electricity Potential'!$J$5:$K$40,2,FALSE)</f>
        <v>TS</v>
      </c>
      <c r="D63" s="416" t="s">
        <v>955</v>
      </c>
      <c r="E63" s="416" t="s">
        <v>951</v>
      </c>
      <c r="F63" s="416">
        <v>2020</v>
      </c>
      <c r="G63" s="416">
        <v>24835</v>
      </c>
    </row>
    <row r="64" spans="1:7">
      <c r="A64" s="416" t="s">
        <v>627</v>
      </c>
      <c r="B64" s="416" t="s">
        <v>922</v>
      </c>
      <c r="C64" s="339" t="str">
        <f>VLOOKUP(B64,'Electricity Potential'!$J$5:$K$40,2,FALSE)</f>
        <v>TS</v>
      </c>
      <c r="D64" s="416" t="s">
        <v>954</v>
      </c>
      <c r="E64" s="416" t="s">
        <v>951</v>
      </c>
      <c r="F64" s="416">
        <v>2020</v>
      </c>
      <c r="G64" s="416">
        <v>102</v>
      </c>
    </row>
    <row r="65" spans="1:7">
      <c r="A65" s="416" t="s">
        <v>627</v>
      </c>
      <c r="B65" s="416" t="s">
        <v>922</v>
      </c>
      <c r="C65" s="339" t="str">
        <f>VLOOKUP(B65,'Electricity Potential'!$J$5:$K$40,2,FALSE)</f>
        <v>TS</v>
      </c>
      <c r="D65" s="416" t="s">
        <v>952</v>
      </c>
      <c r="E65" s="416" t="s">
        <v>951</v>
      </c>
      <c r="F65" s="416">
        <v>2020</v>
      </c>
      <c r="G65" s="416">
        <v>20410</v>
      </c>
    </row>
    <row r="66" spans="1:7">
      <c r="A66" s="416" t="s">
        <v>963</v>
      </c>
      <c r="B66" s="416" t="s">
        <v>918</v>
      </c>
      <c r="C66" s="339" t="str">
        <f>VLOOKUP(B66,'Electricity Potential'!$J$5:$K$40,2,FALSE)</f>
        <v>NE</v>
      </c>
      <c r="D66" s="416" t="s">
        <v>906</v>
      </c>
      <c r="E66" s="416" t="s">
        <v>956</v>
      </c>
      <c r="F66" s="416">
        <v>2020</v>
      </c>
      <c r="G66" s="416">
        <v>4248</v>
      </c>
    </row>
    <row r="67" spans="1:7">
      <c r="A67" s="416" t="s">
        <v>963</v>
      </c>
      <c r="B67" s="416" t="s">
        <v>918</v>
      </c>
      <c r="C67" s="339" t="str">
        <f>VLOOKUP(B67,'Electricity Potential'!$J$5:$K$40,2,FALSE)</f>
        <v>NE</v>
      </c>
      <c r="D67" s="416" t="s">
        <v>954</v>
      </c>
      <c r="E67" s="416" t="s">
        <v>951</v>
      </c>
      <c r="F67" s="416">
        <v>2020</v>
      </c>
      <c r="G67" s="416">
        <v>267</v>
      </c>
    </row>
    <row r="68" spans="1:7">
      <c r="A68" s="416" t="s">
        <v>963</v>
      </c>
      <c r="B68" s="416" t="s">
        <v>918</v>
      </c>
      <c r="C68" s="339" t="str">
        <f>VLOOKUP(B68,'Electricity Potential'!$J$5:$K$40,2,FALSE)</f>
        <v>NE</v>
      </c>
      <c r="D68" s="416" t="s">
        <v>953</v>
      </c>
      <c r="E68" s="416" t="s">
        <v>951</v>
      </c>
      <c r="F68" s="416">
        <v>2020</v>
      </c>
      <c r="G68" s="416">
        <v>2</v>
      </c>
    </row>
    <row r="69" spans="1:7">
      <c r="A69" s="416" t="s">
        <v>963</v>
      </c>
      <c r="B69" s="416" t="s">
        <v>918</v>
      </c>
      <c r="C69" s="339" t="str">
        <f>VLOOKUP(B69,'Electricity Potential'!$J$5:$K$40,2,FALSE)</f>
        <v>NE</v>
      </c>
      <c r="D69" s="416" t="s">
        <v>952</v>
      </c>
      <c r="E69" s="416" t="s">
        <v>951</v>
      </c>
      <c r="F69" s="416">
        <v>2020</v>
      </c>
      <c r="G69" s="416">
        <v>4940</v>
      </c>
    </row>
    <row r="70" spans="1:7">
      <c r="A70" s="416" t="s">
        <v>630</v>
      </c>
      <c r="B70" s="416" t="s">
        <v>914</v>
      </c>
      <c r="C70" s="339" t="str">
        <f>VLOOKUP(B70,'Electricity Potential'!$J$5:$K$40,2,FALSE)</f>
        <v>AS</v>
      </c>
      <c r="D70" s="416" t="s">
        <v>906</v>
      </c>
      <c r="E70" s="416" t="s">
        <v>956</v>
      </c>
      <c r="F70" s="416">
        <v>2020</v>
      </c>
      <c r="G70" s="416">
        <v>650</v>
      </c>
    </row>
    <row r="71" spans="1:7">
      <c r="A71" s="416" t="s">
        <v>630</v>
      </c>
      <c r="B71" s="416" t="s">
        <v>914</v>
      </c>
      <c r="C71" s="339" t="str">
        <f>VLOOKUP(B71,'Electricity Potential'!$J$5:$K$40,2,FALSE)</f>
        <v>AS</v>
      </c>
      <c r="D71" s="416" t="s">
        <v>955</v>
      </c>
      <c r="E71" s="416" t="s">
        <v>951</v>
      </c>
      <c r="F71" s="416">
        <v>2020</v>
      </c>
      <c r="G71" s="416">
        <v>246</v>
      </c>
    </row>
    <row r="72" spans="1:7">
      <c r="A72" s="416" t="s">
        <v>630</v>
      </c>
      <c r="B72" s="416" t="s">
        <v>914</v>
      </c>
      <c r="C72" s="339" t="str">
        <f>VLOOKUP(B72,'Electricity Potential'!$J$5:$K$40,2,FALSE)</f>
        <v>AS</v>
      </c>
      <c r="D72" s="416" t="s">
        <v>954</v>
      </c>
      <c r="E72" s="416" t="s">
        <v>951</v>
      </c>
      <c r="F72" s="416">
        <v>2020</v>
      </c>
      <c r="G72" s="416">
        <v>202</v>
      </c>
    </row>
    <row r="73" spans="1:7">
      <c r="A73" s="416" t="s">
        <v>630</v>
      </c>
      <c r="B73" s="416" t="s">
        <v>914</v>
      </c>
      <c r="C73" s="339" t="str">
        <f>VLOOKUP(B73,'Electricity Potential'!$J$5:$K$40,2,FALSE)</f>
        <v>AS</v>
      </c>
      <c r="D73" s="416" t="s">
        <v>953</v>
      </c>
      <c r="E73" s="416" t="s">
        <v>951</v>
      </c>
      <c r="F73" s="416">
        <v>2020</v>
      </c>
      <c r="G73" s="416">
        <v>212</v>
      </c>
    </row>
    <row r="74" spans="1:7">
      <c r="A74" s="416" t="s">
        <v>630</v>
      </c>
      <c r="B74" s="416" t="s">
        <v>914</v>
      </c>
      <c r="C74" s="339" t="str">
        <f>VLOOKUP(B74,'Electricity Potential'!$J$5:$K$40,2,FALSE)</f>
        <v>AS</v>
      </c>
      <c r="D74" s="416" t="s">
        <v>959</v>
      </c>
      <c r="E74" s="416" t="s">
        <v>951</v>
      </c>
      <c r="F74" s="416">
        <v>2020</v>
      </c>
      <c r="G74" s="416">
        <v>8</v>
      </c>
    </row>
    <row r="75" spans="1:7">
      <c r="A75" s="416" t="s">
        <v>630</v>
      </c>
      <c r="B75" s="416" t="s">
        <v>914</v>
      </c>
      <c r="C75" s="339" t="str">
        <f>VLOOKUP(B75,'Electricity Potential'!$J$5:$K$40,2,FALSE)</f>
        <v>AS</v>
      </c>
      <c r="D75" s="416" t="s">
        <v>952</v>
      </c>
      <c r="E75" s="416" t="s">
        <v>951</v>
      </c>
      <c r="F75" s="416">
        <v>2020</v>
      </c>
      <c r="G75" s="416">
        <v>13760</v>
      </c>
    </row>
    <row r="76" spans="1:7">
      <c r="A76" s="416" t="s">
        <v>630</v>
      </c>
      <c r="B76" s="416" t="s">
        <v>915</v>
      </c>
      <c r="C76" s="339" t="str">
        <f>VLOOKUP(B76,'Electricity Potential'!$J$5:$K$40,2,FALSE)</f>
        <v>NE</v>
      </c>
      <c r="D76" s="416" t="s">
        <v>906</v>
      </c>
      <c r="E76" s="416" t="s">
        <v>956</v>
      </c>
      <c r="F76" s="416">
        <v>2020</v>
      </c>
      <c r="G76" s="416">
        <v>50064</v>
      </c>
    </row>
    <row r="77" spans="1:7">
      <c r="A77" s="416" t="s">
        <v>630</v>
      </c>
      <c r="B77" s="416" t="s">
        <v>915</v>
      </c>
      <c r="C77" s="339" t="str">
        <f>VLOOKUP(B77,'Electricity Potential'!$J$5:$K$40,2,FALSE)</f>
        <v>NE</v>
      </c>
      <c r="D77" s="416" t="s">
        <v>955</v>
      </c>
      <c r="E77" s="416" t="s">
        <v>951</v>
      </c>
      <c r="F77" s="416">
        <v>2020</v>
      </c>
      <c r="G77" s="416">
        <v>274</v>
      </c>
    </row>
    <row r="78" spans="1:7">
      <c r="A78" s="416" t="s">
        <v>630</v>
      </c>
      <c r="B78" s="416" t="s">
        <v>915</v>
      </c>
      <c r="C78" s="339" t="str">
        <f>VLOOKUP(B78,'Electricity Potential'!$J$5:$K$40,2,FALSE)</f>
        <v>NE</v>
      </c>
      <c r="D78" s="416" t="s">
        <v>954</v>
      </c>
      <c r="E78" s="416" t="s">
        <v>951</v>
      </c>
      <c r="F78" s="416">
        <v>2020</v>
      </c>
      <c r="G78" s="416">
        <v>2065</v>
      </c>
    </row>
    <row r="79" spans="1:7">
      <c r="A79" s="416" t="s">
        <v>630</v>
      </c>
      <c r="B79" s="416" t="s">
        <v>915</v>
      </c>
      <c r="C79" s="339" t="str">
        <f>VLOOKUP(B79,'Electricity Potential'!$J$5:$K$40,2,FALSE)</f>
        <v>NE</v>
      </c>
      <c r="D79" s="416" t="s">
        <v>953</v>
      </c>
      <c r="E79" s="416" t="s">
        <v>951</v>
      </c>
      <c r="F79" s="416">
        <v>2020</v>
      </c>
      <c r="G79" s="416">
        <v>8</v>
      </c>
    </row>
    <row r="80" spans="1:7">
      <c r="A80" s="416" t="s">
        <v>630</v>
      </c>
      <c r="B80" s="416" t="s">
        <v>915</v>
      </c>
      <c r="C80" s="339" t="str">
        <f>VLOOKUP(B80,'Electricity Potential'!$J$5:$K$40,2,FALSE)</f>
        <v>NE</v>
      </c>
      <c r="D80" s="416" t="s">
        <v>952</v>
      </c>
      <c r="E80" s="416" t="s">
        <v>951</v>
      </c>
      <c r="F80" s="416">
        <v>2020</v>
      </c>
      <c r="G80" s="416">
        <v>8650</v>
      </c>
    </row>
    <row r="81" spans="1:7">
      <c r="A81" s="416" t="s">
        <v>630</v>
      </c>
      <c r="B81" s="416" t="s">
        <v>912</v>
      </c>
      <c r="C81" s="339" t="str">
        <f>VLOOKUP(B81,'Electricity Potential'!$J$5:$K$40,2,FALSE)</f>
        <v>NE</v>
      </c>
      <c r="D81" s="416" t="s">
        <v>906</v>
      </c>
      <c r="E81" s="416" t="s">
        <v>956</v>
      </c>
      <c r="F81" s="416">
        <v>2020</v>
      </c>
      <c r="G81" s="416">
        <v>2298</v>
      </c>
    </row>
    <row r="82" spans="1:7">
      <c r="A82" s="416" t="s">
        <v>630</v>
      </c>
      <c r="B82" s="416" t="s">
        <v>912</v>
      </c>
      <c r="C82" s="339" t="str">
        <f>VLOOKUP(B82,'Electricity Potential'!$J$5:$K$40,2,FALSE)</f>
        <v>NE</v>
      </c>
      <c r="D82" s="416" t="s">
        <v>955</v>
      </c>
      <c r="E82" s="416" t="s">
        <v>951</v>
      </c>
      <c r="F82" s="416">
        <v>2020</v>
      </c>
      <c r="G82" s="416">
        <v>1</v>
      </c>
    </row>
    <row r="83" spans="1:7">
      <c r="A83" s="416" t="s">
        <v>630</v>
      </c>
      <c r="B83" s="416" t="s">
        <v>912</v>
      </c>
      <c r="C83" s="339" t="str">
        <f>VLOOKUP(B83,'Electricity Potential'!$J$5:$K$40,2,FALSE)</f>
        <v>NE</v>
      </c>
      <c r="D83" s="416" t="s">
        <v>954</v>
      </c>
      <c r="E83" s="416" t="s">
        <v>951</v>
      </c>
      <c r="F83" s="416">
        <v>2020</v>
      </c>
      <c r="G83" s="416">
        <v>230</v>
      </c>
    </row>
    <row r="84" spans="1:7">
      <c r="A84" s="416" t="s">
        <v>630</v>
      </c>
      <c r="B84" s="416" t="s">
        <v>912</v>
      </c>
      <c r="C84" s="339" t="str">
        <f>VLOOKUP(B84,'Electricity Potential'!$J$5:$K$40,2,FALSE)</f>
        <v>NE</v>
      </c>
      <c r="D84" s="416" t="s">
        <v>953</v>
      </c>
      <c r="E84" s="416" t="s">
        <v>951</v>
      </c>
      <c r="F84" s="416">
        <v>2020</v>
      </c>
      <c r="G84" s="416">
        <v>11</v>
      </c>
    </row>
    <row r="85" spans="1:7">
      <c r="A85" s="416" t="s">
        <v>630</v>
      </c>
      <c r="B85" s="416" t="s">
        <v>912</v>
      </c>
      <c r="C85" s="339" t="str">
        <f>VLOOKUP(B85,'Electricity Potential'!$J$5:$K$40,2,FALSE)</f>
        <v>NE</v>
      </c>
      <c r="D85" s="416" t="s">
        <v>959</v>
      </c>
      <c r="E85" s="416" t="s">
        <v>951</v>
      </c>
      <c r="F85" s="416">
        <v>2020</v>
      </c>
      <c r="G85" s="416">
        <v>2</v>
      </c>
    </row>
    <row r="86" spans="1:7">
      <c r="A86" s="416" t="s">
        <v>630</v>
      </c>
      <c r="B86" s="416" t="s">
        <v>912</v>
      </c>
      <c r="C86" s="339" t="str">
        <f>VLOOKUP(B86,'Electricity Potential'!$J$5:$K$40,2,FALSE)</f>
        <v>NE</v>
      </c>
      <c r="D86" s="416" t="s">
        <v>952</v>
      </c>
      <c r="E86" s="416" t="s">
        <v>951</v>
      </c>
      <c r="F86" s="416">
        <v>2020</v>
      </c>
      <c r="G86" s="416">
        <v>5860</v>
      </c>
    </row>
    <row r="87" spans="1:7">
      <c r="A87" s="416" t="s">
        <v>630</v>
      </c>
      <c r="B87" s="416" t="s">
        <v>910</v>
      </c>
      <c r="C87" s="339" t="str">
        <f>VLOOKUP(B87,'Electricity Potential'!$J$5:$K$40,2,FALSE)</f>
        <v>NE</v>
      </c>
      <c r="D87" s="416" t="s">
        <v>906</v>
      </c>
      <c r="E87" s="416" t="s">
        <v>956</v>
      </c>
      <c r="F87" s="416">
        <v>2020</v>
      </c>
      <c r="G87" s="416">
        <v>1452</v>
      </c>
    </row>
    <row r="88" spans="1:7">
      <c r="A88" s="416" t="s">
        <v>630</v>
      </c>
      <c r="B88" s="416" t="s">
        <v>910</v>
      </c>
      <c r="C88" s="339" t="str">
        <f>VLOOKUP(B88,'Electricity Potential'!$J$5:$K$40,2,FALSE)</f>
        <v>NE</v>
      </c>
      <c r="D88" s="416" t="s">
        <v>954</v>
      </c>
      <c r="E88" s="416" t="s">
        <v>951</v>
      </c>
      <c r="F88" s="416">
        <v>2020</v>
      </c>
      <c r="G88" s="416">
        <v>182</v>
      </c>
    </row>
    <row r="89" spans="1:7">
      <c r="A89" s="416" t="s">
        <v>630</v>
      </c>
      <c r="B89" s="416" t="s">
        <v>910</v>
      </c>
      <c r="C89" s="339" t="str">
        <f>VLOOKUP(B89,'Electricity Potential'!$J$5:$K$40,2,FALSE)</f>
        <v>NE</v>
      </c>
      <c r="D89" s="416" t="s">
        <v>953</v>
      </c>
      <c r="E89" s="416" t="s">
        <v>951</v>
      </c>
      <c r="F89" s="416">
        <v>2020</v>
      </c>
      <c r="G89" s="416">
        <v>10</v>
      </c>
    </row>
    <row r="90" spans="1:7">
      <c r="A90" s="416" t="s">
        <v>630</v>
      </c>
      <c r="B90" s="416" t="s">
        <v>910</v>
      </c>
      <c r="C90" s="339" t="str">
        <f>VLOOKUP(B90,'Electricity Potential'!$J$5:$K$40,2,FALSE)</f>
        <v>NE</v>
      </c>
      <c r="D90" s="416" t="s">
        <v>952</v>
      </c>
      <c r="E90" s="416" t="s">
        <v>951</v>
      </c>
      <c r="F90" s="416">
        <v>2020</v>
      </c>
      <c r="G90" s="416">
        <v>7290</v>
      </c>
    </row>
    <row r="91" spans="1:7">
      <c r="A91" s="416" t="s">
        <v>626</v>
      </c>
      <c r="B91" s="416" t="s">
        <v>931</v>
      </c>
      <c r="C91" s="339" t="str">
        <f>VLOOKUP(B91,'Electricity Potential'!$J$5:$K$40,2,FALSE)</f>
        <v>GJ</v>
      </c>
      <c r="D91" s="416" t="s">
        <v>906</v>
      </c>
      <c r="E91" s="416" t="s">
        <v>956</v>
      </c>
      <c r="F91" s="416">
        <v>2020</v>
      </c>
      <c r="G91" s="416">
        <v>590</v>
      </c>
    </row>
    <row r="92" spans="1:7">
      <c r="A92" s="416" t="s">
        <v>626</v>
      </c>
      <c r="B92" s="416" t="s">
        <v>931</v>
      </c>
      <c r="C92" s="339" t="str">
        <f>VLOOKUP(B92,'Electricity Potential'!$J$5:$K$40,2,FALSE)</f>
        <v>GJ</v>
      </c>
      <c r="D92" s="416" t="s">
        <v>955</v>
      </c>
      <c r="E92" s="416" t="s">
        <v>951</v>
      </c>
      <c r="F92" s="416">
        <v>2020</v>
      </c>
      <c r="G92" s="416">
        <v>142560</v>
      </c>
    </row>
    <row r="93" spans="1:7">
      <c r="A93" s="416" t="s">
        <v>626</v>
      </c>
      <c r="B93" s="416" t="s">
        <v>931</v>
      </c>
      <c r="C93" s="339" t="str">
        <f>VLOOKUP(B93,'Electricity Potential'!$J$5:$K$40,2,FALSE)</f>
        <v>GJ</v>
      </c>
      <c r="D93" s="416" t="s">
        <v>954</v>
      </c>
      <c r="E93" s="416" t="s">
        <v>951</v>
      </c>
      <c r="F93" s="416">
        <v>2020</v>
      </c>
      <c r="G93" s="416">
        <v>202</v>
      </c>
    </row>
    <row r="94" spans="1:7">
      <c r="A94" s="416" t="s">
        <v>626</v>
      </c>
      <c r="B94" s="416" t="s">
        <v>931</v>
      </c>
      <c r="C94" s="339" t="str">
        <f>VLOOKUP(B94,'Electricity Potential'!$J$5:$K$40,2,FALSE)</f>
        <v>GJ</v>
      </c>
      <c r="D94" s="416" t="s">
        <v>953</v>
      </c>
      <c r="E94" s="416" t="s">
        <v>951</v>
      </c>
      <c r="F94" s="416">
        <v>2020</v>
      </c>
      <c r="G94" s="416">
        <v>1221</v>
      </c>
    </row>
    <row r="95" spans="1:7">
      <c r="A95" s="416" t="s">
        <v>626</v>
      </c>
      <c r="B95" s="416" t="s">
        <v>931</v>
      </c>
      <c r="C95" s="339" t="str">
        <f>VLOOKUP(B95,'Electricity Potential'!$J$5:$K$40,2,FALSE)</f>
        <v>GJ</v>
      </c>
      <c r="D95" s="416" t="s">
        <v>964</v>
      </c>
      <c r="E95" s="416" t="s">
        <v>951</v>
      </c>
      <c r="F95" s="416">
        <v>2020</v>
      </c>
      <c r="G95" s="416">
        <v>350</v>
      </c>
    </row>
    <row r="96" spans="1:7">
      <c r="A96" s="416" t="s">
        <v>626</v>
      </c>
      <c r="B96" s="416" t="s">
        <v>931</v>
      </c>
      <c r="C96" s="339" t="str">
        <f>VLOOKUP(B96,'Electricity Potential'!$J$5:$K$40,2,FALSE)</f>
        <v>GJ</v>
      </c>
      <c r="D96" s="416" t="s">
        <v>959</v>
      </c>
      <c r="E96" s="416" t="s">
        <v>951</v>
      </c>
      <c r="F96" s="416">
        <v>2020</v>
      </c>
      <c r="G96" s="416">
        <v>112</v>
      </c>
    </row>
    <row r="97" spans="1:7">
      <c r="A97" s="416" t="s">
        <v>626</v>
      </c>
      <c r="B97" s="416" t="s">
        <v>931</v>
      </c>
      <c r="C97" s="339" t="str">
        <f>VLOOKUP(B97,'Electricity Potential'!$J$5:$K$40,2,FALSE)</f>
        <v>GJ</v>
      </c>
      <c r="D97" s="416" t="s">
        <v>952</v>
      </c>
      <c r="E97" s="416" t="s">
        <v>951</v>
      </c>
      <c r="F97" s="416">
        <v>2020</v>
      </c>
      <c r="G97" s="416">
        <v>35770</v>
      </c>
    </row>
    <row r="98" spans="1:7">
      <c r="A98" s="416" t="s">
        <v>625</v>
      </c>
      <c r="B98" s="416" t="s">
        <v>966</v>
      </c>
      <c r="C98" s="339" t="str">
        <f>VLOOKUP(B98,'Electricity Potential'!$J$5:$K$40,2,FALSE)</f>
        <v>JK</v>
      </c>
      <c r="D98" s="416" t="s">
        <v>906</v>
      </c>
      <c r="E98" s="416" t="s">
        <v>956</v>
      </c>
      <c r="F98" s="416">
        <v>2020</v>
      </c>
      <c r="G98" s="416">
        <v>11497</v>
      </c>
    </row>
    <row r="99" spans="1:7">
      <c r="A99" s="416" t="s">
        <v>625</v>
      </c>
      <c r="B99" s="416" t="s">
        <v>966</v>
      </c>
      <c r="C99" s="339" t="str">
        <f>VLOOKUP(B99,'Electricity Potential'!$J$5:$K$40,2,FALSE)</f>
        <v>JK</v>
      </c>
      <c r="D99" s="416" t="s">
        <v>906</v>
      </c>
      <c r="E99" s="416" t="s">
        <v>956</v>
      </c>
      <c r="F99" s="416">
        <v>2020</v>
      </c>
      <c r="G99" s="416">
        <v>2046</v>
      </c>
    </row>
    <row r="100" spans="1:7">
      <c r="A100" s="416" t="s">
        <v>625</v>
      </c>
      <c r="B100" s="416" t="s">
        <v>966</v>
      </c>
      <c r="C100" s="339" t="str">
        <f>VLOOKUP(B100,'Electricity Potential'!$J$5:$K$40,2,FALSE)</f>
        <v>JK</v>
      </c>
      <c r="D100" s="416" t="s">
        <v>955</v>
      </c>
      <c r="E100" s="416" t="s">
        <v>951</v>
      </c>
      <c r="F100" s="416">
        <v>2020</v>
      </c>
      <c r="G100" s="416">
        <v>3</v>
      </c>
    </row>
    <row r="101" spans="1:7">
      <c r="A101" s="416" t="s">
        <v>625</v>
      </c>
      <c r="B101" s="416" t="s">
        <v>966</v>
      </c>
      <c r="C101" s="339" t="str">
        <f>VLOOKUP(B101,'Electricity Potential'!$J$5:$K$40,2,FALSE)</f>
        <v>JK</v>
      </c>
      <c r="D101" s="416" t="s">
        <v>954</v>
      </c>
      <c r="E101" s="416" t="s">
        <v>951</v>
      </c>
      <c r="F101" s="416">
        <v>2020</v>
      </c>
      <c r="G101" s="416">
        <v>1707</v>
      </c>
    </row>
    <row r="102" spans="1:7">
      <c r="A102" s="416" t="s">
        <v>625</v>
      </c>
      <c r="B102" s="416" t="s">
        <v>966</v>
      </c>
      <c r="C102" s="339" t="str">
        <f>VLOOKUP(B102,'Electricity Potential'!$J$5:$K$40,2,FALSE)</f>
        <v>JK</v>
      </c>
      <c r="D102" s="416" t="s">
        <v>953</v>
      </c>
      <c r="E102" s="416" t="s">
        <v>951</v>
      </c>
      <c r="F102" s="416">
        <v>2020</v>
      </c>
      <c r="G102" s="416">
        <v>43</v>
      </c>
    </row>
    <row r="103" spans="1:7">
      <c r="A103" s="416" t="s">
        <v>625</v>
      </c>
      <c r="B103" s="416" t="s">
        <v>966</v>
      </c>
      <c r="C103" s="339" t="str">
        <f>VLOOKUP(B103,'Electricity Potential'!$J$5:$K$40,2,FALSE)</f>
        <v>JK</v>
      </c>
      <c r="D103" s="416" t="s">
        <v>952</v>
      </c>
      <c r="E103" s="416" t="s">
        <v>951</v>
      </c>
      <c r="F103" s="416">
        <v>2020</v>
      </c>
      <c r="G103" s="416">
        <v>111050</v>
      </c>
    </row>
    <row r="104" spans="1:7">
      <c r="A104" s="416" t="s">
        <v>627</v>
      </c>
      <c r="B104" s="416" t="s">
        <v>925</v>
      </c>
      <c r="C104" s="339" t="str">
        <f>VLOOKUP(B104,'Electricity Potential'!$J$5:$K$40,2,FALSE)</f>
        <v>KL</v>
      </c>
      <c r="D104" s="416" t="s">
        <v>906</v>
      </c>
      <c r="E104" s="416" t="s">
        <v>956</v>
      </c>
      <c r="F104" s="416">
        <v>2020</v>
      </c>
      <c r="G104" s="416">
        <v>3378</v>
      </c>
    </row>
    <row r="105" spans="1:7">
      <c r="A105" s="416" t="s">
        <v>627</v>
      </c>
      <c r="B105" s="416" t="s">
        <v>925</v>
      </c>
      <c r="C105" s="339" t="str">
        <f>VLOOKUP(B105,'Electricity Potential'!$J$5:$K$40,2,FALSE)</f>
        <v>KL</v>
      </c>
      <c r="D105" s="416" t="s">
        <v>955</v>
      </c>
      <c r="E105" s="416" t="s">
        <v>951</v>
      </c>
      <c r="F105" s="416">
        <v>2020</v>
      </c>
      <c r="G105" s="416">
        <v>2311</v>
      </c>
    </row>
    <row r="106" spans="1:7">
      <c r="A106" s="416" t="s">
        <v>627</v>
      </c>
      <c r="B106" s="416" t="s">
        <v>925</v>
      </c>
      <c r="C106" s="339" t="str">
        <f>VLOOKUP(B106,'Electricity Potential'!$J$5:$K$40,2,FALSE)</f>
        <v>KL</v>
      </c>
      <c r="D106" s="416" t="s">
        <v>954</v>
      </c>
      <c r="E106" s="416" t="s">
        <v>951</v>
      </c>
      <c r="F106" s="416">
        <v>2020</v>
      </c>
      <c r="G106" s="416">
        <v>647</v>
      </c>
    </row>
    <row r="107" spans="1:7">
      <c r="A107" s="416" t="s">
        <v>627</v>
      </c>
      <c r="B107" s="416" t="s">
        <v>925</v>
      </c>
      <c r="C107" s="339" t="str">
        <f>VLOOKUP(B107,'Electricity Potential'!$J$5:$K$40,2,FALSE)</f>
        <v>KL</v>
      </c>
      <c r="D107" s="416" t="s">
        <v>953</v>
      </c>
      <c r="E107" s="416" t="s">
        <v>951</v>
      </c>
      <c r="F107" s="416">
        <v>2020</v>
      </c>
      <c r="G107" s="416">
        <v>1044</v>
      </c>
    </row>
    <row r="108" spans="1:7">
      <c r="A108" s="416" t="s">
        <v>627</v>
      </c>
      <c r="B108" s="416" t="s">
        <v>925</v>
      </c>
      <c r="C108" s="339" t="str">
        <f>VLOOKUP(B108,'Electricity Potential'!$J$5:$K$40,2,FALSE)</f>
        <v>KL</v>
      </c>
      <c r="D108" s="416" t="s">
        <v>959</v>
      </c>
      <c r="E108" s="416" t="s">
        <v>951</v>
      </c>
      <c r="F108" s="416">
        <v>2020</v>
      </c>
      <c r="G108" s="416">
        <v>36</v>
      </c>
    </row>
    <row r="109" spans="1:7">
      <c r="A109" s="416" t="s">
        <v>627</v>
      </c>
      <c r="B109" s="416" t="s">
        <v>925</v>
      </c>
      <c r="C109" s="339" t="str">
        <f>VLOOKUP(B109,'Electricity Potential'!$J$5:$K$40,2,FALSE)</f>
        <v>KL</v>
      </c>
      <c r="D109" s="416" t="s">
        <v>952</v>
      </c>
      <c r="E109" s="416" t="s">
        <v>951</v>
      </c>
      <c r="F109" s="416">
        <v>2020</v>
      </c>
      <c r="G109" s="416">
        <v>6110</v>
      </c>
    </row>
    <row r="110" spans="1:7">
      <c r="A110" s="416" t="s">
        <v>627</v>
      </c>
      <c r="B110" s="416" t="s">
        <v>924</v>
      </c>
      <c r="C110" s="339" t="str">
        <f>VLOOKUP(B110,'Electricity Potential'!$J$5:$K$40,2,FALSE)</f>
        <v>UT</v>
      </c>
      <c r="D110" s="416" t="s">
        <v>955</v>
      </c>
      <c r="E110" s="416" t="s">
        <v>951</v>
      </c>
      <c r="F110" s="416">
        <v>2020</v>
      </c>
      <c r="G110" s="416">
        <v>382</v>
      </c>
    </row>
    <row r="111" spans="1:7">
      <c r="A111" s="416" t="s">
        <v>627</v>
      </c>
      <c r="B111" s="416" t="s">
        <v>924</v>
      </c>
      <c r="C111" s="339" t="str">
        <f>VLOOKUP(B111,'Electricity Potential'!$J$5:$K$40,2,FALSE)</f>
        <v>UT</v>
      </c>
      <c r="D111" s="416" t="s">
        <v>959</v>
      </c>
      <c r="E111" s="416" t="s">
        <v>951</v>
      </c>
      <c r="F111" s="416">
        <v>2020</v>
      </c>
      <c r="G111" s="416">
        <v>2.5</v>
      </c>
    </row>
    <row r="112" spans="1:7">
      <c r="A112" s="416" t="s">
        <v>625</v>
      </c>
      <c r="B112" s="416" t="s">
        <v>935</v>
      </c>
      <c r="C112" s="339" t="str">
        <f>VLOOKUP(B112,'Electricity Potential'!$J$5:$K$40,2,FALSE)</f>
        <v>RJ</v>
      </c>
      <c r="D112" s="416" t="s">
        <v>906</v>
      </c>
      <c r="E112" s="416" t="s">
        <v>956</v>
      </c>
      <c r="F112" s="416">
        <v>2020</v>
      </c>
      <c r="G112" s="416">
        <v>483</v>
      </c>
    </row>
    <row r="113" spans="1:7">
      <c r="A113" s="416" t="s">
        <v>625</v>
      </c>
      <c r="B113" s="416" t="s">
        <v>935</v>
      </c>
      <c r="C113" s="339" t="str">
        <f>VLOOKUP(B113,'Electricity Potential'!$J$5:$K$40,2,FALSE)</f>
        <v>RJ</v>
      </c>
      <c r="D113" s="416" t="s">
        <v>955</v>
      </c>
      <c r="E113" s="416" t="s">
        <v>951</v>
      </c>
      <c r="F113" s="416">
        <v>2020</v>
      </c>
      <c r="G113" s="416">
        <v>127756</v>
      </c>
    </row>
    <row r="114" spans="1:7">
      <c r="A114" s="416" t="s">
        <v>625</v>
      </c>
      <c r="B114" s="416" t="s">
        <v>935</v>
      </c>
      <c r="C114" s="339" t="str">
        <f>VLOOKUP(B114,'Electricity Potential'!$J$5:$K$40,2,FALSE)</f>
        <v>RJ</v>
      </c>
      <c r="D114" s="416" t="s">
        <v>954</v>
      </c>
      <c r="E114" s="416" t="s">
        <v>951</v>
      </c>
      <c r="F114" s="416">
        <v>2020</v>
      </c>
      <c r="G114" s="416">
        <v>52</v>
      </c>
    </row>
    <row r="115" spans="1:7">
      <c r="A115" s="416" t="s">
        <v>625</v>
      </c>
      <c r="B115" s="416" t="s">
        <v>935</v>
      </c>
      <c r="C115" s="339" t="str">
        <f>VLOOKUP(B115,'Electricity Potential'!$J$5:$K$40,2,FALSE)</f>
        <v>RJ</v>
      </c>
      <c r="D115" s="416" t="s">
        <v>953</v>
      </c>
      <c r="E115" s="416" t="s">
        <v>951</v>
      </c>
      <c r="F115" s="416">
        <v>2020</v>
      </c>
      <c r="G115" s="416">
        <v>1039</v>
      </c>
    </row>
    <row r="116" spans="1:7">
      <c r="A116" s="416" t="s">
        <v>625</v>
      </c>
      <c r="B116" s="416" t="s">
        <v>935</v>
      </c>
      <c r="C116" s="339" t="str">
        <f>VLOOKUP(B116,'Electricity Potential'!$J$5:$K$40,2,FALSE)</f>
        <v>RJ</v>
      </c>
      <c r="D116" s="416" t="s">
        <v>959</v>
      </c>
      <c r="E116" s="416" t="s">
        <v>951</v>
      </c>
      <c r="F116" s="416">
        <v>2020</v>
      </c>
      <c r="G116" s="416">
        <v>62</v>
      </c>
    </row>
    <row r="117" spans="1:7">
      <c r="A117" s="416" t="s">
        <v>625</v>
      </c>
      <c r="B117" s="416" t="s">
        <v>935</v>
      </c>
      <c r="C117" s="339" t="str">
        <f>VLOOKUP(B117,'Electricity Potential'!$J$5:$K$40,2,FALSE)</f>
        <v>RJ</v>
      </c>
      <c r="D117" s="416" t="s">
        <v>952</v>
      </c>
      <c r="E117" s="416" t="s">
        <v>951</v>
      </c>
      <c r="F117" s="416">
        <v>2020</v>
      </c>
      <c r="G117" s="416">
        <v>142310</v>
      </c>
    </row>
    <row r="118" spans="1:7">
      <c r="A118" s="416" t="s">
        <v>627</v>
      </c>
      <c r="B118" s="416" t="s">
        <v>965</v>
      </c>
      <c r="C118" s="339" t="str">
        <f>VLOOKUP(B118,'Electricity Potential'!$J$5:$K$40,2,FALSE)</f>
        <v>TN</v>
      </c>
      <c r="D118" s="416" t="s">
        <v>906</v>
      </c>
      <c r="E118" s="416" t="s">
        <v>956</v>
      </c>
      <c r="F118" s="416">
        <v>2020</v>
      </c>
      <c r="G118" s="416">
        <v>1693</v>
      </c>
    </row>
    <row r="119" spans="1:7">
      <c r="A119" s="416" t="s">
        <v>627</v>
      </c>
      <c r="B119" s="416" t="s">
        <v>965</v>
      </c>
      <c r="C119" s="339" t="str">
        <f>VLOOKUP(B119,'Electricity Potential'!$J$5:$K$40,2,FALSE)</f>
        <v>TN</v>
      </c>
      <c r="D119" s="416" t="s">
        <v>955</v>
      </c>
      <c r="E119" s="416" t="s">
        <v>951</v>
      </c>
      <c r="F119" s="416">
        <v>2020</v>
      </c>
      <c r="G119" s="416">
        <v>68750</v>
      </c>
    </row>
    <row r="120" spans="1:7">
      <c r="A120" s="416" t="s">
        <v>627</v>
      </c>
      <c r="B120" s="416" t="s">
        <v>965</v>
      </c>
      <c r="C120" s="339" t="str">
        <f>VLOOKUP(B120,'Electricity Potential'!$J$5:$K$40,2,FALSE)</f>
        <v>TN</v>
      </c>
      <c r="D120" s="416" t="s">
        <v>954</v>
      </c>
      <c r="E120" s="416" t="s">
        <v>951</v>
      </c>
      <c r="F120" s="416">
        <v>2020</v>
      </c>
      <c r="G120" s="416">
        <v>604</v>
      </c>
    </row>
    <row r="121" spans="1:7">
      <c r="A121" s="416" t="s">
        <v>627</v>
      </c>
      <c r="B121" s="416" t="s">
        <v>965</v>
      </c>
      <c r="C121" s="339" t="str">
        <f>VLOOKUP(B121,'Electricity Potential'!$J$5:$K$40,2,FALSE)</f>
        <v>TN</v>
      </c>
      <c r="D121" s="416" t="s">
        <v>953</v>
      </c>
      <c r="E121" s="416" t="s">
        <v>951</v>
      </c>
      <c r="F121" s="416">
        <v>2020</v>
      </c>
      <c r="G121" s="416">
        <v>1070</v>
      </c>
    </row>
    <row r="122" spans="1:7">
      <c r="A122" s="416" t="s">
        <v>627</v>
      </c>
      <c r="B122" s="416" t="s">
        <v>965</v>
      </c>
      <c r="C122" s="339" t="str">
        <f>VLOOKUP(B122,'Electricity Potential'!$J$5:$K$40,2,FALSE)</f>
        <v>TN</v>
      </c>
      <c r="D122" s="416" t="s">
        <v>964</v>
      </c>
      <c r="E122" s="416" t="s">
        <v>951</v>
      </c>
      <c r="F122" s="416">
        <v>2020</v>
      </c>
      <c r="G122" s="416">
        <v>450</v>
      </c>
    </row>
    <row r="123" spans="1:7">
      <c r="A123" s="416" t="s">
        <v>627</v>
      </c>
      <c r="B123" s="416" t="s">
        <v>965</v>
      </c>
      <c r="C123" s="339" t="str">
        <f>VLOOKUP(B123,'Electricity Potential'!$J$5:$K$40,2,FALSE)</f>
        <v>TN</v>
      </c>
      <c r="D123" s="416" t="s">
        <v>959</v>
      </c>
      <c r="E123" s="416" t="s">
        <v>951</v>
      </c>
      <c r="F123" s="416">
        <v>2020</v>
      </c>
      <c r="G123" s="416">
        <v>151</v>
      </c>
    </row>
    <row r="124" spans="1:7">
      <c r="A124" s="416" t="s">
        <v>627</v>
      </c>
      <c r="B124" s="416" t="s">
        <v>965</v>
      </c>
      <c r="C124" s="339" t="str">
        <f>VLOOKUP(B124,'Electricity Potential'!$J$5:$K$40,2,FALSE)</f>
        <v>TN</v>
      </c>
      <c r="D124" s="416" t="s">
        <v>952</v>
      </c>
      <c r="E124" s="416" t="s">
        <v>951</v>
      </c>
      <c r="F124" s="416">
        <v>2020</v>
      </c>
      <c r="G124" s="416">
        <v>17670</v>
      </c>
    </row>
    <row r="125" spans="1:7">
      <c r="A125" s="416" t="s">
        <v>625</v>
      </c>
      <c r="B125" s="416" t="s">
        <v>940</v>
      </c>
      <c r="C125" s="339" t="str">
        <f>VLOOKUP(B125,'Electricity Potential'!$J$5:$K$40,2,FALSE)</f>
        <v>DL</v>
      </c>
      <c r="D125" s="416" t="s">
        <v>959</v>
      </c>
      <c r="E125" s="416" t="s">
        <v>951</v>
      </c>
      <c r="F125" s="416">
        <v>2020</v>
      </c>
      <c r="G125" s="416">
        <v>131</v>
      </c>
    </row>
    <row r="126" spans="1:7">
      <c r="A126" s="416" t="s">
        <v>625</v>
      </c>
      <c r="B126" s="416" t="s">
        <v>940</v>
      </c>
      <c r="C126" s="339" t="str">
        <f>VLOOKUP(B126,'Electricity Potential'!$J$5:$K$40,2,FALSE)</f>
        <v>DL</v>
      </c>
      <c r="D126" s="416" t="s">
        <v>952</v>
      </c>
      <c r="E126" s="416" t="s">
        <v>951</v>
      </c>
      <c r="F126" s="416">
        <v>2020</v>
      </c>
      <c r="G126" s="416">
        <v>2050</v>
      </c>
    </row>
    <row r="127" spans="1:7">
      <c r="A127" s="416" t="s">
        <v>625</v>
      </c>
      <c r="B127" s="416" t="s">
        <v>939</v>
      </c>
      <c r="C127" s="339" t="str">
        <f>VLOOKUP(B127,'Electricity Potential'!$J$5:$K$40,2,FALSE)</f>
        <v>HR</v>
      </c>
      <c r="D127" s="416" t="s">
        <v>906</v>
      </c>
      <c r="E127" s="416" t="s">
        <v>956</v>
      </c>
      <c r="F127" s="416">
        <v>2020</v>
      </c>
      <c r="G127" s="416">
        <v>64</v>
      </c>
    </row>
    <row r="128" spans="1:7">
      <c r="A128" s="416" t="s">
        <v>625</v>
      </c>
      <c r="B128" s="416" t="s">
        <v>939</v>
      </c>
      <c r="C128" s="339" t="str">
        <f>VLOOKUP(B128,'Electricity Potential'!$J$5:$K$40,2,FALSE)</f>
        <v>HR</v>
      </c>
      <c r="D128" s="416" t="s">
        <v>955</v>
      </c>
      <c r="E128" s="416" t="s">
        <v>951</v>
      </c>
      <c r="F128" s="416">
        <v>2020</v>
      </c>
      <c r="G128" s="416">
        <v>419</v>
      </c>
    </row>
    <row r="129" spans="1:7">
      <c r="A129" s="416" t="s">
        <v>625</v>
      </c>
      <c r="B129" s="416" t="s">
        <v>939</v>
      </c>
      <c r="C129" s="339" t="str">
        <f>VLOOKUP(B129,'Electricity Potential'!$J$5:$K$40,2,FALSE)</f>
        <v>HR</v>
      </c>
      <c r="D129" s="416" t="s">
        <v>954</v>
      </c>
      <c r="E129" s="416" t="s">
        <v>951</v>
      </c>
      <c r="F129" s="416">
        <v>2020</v>
      </c>
      <c r="G129" s="416">
        <v>107</v>
      </c>
    </row>
    <row r="130" spans="1:7">
      <c r="A130" s="416" t="s">
        <v>625</v>
      </c>
      <c r="B130" s="416" t="s">
        <v>939</v>
      </c>
      <c r="C130" s="339" t="str">
        <f>VLOOKUP(B130,'Electricity Potential'!$J$5:$K$40,2,FALSE)</f>
        <v>HR</v>
      </c>
      <c r="D130" s="416" t="s">
        <v>953</v>
      </c>
      <c r="E130" s="416" t="s">
        <v>951</v>
      </c>
      <c r="F130" s="416">
        <v>2020</v>
      </c>
      <c r="G130" s="416">
        <v>1333</v>
      </c>
    </row>
    <row r="131" spans="1:7">
      <c r="A131" s="416" t="s">
        <v>625</v>
      </c>
      <c r="B131" s="416" t="s">
        <v>939</v>
      </c>
      <c r="C131" s="339" t="str">
        <f>VLOOKUP(B131,'Electricity Potential'!$J$5:$K$40,2,FALSE)</f>
        <v>HR</v>
      </c>
      <c r="D131" s="416" t="s">
        <v>964</v>
      </c>
      <c r="E131" s="416" t="s">
        <v>951</v>
      </c>
      <c r="F131" s="416">
        <v>2020</v>
      </c>
      <c r="G131" s="416">
        <v>350</v>
      </c>
    </row>
    <row r="132" spans="1:7">
      <c r="A132" s="416" t="s">
        <v>625</v>
      </c>
      <c r="B132" s="416" t="s">
        <v>939</v>
      </c>
      <c r="C132" s="339" t="str">
        <f>VLOOKUP(B132,'Electricity Potential'!$J$5:$K$40,2,FALSE)</f>
        <v>HR</v>
      </c>
      <c r="D132" s="416" t="s">
        <v>959</v>
      </c>
      <c r="E132" s="416" t="s">
        <v>951</v>
      </c>
      <c r="F132" s="416">
        <v>2020</v>
      </c>
      <c r="G132" s="416">
        <v>24</v>
      </c>
    </row>
    <row r="133" spans="1:7">
      <c r="A133" s="416" t="s">
        <v>625</v>
      </c>
      <c r="B133" s="416" t="s">
        <v>939</v>
      </c>
      <c r="C133" s="339" t="str">
        <f>VLOOKUP(B133,'Electricity Potential'!$J$5:$K$40,2,FALSE)</f>
        <v>HR</v>
      </c>
      <c r="D133" s="416" t="s">
        <v>952</v>
      </c>
      <c r="E133" s="416" t="s">
        <v>951</v>
      </c>
      <c r="F133" s="416">
        <v>2020</v>
      </c>
      <c r="G133" s="416">
        <v>4560</v>
      </c>
    </row>
    <row r="134" spans="1:7">
      <c r="A134" s="416" t="s">
        <v>625</v>
      </c>
      <c r="B134" s="416" t="s">
        <v>938</v>
      </c>
      <c r="C134" s="339" t="str">
        <f>VLOOKUP(B134,'Electricity Potential'!$J$5:$K$40,2,FALSE)</f>
        <v>HP</v>
      </c>
      <c r="D134" s="416" t="s">
        <v>906</v>
      </c>
      <c r="E134" s="416" t="s">
        <v>956</v>
      </c>
      <c r="F134" s="416">
        <v>2020</v>
      </c>
      <c r="G134" s="416">
        <v>18540</v>
      </c>
    </row>
    <row r="135" spans="1:7">
      <c r="A135" s="416" t="s">
        <v>625</v>
      </c>
      <c r="B135" s="416" t="s">
        <v>938</v>
      </c>
      <c r="C135" s="339" t="str">
        <f>VLOOKUP(B135,'Electricity Potential'!$J$5:$K$40,2,FALSE)</f>
        <v>HP</v>
      </c>
      <c r="D135" s="416" t="s">
        <v>955</v>
      </c>
      <c r="E135" s="416" t="s">
        <v>951</v>
      </c>
      <c r="F135" s="416">
        <v>2020</v>
      </c>
      <c r="G135" s="416">
        <v>151</v>
      </c>
    </row>
    <row r="136" spans="1:7">
      <c r="A136" s="416" t="s">
        <v>625</v>
      </c>
      <c r="B136" s="416" t="s">
        <v>938</v>
      </c>
      <c r="C136" s="339" t="str">
        <f>VLOOKUP(B136,'Electricity Potential'!$J$5:$K$40,2,FALSE)</f>
        <v>HP</v>
      </c>
      <c r="D136" s="416" t="s">
        <v>954</v>
      </c>
      <c r="E136" s="416" t="s">
        <v>951</v>
      </c>
      <c r="F136" s="416">
        <v>2020</v>
      </c>
      <c r="G136" s="416">
        <v>3460</v>
      </c>
    </row>
    <row r="137" spans="1:7">
      <c r="A137" s="416" t="s">
        <v>625</v>
      </c>
      <c r="B137" s="416" t="s">
        <v>938</v>
      </c>
      <c r="C137" s="339" t="str">
        <f>VLOOKUP(B137,'Electricity Potential'!$J$5:$K$40,2,FALSE)</f>
        <v>HP</v>
      </c>
      <c r="D137" s="416" t="s">
        <v>953</v>
      </c>
      <c r="E137" s="416" t="s">
        <v>951</v>
      </c>
      <c r="F137" s="416">
        <v>2020</v>
      </c>
      <c r="G137" s="416">
        <v>142</v>
      </c>
    </row>
    <row r="138" spans="1:7">
      <c r="A138" s="416" t="s">
        <v>625</v>
      </c>
      <c r="B138" s="416" t="s">
        <v>938</v>
      </c>
      <c r="C138" s="339" t="str">
        <f>VLOOKUP(B138,'Electricity Potential'!$J$5:$K$40,2,FALSE)</f>
        <v>HP</v>
      </c>
      <c r="D138" s="416" t="s">
        <v>959</v>
      </c>
      <c r="E138" s="416" t="s">
        <v>951</v>
      </c>
      <c r="F138" s="416">
        <v>2020</v>
      </c>
      <c r="G138" s="416">
        <v>2</v>
      </c>
    </row>
    <row r="139" spans="1:7">
      <c r="A139" s="416" t="s">
        <v>625</v>
      </c>
      <c r="B139" s="416" t="s">
        <v>938</v>
      </c>
      <c r="C139" s="339" t="str">
        <f>VLOOKUP(B139,'Electricity Potential'!$J$5:$K$40,2,FALSE)</f>
        <v>HP</v>
      </c>
      <c r="D139" s="416" t="s">
        <v>952</v>
      </c>
      <c r="E139" s="416" t="s">
        <v>951</v>
      </c>
      <c r="F139" s="416">
        <v>2020</v>
      </c>
      <c r="G139" s="416">
        <v>33840</v>
      </c>
    </row>
    <row r="140" spans="1:7">
      <c r="A140" s="416" t="s">
        <v>627</v>
      </c>
      <c r="B140" s="416" t="s">
        <v>926</v>
      </c>
      <c r="C140" s="339" t="str">
        <f>VLOOKUP(B140,'Electricity Potential'!$J$5:$K$40,2,FALSE)</f>
        <v>KA</v>
      </c>
      <c r="D140" s="416" t="s">
        <v>906</v>
      </c>
      <c r="E140" s="416" t="s">
        <v>956</v>
      </c>
      <c r="F140" s="416">
        <v>2020</v>
      </c>
      <c r="G140" s="416">
        <v>6459</v>
      </c>
    </row>
    <row r="141" spans="1:7">
      <c r="A141" s="416" t="s">
        <v>627</v>
      </c>
      <c r="B141" s="416" t="s">
        <v>926</v>
      </c>
      <c r="C141" s="339" t="str">
        <f>VLOOKUP(B141,'Electricity Potential'!$J$5:$K$40,2,FALSE)</f>
        <v>KA</v>
      </c>
      <c r="D141" s="416" t="s">
        <v>955</v>
      </c>
      <c r="E141" s="416" t="s">
        <v>951</v>
      </c>
      <c r="F141" s="416">
        <v>2020</v>
      </c>
      <c r="G141" s="416">
        <v>124155</v>
      </c>
    </row>
    <row r="142" spans="1:7">
      <c r="A142" s="416" t="s">
        <v>627</v>
      </c>
      <c r="B142" s="416" t="s">
        <v>926</v>
      </c>
      <c r="C142" s="339" t="str">
        <f>VLOOKUP(B142,'Electricity Potential'!$J$5:$K$40,2,FALSE)</f>
        <v>KA</v>
      </c>
      <c r="D142" s="416" t="s">
        <v>954</v>
      </c>
      <c r="E142" s="416" t="s">
        <v>951</v>
      </c>
      <c r="F142" s="416">
        <v>2020</v>
      </c>
      <c r="G142" s="416">
        <v>3726</v>
      </c>
    </row>
    <row r="143" spans="1:7">
      <c r="A143" s="416" t="s">
        <v>627</v>
      </c>
      <c r="B143" s="416" t="s">
        <v>926</v>
      </c>
      <c r="C143" s="339" t="str">
        <f>VLOOKUP(B143,'Electricity Potential'!$J$5:$K$40,2,FALSE)</f>
        <v>KA</v>
      </c>
      <c r="D143" s="416" t="s">
        <v>953</v>
      </c>
      <c r="E143" s="416" t="s">
        <v>951</v>
      </c>
      <c r="F143" s="416">
        <v>2020</v>
      </c>
      <c r="G143" s="416">
        <v>1131</v>
      </c>
    </row>
    <row r="144" spans="1:7">
      <c r="A144" s="416" t="s">
        <v>627</v>
      </c>
      <c r="B144" s="416" t="s">
        <v>926</v>
      </c>
      <c r="C144" s="339" t="str">
        <f>VLOOKUP(B144,'Electricity Potential'!$J$5:$K$40,2,FALSE)</f>
        <v>KA</v>
      </c>
      <c r="D144" s="416" t="s">
        <v>964</v>
      </c>
      <c r="E144" s="416" t="s">
        <v>951</v>
      </c>
      <c r="F144" s="416">
        <v>2020</v>
      </c>
      <c r="G144" s="416">
        <v>450</v>
      </c>
    </row>
    <row r="145" spans="1:7">
      <c r="A145" s="416" t="s">
        <v>627</v>
      </c>
      <c r="B145" s="416" t="s">
        <v>926</v>
      </c>
      <c r="C145" s="339" t="str">
        <f>VLOOKUP(B145,'Electricity Potential'!$J$5:$K$40,2,FALSE)</f>
        <v>KA</v>
      </c>
      <c r="D145" s="416" t="s">
        <v>952</v>
      </c>
      <c r="E145" s="416" t="s">
        <v>951</v>
      </c>
      <c r="F145" s="416">
        <v>2020</v>
      </c>
      <c r="G145" s="416">
        <v>24700</v>
      </c>
    </row>
    <row r="146" spans="1:7">
      <c r="A146" s="416" t="s">
        <v>625</v>
      </c>
      <c r="B146" s="416" t="s">
        <v>936</v>
      </c>
      <c r="C146" s="339" t="str">
        <f>VLOOKUP(B146,'Electricity Potential'!$J$5:$K$40,2,FALSE)</f>
        <v>PB</v>
      </c>
      <c r="D146" s="416" t="s">
        <v>906</v>
      </c>
      <c r="E146" s="416" t="s">
        <v>956</v>
      </c>
      <c r="F146" s="416">
        <v>2020</v>
      </c>
      <c r="G146" s="416">
        <v>971</v>
      </c>
    </row>
    <row r="147" spans="1:7">
      <c r="A147" s="416" t="s">
        <v>625</v>
      </c>
      <c r="B147" s="416" t="s">
        <v>936</v>
      </c>
      <c r="C147" s="339" t="str">
        <f>VLOOKUP(B147,'Electricity Potential'!$J$5:$K$40,2,FALSE)</f>
        <v>PB</v>
      </c>
      <c r="D147" s="416" t="s">
        <v>955</v>
      </c>
      <c r="E147" s="416" t="s">
        <v>951</v>
      </c>
      <c r="F147" s="416">
        <v>2020</v>
      </c>
      <c r="G147" s="416">
        <v>278</v>
      </c>
    </row>
    <row r="148" spans="1:7">
      <c r="A148" s="416" t="s">
        <v>625</v>
      </c>
      <c r="B148" s="416" t="s">
        <v>936</v>
      </c>
      <c r="C148" s="339" t="str">
        <f>VLOOKUP(B148,'Electricity Potential'!$J$5:$K$40,2,FALSE)</f>
        <v>PB</v>
      </c>
      <c r="D148" s="416" t="s">
        <v>954</v>
      </c>
      <c r="E148" s="416" t="s">
        <v>951</v>
      </c>
      <c r="F148" s="416">
        <v>2020</v>
      </c>
      <c r="G148" s="416">
        <v>578</v>
      </c>
    </row>
    <row r="149" spans="1:7">
      <c r="A149" s="416" t="s">
        <v>625</v>
      </c>
      <c r="B149" s="416" t="s">
        <v>936</v>
      </c>
      <c r="C149" s="339" t="str">
        <f>VLOOKUP(B149,'Electricity Potential'!$J$5:$K$40,2,FALSE)</f>
        <v>PB</v>
      </c>
      <c r="D149" s="416" t="s">
        <v>953</v>
      </c>
      <c r="E149" s="416" t="s">
        <v>951</v>
      </c>
      <c r="F149" s="416">
        <v>2020</v>
      </c>
      <c r="G149" s="416">
        <v>3172</v>
      </c>
    </row>
    <row r="150" spans="1:7">
      <c r="A150" s="416" t="s">
        <v>625</v>
      </c>
      <c r="B150" s="416" t="s">
        <v>936</v>
      </c>
      <c r="C150" s="339" t="str">
        <f>VLOOKUP(B150,'Electricity Potential'!$J$5:$K$40,2,FALSE)</f>
        <v>PB</v>
      </c>
      <c r="D150" s="416" t="s">
        <v>964</v>
      </c>
      <c r="E150" s="416" t="s">
        <v>951</v>
      </c>
      <c r="F150" s="416">
        <v>2020</v>
      </c>
      <c r="G150" s="416">
        <v>300</v>
      </c>
    </row>
    <row r="151" spans="1:7">
      <c r="A151" s="416" t="s">
        <v>625</v>
      </c>
      <c r="B151" s="416" t="s">
        <v>936</v>
      </c>
      <c r="C151" s="339" t="str">
        <f>VLOOKUP(B151,'Electricity Potential'!$J$5:$K$40,2,FALSE)</f>
        <v>PB</v>
      </c>
      <c r="D151" s="416" t="s">
        <v>959</v>
      </c>
      <c r="E151" s="416" t="s">
        <v>951</v>
      </c>
      <c r="F151" s="416">
        <v>2020</v>
      </c>
      <c r="G151" s="416">
        <v>45</v>
      </c>
    </row>
    <row r="152" spans="1:7">
      <c r="A152" s="416" t="s">
        <v>625</v>
      </c>
      <c r="B152" s="416" t="s">
        <v>936</v>
      </c>
      <c r="C152" s="339" t="str">
        <f>VLOOKUP(B152,'Electricity Potential'!$J$5:$K$40,2,FALSE)</f>
        <v>PB</v>
      </c>
      <c r="D152" s="416" t="s">
        <v>952</v>
      </c>
      <c r="E152" s="416" t="s">
        <v>951</v>
      </c>
      <c r="F152" s="416">
        <v>2020</v>
      </c>
      <c r="G152" s="416">
        <v>2810</v>
      </c>
    </row>
    <row r="153" spans="1:7">
      <c r="A153" s="416" t="s">
        <v>625</v>
      </c>
      <c r="B153" s="416" t="s">
        <v>934</v>
      </c>
      <c r="C153" s="339" t="str">
        <f>VLOOKUP(B153,'Electricity Potential'!$J$5:$K$40,2,FALSE)</f>
        <v>UK</v>
      </c>
      <c r="D153" s="416" t="s">
        <v>906</v>
      </c>
      <c r="E153" s="416" t="s">
        <v>956</v>
      </c>
      <c r="F153" s="416">
        <v>2020</v>
      </c>
      <c r="G153" s="416">
        <v>17998</v>
      </c>
    </row>
    <row r="154" spans="1:7">
      <c r="A154" s="416" t="s">
        <v>625</v>
      </c>
      <c r="B154" s="416" t="s">
        <v>934</v>
      </c>
      <c r="C154" s="339" t="str">
        <f>VLOOKUP(B154,'Electricity Potential'!$J$5:$K$40,2,FALSE)</f>
        <v>UK</v>
      </c>
      <c r="D154" s="416" t="s">
        <v>955</v>
      </c>
      <c r="E154" s="416" t="s">
        <v>951</v>
      </c>
      <c r="F154" s="416">
        <v>2020</v>
      </c>
      <c r="G154" s="416">
        <v>54</v>
      </c>
    </row>
    <row r="155" spans="1:7">
      <c r="A155" s="416" t="s">
        <v>625</v>
      </c>
      <c r="B155" s="416" t="s">
        <v>934</v>
      </c>
      <c r="C155" s="339" t="str">
        <f>VLOOKUP(B155,'Electricity Potential'!$J$5:$K$40,2,FALSE)</f>
        <v>UK</v>
      </c>
      <c r="D155" s="416" t="s">
        <v>954</v>
      </c>
      <c r="E155" s="416" t="s">
        <v>951</v>
      </c>
      <c r="F155" s="416">
        <v>2020</v>
      </c>
      <c r="G155" s="416">
        <v>1664.31</v>
      </c>
    </row>
    <row r="156" spans="1:7">
      <c r="A156" s="416" t="s">
        <v>625</v>
      </c>
      <c r="B156" s="416" t="s">
        <v>934</v>
      </c>
      <c r="C156" s="339" t="str">
        <f>VLOOKUP(B156,'Electricity Potential'!$J$5:$K$40,2,FALSE)</f>
        <v>UK</v>
      </c>
      <c r="D156" s="416" t="s">
        <v>953</v>
      </c>
      <c r="E156" s="416" t="s">
        <v>951</v>
      </c>
      <c r="F156" s="416">
        <v>2020</v>
      </c>
      <c r="G156" s="416">
        <v>23.7</v>
      </c>
    </row>
    <row r="157" spans="1:7">
      <c r="A157" s="416" t="s">
        <v>625</v>
      </c>
      <c r="B157" s="416" t="s">
        <v>934</v>
      </c>
      <c r="C157" s="339" t="str">
        <f>VLOOKUP(B157,'Electricity Potential'!$J$5:$K$40,2,FALSE)</f>
        <v>UK</v>
      </c>
      <c r="D157" s="416" t="s">
        <v>959</v>
      </c>
      <c r="E157" s="416" t="s">
        <v>951</v>
      </c>
      <c r="F157" s="416">
        <v>2020</v>
      </c>
      <c r="G157" s="416">
        <v>5</v>
      </c>
    </row>
    <row r="158" spans="1:7">
      <c r="A158" s="416" t="s">
        <v>625</v>
      </c>
      <c r="B158" s="416" t="s">
        <v>934</v>
      </c>
      <c r="C158" s="339" t="str">
        <f>VLOOKUP(B158,'Electricity Potential'!$J$5:$K$40,2,FALSE)</f>
        <v>UK</v>
      </c>
      <c r="D158" s="416" t="s">
        <v>952</v>
      </c>
      <c r="E158" s="416" t="s">
        <v>951</v>
      </c>
      <c r="F158" s="416">
        <v>2020</v>
      </c>
      <c r="G158" s="416">
        <v>16800</v>
      </c>
    </row>
    <row r="159" spans="1:7">
      <c r="A159" s="416" t="s">
        <v>626</v>
      </c>
      <c r="B159" s="416" t="s">
        <v>932</v>
      </c>
      <c r="C159" s="339" t="str">
        <f>VLOOKUP(B159,'Electricity Potential'!$J$5:$K$40,2,FALSE)</f>
        <v>GA</v>
      </c>
      <c r="D159" s="416" t="s">
        <v>906</v>
      </c>
      <c r="E159" s="416" t="s">
        <v>956</v>
      </c>
      <c r="F159" s="416">
        <v>2020</v>
      </c>
      <c r="G159" s="416">
        <v>55</v>
      </c>
    </row>
    <row r="160" spans="1:7">
      <c r="A160" s="416" t="s">
        <v>626</v>
      </c>
      <c r="B160" s="416" t="s">
        <v>932</v>
      </c>
      <c r="C160" s="339" t="str">
        <f>VLOOKUP(B160,'Electricity Potential'!$J$5:$K$40,2,FALSE)</f>
        <v>GA</v>
      </c>
      <c r="D160" s="416" t="s">
        <v>955</v>
      </c>
      <c r="E160" s="416" t="s">
        <v>951</v>
      </c>
      <c r="F160" s="416">
        <v>2020</v>
      </c>
      <c r="G160" s="416">
        <v>8</v>
      </c>
    </row>
    <row r="161" spans="1:7">
      <c r="A161" s="416" t="s">
        <v>626</v>
      </c>
      <c r="B161" s="416" t="s">
        <v>932</v>
      </c>
      <c r="C161" s="339" t="str">
        <f>VLOOKUP(B161,'Electricity Potential'!$J$5:$K$40,2,FALSE)</f>
        <v>GA</v>
      </c>
      <c r="D161" s="416" t="s">
        <v>954</v>
      </c>
      <c r="E161" s="416" t="s">
        <v>951</v>
      </c>
      <c r="F161" s="416">
        <v>2020</v>
      </c>
      <c r="G161" s="416">
        <v>5</v>
      </c>
    </row>
    <row r="162" spans="1:7">
      <c r="A162" s="416" t="s">
        <v>626</v>
      </c>
      <c r="B162" s="416" t="s">
        <v>932</v>
      </c>
      <c r="C162" s="339" t="str">
        <f>VLOOKUP(B162,'Electricity Potential'!$J$5:$K$40,2,FALSE)</f>
        <v>GA</v>
      </c>
      <c r="D162" s="416" t="s">
        <v>953</v>
      </c>
      <c r="E162" s="416" t="s">
        <v>951</v>
      </c>
      <c r="F162" s="416">
        <v>2020</v>
      </c>
      <c r="G162" s="416">
        <v>26</v>
      </c>
    </row>
    <row r="163" spans="1:7">
      <c r="A163" s="416" t="s">
        <v>626</v>
      </c>
      <c r="B163" s="416" t="s">
        <v>932</v>
      </c>
      <c r="C163" s="339" t="str">
        <f>VLOOKUP(B163,'Electricity Potential'!$J$5:$K$40,2,FALSE)</f>
        <v>GA</v>
      </c>
      <c r="D163" s="416" t="s">
        <v>952</v>
      </c>
      <c r="E163" s="416" t="s">
        <v>951</v>
      </c>
      <c r="F163" s="416">
        <v>2020</v>
      </c>
      <c r="G163" s="416">
        <v>880</v>
      </c>
    </row>
    <row r="164" spans="1:7">
      <c r="A164" s="416" t="s">
        <v>630</v>
      </c>
      <c r="B164" s="416" t="s">
        <v>913</v>
      </c>
      <c r="C164" s="339" t="str">
        <f>VLOOKUP(B164,'Electricity Potential'!$J$5:$K$40,2,FALSE)</f>
        <v>NE</v>
      </c>
      <c r="D164" s="416" t="s">
        <v>906</v>
      </c>
      <c r="E164" s="416" t="s">
        <v>956</v>
      </c>
      <c r="F164" s="416">
        <v>2020</v>
      </c>
      <c r="G164" s="416">
        <v>1761</v>
      </c>
    </row>
    <row r="165" spans="1:7">
      <c r="A165" s="416" t="s">
        <v>630</v>
      </c>
      <c r="B165" s="416" t="s">
        <v>913</v>
      </c>
      <c r="C165" s="339" t="str">
        <f>VLOOKUP(B165,'Electricity Potential'!$J$5:$K$40,2,FALSE)</f>
        <v>NE</v>
      </c>
      <c r="D165" s="416" t="s">
        <v>954</v>
      </c>
      <c r="E165" s="416" t="s">
        <v>951</v>
      </c>
      <c r="F165" s="416">
        <v>2020</v>
      </c>
      <c r="G165" s="416">
        <v>100</v>
      </c>
    </row>
    <row r="166" spans="1:7">
      <c r="A166" s="416" t="s">
        <v>630</v>
      </c>
      <c r="B166" s="416" t="s">
        <v>913</v>
      </c>
      <c r="C166" s="339" t="str">
        <f>VLOOKUP(B166,'Electricity Potential'!$J$5:$K$40,2,FALSE)</f>
        <v>NE</v>
      </c>
      <c r="D166" s="416" t="s">
        <v>953</v>
      </c>
      <c r="E166" s="416" t="s">
        <v>951</v>
      </c>
      <c r="F166" s="416">
        <v>2020</v>
      </c>
      <c r="G166" s="416">
        <v>13</v>
      </c>
    </row>
    <row r="167" spans="1:7">
      <c r="A167" s="416" t="s">
        <v>630</v>
      </c>
      <c r="B167" s="416" t="s">
        <v>913</v>
      </c>
      <c r="C167" s="339" t="str">
        <f>VLOOKUP(B167,'Electricity Potential'!$J$5:$K$40,2,FALSE)</f>
        <v>NE</v>
      </c>
      <c r="D167" s="416" t="s">
        <v>959</v>
      </c>
      <c r="E167" s="416" t="s">
        <v>951</v>
      </c>
      <c r="F167" s="416">
        <v>2020</v>
      </c>
      <c r="G167" s="416">
        <v>2</v>
      </c>
    </row>
    <row r="168" spans="1:7">
      <c r="A168" s="416" t="s">
        <v>630</v>
      </c>
      <c r="B168" s="416" t="s">
        <v>913</v>
      </c>
      <c r="C168" s="339" t="str">
        <f>VLOOKUP(B168,'Electricity Potential'!$J$5:$K$40,2,FALSE)</f>
        <v>NE</v>
      </c>
      <c r="D168" s="416" t="s">
        <v>952</v>
      </c>
      <c r="E168" s="416" t="s">
        <v>951</v>
      </c>
      <c r="F168" s="416">
        <v>2020</v>
      </c>
      <c r="G168" s="416">
        <v>10630</v>
      </c>
    </row>
    <row r="169" spans="1:7">
      <c r="A169" s="416" t="s">
        <v>630</v>
      </c>
      <c r="B169" s="416" t="s">
        <v>911</v>
      </c>
      <c r="C169" s="339" t="str">
        <f>VLOOKUP(B169,'Electricity Potential'!$J$5:$K$40,2,FALSE)</f>
        <v>NE</v>
      </c>
      <c r="D169" s="416" t="s">
        <v>906</v>
      </c>
      <c r="E169" s="416" t="s">
        <v>956</v>
      </c>
      <c r="F169" s="416">
        <v>2020</v>
      </c>
      <c r="G169" s="416">
        <v>2131</v>
      </c>
    </row>
    <row r="170" spans="1:7">
      <c r="A170" s="416" t="s">
        <v>630</v>
      </c>
      <c r="B170" s="416" t="s">
        <v>911</v>
      </c>
      <c r="C170" s="339" t="str">
        <f>VLOOKUP(B170,'Electricity Potential'!$J$5:$K$40,2,FALSE)</f>
        <v>NE</v>
      </c>
      <c r="D170" s="416" t="s">
        <v>954</v>
      </c>
      <c r="E170" s="416" t="s">
        <v>951</v>
      </c>
      <c r="F170" s="416">
        <v>2020</v>
      </c>
      <c r="G170" s="416">
        <v>169</v>
      </c>
    </row>
    <row r="171" spans="1:7">
      <c r="A171" s="416" t="s">
        <v>630</v>
      </c>
      <c r="B171" s="416" t="s">
        <v>911</v>
      </c>
      <c r="C171" s="339" t="str">
        <f>VLOOKUP(B171,'Electricity Potential'!$J$5:$K$40,2,FALSE)</f>
        <v>NE</v>
      </c>
      <c r="D171" s="416" t="s">
        <v>953</v>
      </c>
      <c r="E171" s="416" t="s">
        <v>951</v>
      </c>
      <c r="F171" s="416">
        <v>2020</v>
      </c>
      <c r="G171" s="416">
        <v>1</v>
      </c>
    </row>
    <row r="172" spans="1:7">
      <c r="A172" s="416" t="s">
        <v>630</v>
      </c>
      <c r="B172" s="416" t="s">
        <v>911</v>
      </c>
      <c r="C172" s="339" t="str">
        <f>VLOOKUP(B172,'Electricity Potential'!$J$5:$K$40,2,FALSE)</f>
        <v>NE</v>
      </c>
      <c r="D172" s="416" t="s">
        <v>959</v>
      </c>
      <c r="E172" s="416" t="s">
        <v>951</v>
      </c>
      <c r="F172" s="416">
        <v>2020</v>
      </c>
      <c r="G172" s="416">
        <v>2</v>
      </c>
    </row>
    <row r="173" spans="1:7">
      <c r="A173" s="416" t="s">
        <v>630</v>
      </c>
      <c r="B173" s="416" t="s">
        <v>911</v>
      </c>
      <c r="C173" s="339" t="str">
        <f>VLOOKUP(B173,'Electricity Potential'!$J$5:$K$40,2,FALSE)</f>
        <v>NE</v>
      </c>
      <c r="D173" s="416" t="s">
        <v>952</v>
      </c>
      <c r="E173" s="416" t="s">
        <v>951</v>
      </c>
      <c r="F173" s="416">
        <v>2020</v>
      </c>
      <c r="G173" s="416">
        <v>9090</v>
      </c>
    </row>
    <row r="174" spans="1:7">
      <c r="A174" s="416" t="s">
        <v>630</v>
      </c>
      <c r="B174" s="416" t="s">
        <v>909</v>
      </c>
      <c r="C174" s="339" t="str">
        <f>VLOOKUP(B174,'Electricity Potential'!$J$5:$K$40,2,FALSE)</f>
        <v>NE</v>
      </c>
      <c r="D174" s="416" t="s">
        <v>906</v>
      </c>
      <c r="E174" s="416" t="s">
        <v>956</v>
      </c>
      <c r="F174" s="416">
        <v>2020</v>
      </c>
      <c r="G174" s="416">
        <v>0</v>
      </c>
    </row>
    <row r="175" spans="1:7">
      <c r="A175" s="416" t="s">
        <v>630</v>
      </c>
      <c r="B175" s="416" t="s">
        <v>909</v>
      </c>
      <c r="C175" s="339" t="str">
        <f>VLOOKUP(B175,'Electricity Potential'!$J$5:$K$40,2,FALSE)</f>
        <v>NE</v>
      </c>
      <c r="D175" s="416" t="s">
        <v>954</v>
      </c>
      <c r="E175" s="416" t="s">
        <v>951</v>
      </c>
      <c r="F175" s="416">
        <v>2020</v>
      </c>
      <c r="G175" s="416">
        <v>46.86</v>
      </c>
    </row>
    <row r="176" spans="1:7">
      <c r="A176" s="416" t="s">
        <v>630</v>
      </c>
      <c r="B176" s="416" t="s">
        <v>909</v>
      </c>
      <c r="C176" s="339" t="str">
        <f>VLOOKUP(B176,'Electricity Potential'!$J$5:$K$40,2,FALSE)</f>
        <v>NE</v>
      </c>
      <c r="D176" s="416" t="s">
        <v>953</v>
      </c>
      <c r="E176" s="416" t="s">
        <v>951</v>
      </c>
      <c r="F176" s="416">
        <v>2020</v>
      </c>
      <c r="G176" s="416">
        <v>2.9</v>
      </c>
    </row>
    <row r="177" spans="1:7">
      <c r="A177" s="416" t="s">
        <v>630</v>
      </c>
      <c r="B177" s="416" t="s">
        <v>909</v>
      </c>
      <c r="C177" s="339" t="str">
        <f>VLOOKUP(B177,'Electricity Potential'!$J$5:$K$40,2,FALSE)</f>
        <v>NE</v>
      </c>
      <c r="D177" s="416" t="s">
        <v>959</v>
      </c>
      <c r="E177" s="416" t="s">
        <v>951</v>
      </c>
      <c r="F177" s="416">
        <v>2020</v>
      </c>
      <c r="G177" s="416">
        <v>1.5</v>
      </c>
    </row>
    <row r="178" spans="1:7">
      <c r="A178" s="416" t="s">
        <v>630</v>
      </c>
      <c r="B178" s="416" t="s">
        <v>909</v>
      </c>
      <c r="C178" s="339" t="str">
        <f>VLOOKUP(B178,'Electricity Potential'!$J$5:$K$40,2,FALSE)</f>
        <v>NE</v>
      </c>
      <c r="D178" s="416" t="s">
        <v>952</v>
      </c>
      <c r="E178" s="416" t="s">
        <v>951</v>
      </c>
      <c r="F178" s="416">
        <v>2020</v>
      </c>
      <c r="G178" s="416">
        <v>2080</v>
      </c>
    </row>
    <row r="179" spans="1:7">
      <c r="A179" s="416" t="s">
        <v>963</v>
      </c>
      <c r="B179" s="416" t="s">
        <v>962</v>
      </c>
      <c r="C179" s="339">
        <f>VLOOKUP(B179,'Electricity Potential'!$J$5:$K$40,2,FALSE)</f>
        <v>0</v>
      </c>
      <c r="D179" s="416" t="s">
        <v>955</v>
      </c>
      <c r="E179" s="416" t="s">
        <v>951</v>
      </c>
      <c r="F179" s="416">
        <v>2020</v>
      </c>
      <c r="G179" s="416">
        <v>1277</v>
      </c>
    </row>
    <row r="180" spans="1:7">
      <c r="A180" s="416" t="s">
        <v>963</v>
      </c>
      <c r="B180" s="416" t="s">
        <v>962</v>
      </c>
      <c r="C180" s="339">
        <f>VLOOKUP(B180,'Electricity Potential'!$J$5:$K$40,2,FALSE)</f>
        <v>0</v>
      </c>
      <c r="D180" s="416" t="s">
        <v>954</v>
      </c>
      <c r="E180" s="416" t="s">
        <v>951</v>
      </c>
      <c r="F180" s="416">
        <v>2020</v>
      </c>
      <c r="G180" s="416">
        <v>7.27</v>
      </c>
    </row>
    <row r="181" spans="1:7">
      <c r="A181" s="416" t="s">
        <v>627</v>
      </c>
      <c r="B181" s="416" t="s">
        <v>961</v>
      </c>
      <c r="C181" s="339">
        <f>VLOOKUP(B181,'Electricity Potential'!$J$5:$K$40,2,FALSE)</f>
        <v>0</v>
      </c>
      <c r="D181" s="416" t="s">
        <v>955</v>
      </c>
      <c r="E181" s="416" t="s">
        <v>951</v>
      </c>
      <c r="F181" s="416">
        <v>2020</v>
      </c>
      <c r="G181" s="416">
        <v>31</v>
      </c>
    </row>
    <row r="182" spans="1:7">
      <c r="A182" s="416" t="s">
        <v>625</v>
      </c>
      <c r="B182" s="416" t="s">
        <v>960</v>
      </c>
      <c r="C182" s="339" t="str">
        <f>VLOOKUP(B182,'Electricity Potential'!$J$5:$K$40,2,FALSE)</f>
        <v>UT</v>
      </c>
      <c r="D182" s="416" t="s">
        <v>959</v>
      </c>
      <c r="E182" s="416" t="s">
        <v>951</v>
      </c>
      <c r="F182" s="416">
        <v>2020</v>
      </c>
      <c r="G182" s="416">
        <v>6</v>
      </c>
    </row>
    <row r="183" spans="1:7">
      <c r="A183" s="416" t="s">
        <v>958</v>
      </c>
      <c r="B183" s="416" t="s">
        <v>957</v>
      </c>
      <c r="C183" s="339">
        <f>VLOOKUP(B183,'Electricity Potential'!$J$5:$K$40,2,FALSE)</f>
        <v>0</v>
      </c>
      <c r="D183" s="416" t="s">
        <v>959</v>
      </c>
      <c r="E183" s="416" t="s">
        <v>951</v>
      </c>
      <c r="F183" s="416">
        <v>2020</v>
      </c>
      <c r="G183" s="416">
        <v>1022</v>
      </c>
    </row>
    <row r="184" spans="1:7">
      <c r="A184" s="416" t="s">
        <v>958</v>
      </c>
      <c r="B184" s="416" t="s">
        <v>957</v>
      </c>
      <c r="C184" s="339">
        <f>VLOOKUP(B184,'Electricity Potential'!$J$5:$K$40,2,FALSE)</f>
        <v>0</v>
      </c>
      <c r="D184" s="416" t="s">
        <v>952</v>
      </c>
      <c r="E184" s="416" t="s">
        <v>951</v>
      </c>
      <c r="F184" s="416">
        <v>2020</v>
      </c>
      <c r="G184" s="416">
        <v>790</v>
      </c>
    </row>
    <row r="185" spans="1:7">
      <c r="A185" s="416" t="s">
        <v>625</v>
      </c>
      <c r="B185" s="416" t="s">
        <v>937</v>
      </c>
      <c r="C185" s="339" t="str">
        <f>VLOOKUP(B185,'Electricity Potential'!$J$5:$K$40,2,FALSE)</f>
        <v>JK</v>
      </c>
      <c r="D185" s="416" t="s">
        <v>906</v>
      </c>
      <c r="E185" s="416" t="s">
        <v>956</v>
      </c>
      <c r="F185" s="416">
        <v>2020</v>
      </c>
      <c r="G185" s="416">
        <v>0</v>
      </c>
    </row>
    <row r="186" spans="1:7">
      <c r="A186" s="416" t="s">
        <v>625</v>
      </c>
      <c r="B186" s="416" t="s">
        <v>937</v>
      </c>
      <c r="C186" s="339" t="str">
        <f>VLOOKUP(B186,'Electricity Potential'!$J$5:$K$40,2,FALSE)</f>
        <v>JK</v>
      </c>
      <c r="D186" s="416" t="s">
        <v>906</v>
      </c>
      <c r="E186" s="416" t="s">
        <v>956</v>
      </c>
      <c r="F186" s="416">
        <v>2020</v>
      </c>
      <c r="G186" s="416">
        <v>0</v>
      </c>
    </row>
    <row r="187" spans="1:7">
      <c r="A187" s="416" t="s">
        <v>625</v>
      </c>
      <c r="B187" s="416" t="s">
        <v>937</v>
      </c>
      <c r="C187" s="339" t="str">
        <f>VLOOKUP(B187,'Electricity Potential'!$J$5:$K$40,2,FALSE)</f>
        <v>JK</v>
      </c>
      <c r="D187" s="416" t="s">
        <v>955</v>
      </c>
      <c r="E187" s="416" t="s">
        <v>951</v>
      </c>
      <c r="F187" s="416">
        <v>2020</v>
      </c>
      <c r="G187" s="416">
        <v>0</v>
      </c>
    </row>
    <row r="188" spans="1:7">
      <c r="A188" s="416" t="s">
        <v>625</v>
      </c>
      <c r="B188" s="416" t="s">
        <v>937</v>
      </c>
      <c r="C188" s="339" t="str">
        <f>VLOOKUP(B188,'Electricity Potential'!$J$5:$K$40,2,FALSE)</f>
        <v>JK</v>
      </c>
      <c r="D188" s="416" t="s">
        <v>954</v>
      </c>
      <c r="E188" s="416" t="s">
        <v>951</v>
      </c>
      <c r="F188" s="416">
        <v>2020</v>
      </c>
      <c r="G188" s="416">
        <v>0</v>
      </c>
    </row>
    <row r="189" spans="1:7">
      <c r="A189" s="416" t="s">
        <v>625</v>
      </c>
      <c r="B189" s="416" t="s">
        <v>937</v>
      </c>
      <c r="C189" s="339" t="str">
        <f>VLOOKUP(B189,'Electricity Potential'!$J$5:$K$40,2,FALSE)</f>
        <v>JK</v>
      </c>
      <c r="D189" s="416" t="s">
        <v>953</v>
      </c>
      <c r="E189" s="416" t="s">
        <v>951</v>
      </c>
      <c r="F189" s="416">
        <v>2020</v>
      </c>
      <c r="G189" s="416">
        <v>0</v>
      </c>
    </row>
    <row r="190" spans="1:7">
      <c r="A190" s="416" t="s">
        <v>625</v>
      </c>
      <c r="B190" s="416" t="s">
        <v>937</v>
      </c>
      <c r="C190" s="339" t="str">
        <f>VLOOKUP(B190,'Electricity Potential'!$J$5:$K$40,2,FALSE)</f>
        <v>JK</v>
      </c>
      <c r="D190" s="416" t="s">
        <v>952</v>
      </c>
      <c r="E190" s="416" t="s">
        <v>951</v>
      </c>
      <c r="F190" s="416">
        <v>2020</v>
      </c>
      <c r="G190" s="416">
        <v>0</v>
      </c>
    </row>
  </sheetData>
  <autoFilter ref="A4:G190"/>
  <pageMargins left="0.7" right="0.7" top="0.75" bottom="0.75" header="0.3" footer="0.3"/>
  <pageSetup paperSize="9" orientation="portrait"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f d 1 1 2 3 6 - 5 1 c 3 - 4 9 1 f - 8 c 6 b - 5 9 9 e 5 0 7 5 b 2 5 3 "   x m l n s = " h t t p : / / s c h e m a s . m i c r o s o f t . c o m / D a t a M a s h u p " > A A A A A P w H A A B Q S w M E F A A C A A g A 5 G p w U 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k a n 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p w U 1 / h m a z 0 B A A A F T w A A B M A H A B G b 3 J t d W x h c y 9 T Z W N 0 a W 9 u M S 5 t I K I Y A C i g F A A A A A A A A A A A A A A A A A A A A A A A A A A A A O 1 a X W + b S h B 9 j + T / g L g v t o R y n b z e 2 y u 5 N L X b 2 i E 1 b q 0 q i i x s t j G q v V g Y U k c W / / 0 u n 4 b d i b 3 L 8 k J F X p I A O z M 7 5 7 A z h 9 0 9 W v m O i x U z + X 3 z T + e q c 7 V f W x 6 y l b v h w j T G g + n D 9 8 X E w b q 1 s 1 a O / 6 q 8 U z b I v 1 L I j + k G 3 g q R C 3 e H F d p c 6 4 H n I e z P X e / X 0 n V / d X v H x 3 t r i 9 6 p B U N b B 6 t P 4 a P u Y p 8 8 + q T F d v 5 S v + G d 8 + L 6 x K n u b o I t 3 q v E 6 s x a b t B 1 e s v w 1 8 h L b 3 Y T x 5 p y V M 1 g O U T u s 2 f t 1 q + 3 a q g p 6 s D 3 P W c Z + E g l / 3 y 3 N g F S e 5 m b K c I k I M B J c i M z D 8 W j H Y 9 l 0 z + Q 5 U U O j 6 k T c q m Q J T U M c 6 8 D 2 4 4 M B X v f 3 Z 5 c k q u J 7 S 4 b F 7 F 1 h 5 H 3 / E r y 9 D J D q z W 5 g q z V W i m k s j g r 1 7 O R B 8 8 r v n W a W C k W 7 c i 6 o T K a T Z S e X e / K w W + 6 p 0 g 0 / 3 T / Q Z 5 B s R W a P p 2 W P 8 L 8 i R L Z H P I 8 j O Z T e f L E V t q 1 R 5 o 7 U R 6 b w x 1 d H 8 7 k u R N b a b k j z Z 0 o j 8 3 h z n g k z x x i o + W N N G / G o + a w R j c G 4 x p W n M h K y x z 5 F Y f k s T n c y b W W d a h J a 1 m H P 5 h B p y z 9 i V q r O D t x r S X L o E R r t f R p p t S q y p 1 E a s l y J 5 F a L X e a K b W q c i e R W r L c S a R W y 5 1 m S q 2 q 3 I m k l i x z I q n V 8 q a J U q v y i h N L L e k V J 5 Z a L X O a K b V k q l X C l 0 6 Z M E m M 9 2 h P s v z Z d X A X K G 0 C M Y Y a 8 B V S a L w K G F C 1 K L Q v D r a v x + i n b x D s v V 6 + F X J 3 2 F n Y h j + A n m B I n o r / T g H P 6 A t 7 J I w q C V v m Q q 9 D 8 s 8 V A y x 7 u e E A t i R F E Q G U t j A o g A 1 + X K D B n N C A f i M w i u 8 C c + F N d C B z g K T k R o f e 6 x O F h t a v w r j Q B v h B Y U Z y I s J 6 r A 4 H Y w u Q a N x Y 0 F t n o l j Q e l A Y C 9 o A P x b M S E 4 s W I / V s W B s M W 0 r N x L l z Q R R H M r 9 s T A K 5 e H 8 G F D j O B G g v V X P P 2 U J a P / 4 S z j 1 W V 6 4 h F O 9 p n g J p w w I l H B 6 J G 8 J Z z x W R 4 K x V c R i i p 4 d F + 9 B L C 7 0 3 + l Q 8 E S H v r b w M z E / e 9 2 h 0 5 x n n o X 3 P 1 1 v m 8 w 4 u p k 3 3 q Q X n r g 2 2 u Q g k C n 7 5 A H F R w c / p P v y m 7 N 3 b 0 t 3 y 5 k p R U a x c j i H Z E g S u + 5 u l w 5 G 3 W P a F G n R A C P 7 I y 3 E W l Y F t G w J 0 p J 3 Q c u A S J 4 e R b R 8 / 8 m Y D E z z 1 N R P C C d J I F 8 D 5 D m o 0 H Q X 3 o Y s W Y x I S c E A 7 u Q 4 g a S l + Z I 9 f I a n T K C E s r k P B Y C R Q i 7 k e q i S G m G m A b 7 q l 3 z z i h Z m u y g L + Y P z 4 t h 5 w G / y f 9 + F Z k e y c 6 T c x D p t o f y t 3 P T 7 / Z T a O N g u k R e + 5 f T m r F c q w M R l S T C c d V l 8 n 2 i 3 1 C t l 1 H K I w 2 g P c d S i 8 4 1 G H e I w a v k q b b R f p R v M n a r f i I z 8 G 9 H l / p L m m W h / S a 9 x w v 0 l b Y C v V E M D O d t L 1 u H l L 0 S n 5 J + N o N R c f l x M Z g + D S s 1 l M h R s L j 8 6 G z / G f u r + L v D O R B u 0 8 q N r + V x j 8 n Y f o 1 Q / K f / + p 9 z 2 b / u 9 U v k q 2 y q R S J 8 t y K w I e d + 7 A b b h F p n t D Y d z L Z t 3 2 K s h Z D W K W e U O O m 8 r 5 Y t u Z q i t u 9 J r Z 5 r K 5 p T e n E S y 1 T c n U V u A G 0 u i q j U 4 D Z i 3 D A M L l 2 g l B m g r X I w B G 9 z 1 G B r L W Z J B t 5 c / + s B V G T J G b 9 z U c E L a b E 9 I 1 3 F K s U E n p M 0 a D n u Y 7 W G P h r K m a i E w R 7 w 1 w J T a a j H l t l p M j q 0 W a B O 2 0 k 4 L 7 U x i E 5 j a a f k f U E s B A i 0 A F A A C A A g A 5 G p w U 9 H d V o y m A A A A + A A A A B I A A A A A A A A A A A A A A A A A A A A A A E N v b m Z p Z y 9 Q Y W N r Y W d l L n h t b F B L A Q I t A B Q A A g A I A O R q c F M P y u m r p A A A A O k A A A A T A A A A A A A A A A A A A A A A A P I A A A B b Q 2 9 u d G V u d F 9 U e X B l c 1 0 u e G 1 s U E s B A i 0 A F A A C A A g A 5 G p w U 1 / h m a z 0 B A A A F T w A A B M A A A A A A A A A A A A A A A A A 4 w E A A E Z v c m 1 1 b G F z L 1 N l Y 3 R p b 2 4 x L m 1 Q S w U G A A A A A A M A A w D C A A A A J 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8 k A A A A A A A A d y 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N n Q U F B Q U F B Q U F B S T l r d l h v N 3 l C V D V E S 3 o 4 Y l p k T G J p Q 2 t W S F g x T l B U R U Z T V U Z Z Q U F B Q U F B Q U F B Q U F B Q U 1 X N E J v K 0 h Z R k V T Z k l U U 2 N k U 0 Z S a 2 d k R l I x O V h T V T V F Q U F B Q k F B Q U F B Q U F B Q U F Q T V E v e n d t N z F B a U R n c U 5 m e D c 4 Y X d I U l V k Z l V F a F h V Z 0 F B Q W d B Q U F B Q U F B Q U R F O V R p M j R n M 3 h T T H J j c F l m S S t K V F l C M F Z I W D B O R F I x U U F B Q U 1 B Q U F B Q U F B Q U F p Z 0 1 p Q m d X R H F V d W c 5 U n V l W m d 6 c 0 t B V k Z S M T l N U 0 F B Q U J B Q U F B Q U F B Q U F C S j R V S n Y x e j N R U X A r N k 8 r W T V 3 d U Z y Q j B W S F g w T l B R V X d B Q U F V Q U F B Q U F B Q U F B M E d Y N V J w c i 8 y a 2 V S Y V Y w a C t Y O X V k Q W R G U j E 5 U F E w Z F V B Q U F H Q U F B Q U F B Q U F B R E J W V j V 6 W E 9 N U k F z R T V Z Z 3 E 5 S W Y y N E R R M U 5 X Q U F B S E F B Q U F B Q U F B Q U 1 i O E F 6 c 2 5 6 S j l C a 0 x J c l U 3 Z 0 E 1 c W d L U l V k Z l F r b F B U V U Z U V X d B Q U N B Q U F B Q U F B Q U F B O V h o Z l h P d j l v U W F p Q 3 o 0 b F J t Z D A r Q l V W S F g x T k l B Q U F K Q U F B Q S I g L z 4 8 L 1 N 0 Y W J s Z U V u d H J p Z X M + P C 9 J d G V t P j x J d G V t P j x J d G V t T G 9 j Y X R p b 2 4 + P E l 0 Z W 1 U e X B l P k Z v c m 1 1 b G E 8 L 0 l 0 Z W 1 U e X B l P j x J d G V t U G F 0 a D 5 T Z W N 0 a W 9 u M S 9 F R 1 9 T T 0 x B U l B W X 0 1 p b k 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A 3 V D A 1 O j A 5 O j A 4 L j c z O T A 4 M D d a I i A v P j x F b n R y e S B U e X B l P S J G a W x s R X J y b 3 J D b 2 R l I i B W Y W x 1 Z T 0 i c 1 V u a 2 5 v d 2 4 i I C 8 + P E V u d H J 5 I F R 5 c G U 9 I k F k Z G V k V G 9 E Y X R h T W 9 k Z W w i I F Z h b H V l P S J s M C I g L z 4 8 R W 5 0 c n k g V H l w Z T 0 i U X V l c n l H c m 9 1 c E l E I i B W Y W x 1 Z T 0 i c 2 Q 3 N G J m N j A 4 L W J j Y T M t N G Y 4 M S 0 5 M G N h L W N m Y z Z k O T c 0 Y j Z l M i I g L z 4 8 L 1 N 0 Y W J s Z U V u d H J p Z X M + P C 9 J d G V t P j x J d G V t P j x J d G V t T G 9 j Y X R p b 2 4 + P E l 0 Z W 1 U e X B l P k Z v c m 1 1 b G E 8 L 0 l 0 Z W 1 U e X B l P j x J d G V t U G F 0 a D 5 T Z W N 0 a W 9 u M S 9 F R 1 9 T T 0 x B U l B W X 0 1 p b k N h c G F j a X R 5 L 1 N v d X J j Z T w v S X R l b V B h d G g + P C 9 J d G V t T G 9 j Y X R p b 2 4 + P F N 0 Y W J s Z U V u d H J p Z X M g L z 4 8 L 0 l 0 Z W 0 + P E l 0 Z W 0 + P E l 0 Z W 1 M b 2 N h d G l v b j 4 8 S X R l b V R 5 c G U + R m 9 y b X V s Y T w v S X R l b V R 5 c G U + P E l 0 Z W 1 Q Y X R o P l N l Y 3 R p b 2 4 x L 0 V H X 1 N P T E F S U F Z f T W l u Q 2 F w Y W N p d H k v V W 5 w a X Z v d G V k J T I w Q 2 9 s d W 1 u c z w v S X R l b V B h d G g + P C 9 J d G V t T G 9 j Y X R p b 2 4 + P F N 0 Y W J s Z U V u d H J p Z X M g L z 4 8 L 0 l 0 Z W 0 + P E l 0 Z W 0 + P E l 0 Z W 1 M b 2 N h d G l v b j 4 8 S X R l b V R 5 c G U + R m 9 y b X V s Y T w v S X R l b V R 5 c G U + P E l 0 Z W 1 Q Y X R o P l N l Y 3 R p b 2 4 x L 0 V H X 1 N P T E F S U F Z f T W l u Q 2 F w Y W N p d H k v U m V u Y W 1 l Z C U y M E N v b H V t b n M 8 L 0 l 0 Z W 1 Q Y X R o P j w v S X R l b U x v Y 2 F 0 a W 9 u P j x T d G F i b G V F b n R y a W V z I C 8 + P C 9 J d G V t P j x J d G V t P j x J d G V t T G 9 j Y X R p b 2 4 + P E l 0 Z W 1 U e X B l P k Z v c m 1 1 b G E 8 L 0 l 0 Z W 1 U e X B l P j x J d G V t U G F 0 a D 5 T Z W N 0 a W 9 u M S 9 F R 1 9 T T 0 x B U l B W X 0 1 p b k N h c G F j a X R 5 L 0 F k Z G V k J T I w Q 3 V z d G 9 t P C 9 J d G V t U G F 0 a D 4 8 L 0 l 0 Z W 1 M b 2 N h d G l v b j 4 8 U 3 R h Y m x l R W 5 0 c m l l c y A v P j w v S X R l b T 4 8 S X R l b T 4 8 S X R l b U x v Y 2 F 0 a W 9 u P j x J d G V t V H l w Z T 5 G b 3 J t d W x h P C 9 J d G V t V H l w Z T 4 8 S X R l b V B h d G g + U 2 V j d G l v b j E v R U d f U 0 9 M Q V J Q V l 9 N a W 5 D Y X B h Y 2 l 0 e S 9 S Z W 9 y Z G V y Z W Q l M j B D b 2 x 1 b W 5 z P C 9 J d G V t U G F 0 a D 4 8 L 0 l 0 Z W 1 M b 2 N h d G l v b j 4 8 U 3 R h Y m x l R W 5 0 c m l l c y A v P j w v S X R l b T 4 8 S X R l b T 4 8 S X R l b U x v Y 2 F 0 a W 9 u P j x J d G V t V H l w Z T 5 G b 3 J t d W x h P C 9 J d G V t V H l w Z T 4 8 S X R l b V B h d G g + U 2 V j d G l v b j E v R U d f V 0 l O R 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D g 6 N D g u O T I 5 O D Q 1 M l o i I C 8 + P E V u d H J 5 I F R 5 c G U 9 I k Z p b G x T d G F 0 d X M i I F Z h b H V l P S J z Q 2 9 t c G x l d G U i I C 8 + P E V u d H J 5 I F R 5 c G U 9 I l F 1 Z X J 5 R 3 J v d X B J R C I g V m F s d W U 9 I n N h M z A x N m U z M S 1 k O G U x L T Q 0 M T Q t O W Y y M S 0 z N D l j N z U y M T U x O T I i I C 8 + P C 9 T d G F i b G V F b n R y a W V z P j w v S X R l b T 4 8 S X R l b T 4 8 S X R l b U x v Y 2 F 0 a W 9 u P j x J d G V t V H l w Z T 5 G b 3 J t d W x h P C 9 J d G V t V H l w Z T 4 8 S X R l b V B h d G g + U 2 V j d G l v b j E v R U d f V 0 l O R F 9 N a W 5 D Y X B h Y 2 l 0 e S 9 T b 3 V y Y 2 U 8 L 0 l 0 Z W 1 Q Y X R o P j w v S X R l b U x v Y 2 F 0 a W 9 u P j x T d G F i b G V F b n R y a W V z I C 8 + P C 9 J d G V t P j x J d G V t P j x J d G V t T G 9 j Y X R p b 2 4 + P E l 0 Z W 1 U e X B l P k Z v c m 1 1 b G E 8 L 0 l 0 Z W 1 U e X B l P j x J d G V t U G F 0 a D 5 T Z W N 0 a W 9 u M S 9 F R 1 9 X S U 5 E X 0 1 p b k N h c G F j a X R 5 L 1 V u c G l 2 b 3 R l Z C U y M E N v b H V t b n M 8 L 0 l 0 Z W 1 Q Y X R o P j w v S X R l b U x v Y 2 F 0 a W 9 u P j x T d G F i b G V F b n R y a W V z I C 8 + P C 9 J d G V t P j x J d G V t P j x J d G V t T G 9 j Y X R p b 2 4 + P E l 0 Z W 1 U e X B l P k Z v c m 1 1 b G E 8 L 0 l 0 Z W 1 U e X B l P j x J d G V t U G F 0 a D 5 T Z W N 0 a W 9 u M S 9 F R 1 9 X S U 5 E X 0 1 p b k N h c G F j a X R 5 L 1 J l b m F t Z W Q l M j B D b 2 x 1 b W 5 z P C 9 J d G V t U G F 0 a D 4 8 L 0 l 0 Z W 1 M b 2 N h d G l v b j 4 8 U 3 R h Y m x l R W 5 0 c m l l c y A v P j w v S X R l b T 4 8 S X R l b T 4 8 S X R l b U x v Y 2 F 0 a W 9 u P j x J d G V t V H l w Z T 5 G b 3 J t d W x h P C 9 J d G V t V H l w Z T 4 8 S X R l b V B h d G g + U 2 V j d G l v b j E v R U d f V 0 l O R F 9 N a W 5 D Y X B h Y 2 l 0 e S 9 B Z G R l Z C U y M E N 1 c 3 R v b T w v S X R l b V B h d G g + P C 9 J d G V t T G 9 j Y X R p b 2 4 + P F N 0 Y W J s Z U V u d H J p Z X M g L z 4 8 L 0 l 0 Z W 0 + P E l 0 Z W 0 + P E l 0 Z W 1 M b 2 N h d G l v b j 4 8 S X R l b V R 5 c G U + R m 9 y b X V s Y T w v S X R l b V R 5 c G U + P E l 0 Z W 1 Q Y X R o P l N l Y 3 R p b 2 4 x L 0 V H X 1 d J T k R f T W l u Q 2 F w Y W N p d H k v U m V v c m R l c m V k J T I w Q 2 9 s d W 1 u c z w v S X R l b V B h d G g + P C 9 J d G V t T G 9 j Y X R p b 2 4 + P F N 0 Y W J s Z U V u d H J p Z X M g L z 4 8 L 0 l 0 Z W 0 + P E l 0 Z W 0 + P E l 0 Z W 1 M b 2 N h d G l v b j 4 8 S X R l b V R 5 c G U + R m 9 y b X V s Y T w v S X R l b V R 5 c G U + P E l 0 Z W 1 Q Y X R o P l N l Y 3 R p b 2 4 x L 0 V H X 1 B I V 1 J 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1 L T A 3 V D A 1 O j A 5 O j Q x L j Q y N T c x N z l a I i A v P j x F b n R y e S B U e X B l P S J G a W x s U 3 R h d H V z I i B W Y W x 1 Z T 0 i c 0 N v b X B s Z X R l I i A v P j x F b n R y e S B U e X B l P S J R d W V y e U d y b 3 V w S U Q i I F Z h b H V l P S J z Z m M 0 M 2 N j M D M t O W J m M C 0 0 M G J k L T g 4 M z g t M m E z N W Z j N 2 J m M W F j I i A v P j w v U 3 R h Y m x l R W 5 0 c m l l c z 4 8 L 0 l 0 Z W 0 + P E l 0 Z W 0 + P E l 0 Z W 1 M b 2 N h d G l v b j 4 8 S X R l b V R 5 c G U + R m 9 y b X V s Y T w v S X R l b V R 5 c G U + P E l 0 Z W 1 Q Y X R o P l N l Y 3 R p b 2 4 x L 0 V H X 1 B I V 1 J f T W l u Q 2 F w Y W N p d H k v U 2 9 1 c m N l P C 9 J d G V t U G F 0 a D 4 8 L 0 l 0 Z W 1 M b 2 N h d G l v b j 4 8 U 3 R h Y m x l R W 5 0 c m l l c y A v P j w v S X R l b T 4 8 S X R l b T 4 8 S X R l b U x v Y 2 F 0 a W 9 u P j x J d G V t V H l w Z T 5 G b 3 J t d W x h P C 9 J d G V t V H l w Z T 4 8 S X R l b V B h d G g + U 2 V j d G l v b j E v R U d f U E h X U l 9 N a W 5 D Y X B h Y 2 l 0 e S 9 V b n B p d m 9 0 Z W Q l M j B D b 2 x 1 b W 5 z P C 9 J d G V t U G F 0 a D 4 8 L 0 l 0 Z W 1 M b 2 N h d G l v b j 4 8 U 3 R h Y m x l R W 5 0 c m l l c y A v P j w v S X R l b T 4 8 S X R l b T 4 8 S X R l b U x v Y 2 F 0 a W 9 u P j x J d G V t V H l w Z T 5 G b 3 J t d W x h P C 9 J d G V t V H l w Z T 4 8 S X R l b V B h d G g + U 2 V j d G l v b j E v R U d f U E h X U l 9 N a W 5 D Y X B h Y 2 l 0 e S 9 S Z W 5 h b W V k J T I w Q 2 9 s d W 1 u c z w v S X R l b V B h d G g + P C 9 J d G V t T G 9 j Y X R p b 2 4 + P F N 0 Y W J s Z U V u d H J p Z X M g L z 4 8 L 0 l 0 Z W 0 + P E l 0 Z W 0 + P E l 0 Z W 1 M b 2 N h d G l v b j 4 8 S X R l b V R 5 c G U + R m 9 y b X V s Y T w v S X R l b V R 5 c G U + P E l 0 Z W 1 Q Y X R o P l N l Y 3 R p b 2 4 x L 0 V H X 1 B I V 1 J f T W l u Q 2 F w Y W N p d H k v Q W R k Z W Q l M j B D d X N 0 b 2 0 8 L 0 l 0 Z W 1 Q Y X R o P j w v S X R l b U x v Y 2 F 0 a W 9 u P j x T d G F i b G V F b n R y a W V z I C 8 + P C 9 J d G V t P j x J d G V t P j x J d G V t T G 9 j Y X R p b 2 4 + P E l 0 Z W 1 U e X B l P k Z v c m 1 1 b G E 8 L 0 l 0 Z W 1 U e X B l P j x J d G V t U G F 0 a D 5 T Z W N 0 a W 9 u M S 9 F R 1 9 Q S F d S X 0 1 p b k N h c G F j a X R 5 L 1 J l b 3 J k Z X J l Z C U y M E N v b H V t b n M 8 L 0 l 0 Z W 1 Q Y X R o P j w v S X R l b U x v Y 2 F 0 a W 9 u P j x T d G F i b G V F b n R y a W V z I C 8 + P C 9 J d G V t P j x J d G V t P j x J d G V t T G 9 j Y X R p b 2 4 + P E l 0 Z W 1 U e X B l P k Z v c m 1 1 b G E 8 L 0 l 0 Z W 1 U e X B l P j x J d G V t U G F 0 a D 5 T Z W N 0 a W 9 u M S 9 F R 1 9 D Q 0 d U X 0 1 p b k 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A 3 V D A 1 O j E 4 O j Q 2 L j A 3 N D Y 2 M j d a I i A v P j x F b n R y e S B U e X B l P S J G a W x s R X J y b 3 J D b 2 R l I i B W Y W x 1 Z T 0 i c 1 V u a 2 5 v d 2 4 i I C 8 + P E V u d H J 5 I F R 5 c G U 9 I k F k Z G V k V G 9 E Y X R h T W 9 k Z W w i I F Z h b H V l P S J s M C I g L z 4 8 R W 5 0 c n k g V H l w Z T 0 i U X V l c n l H c m 9 1 c E l E I i B W Y W x 1 Z T 0 i c 2 I 2 M z h m N W M 0 L T B k Z T I t N D h m M S 1 i Y W R j L W E 1 O D d j O G Y 4 O T R k O C I g L z 4 8 L 1 N 0 Y W J s Z U V u d H J p Z X M + P C 9 J d G V t P j x J d G V t P j x J d G V t T G 9 j Y X R p b 2 4 + P E l 0 Z W 1 U e X B l P k Z v c m 1 1 b G E 8 L 0 l 0 Z W 1 U e X B l P j x J d G V t U G F 0 a D 5 T Z W N 0 a W 9 u M S 9 F R 1 9 D Q 0 d U X 0 1 p b k N h c G F j a X R 5 L 1 N v d X J j Z T w v S X R l b V B h d G g + P C 9 J d G V t T G 9 j Y X R p b 2 4 + P F N 0 Y W J s Z U V u d H J p Z X M g L z 4 8 L 0 l 0 Z W 0 + P E l 0 Z W 0 + P E l 0 Z W 1 M b 2 N h d G l v b j 4 8 S X R l b V R 5 c G U + R m 9 y b X V s Y T w v S X R l b V R 5 c G U + P E l 0 Z W 1 Q Y X R o P l N l Y 3 R p b 2 4 x L 0 V H X 0 N D R 1 R f T W l u Q 2 F w Y W N p d H k v V W 5 w a X Z v d G V k J T I w Q 2 9 s d W 1 u c z w v S X R l b V B h d G g + P C 9 J d G V t T G 9 j Y X R p b 2 4 + P F N 0 Y W J s Z U V u d H J p Z X M g L z 4 8 L 0 l 0 Z W 0 + P E l 0 Z W 0 + P E l 0 Z W 1 M b 2 N h d G l v b j 4 8 S X R l b V R 5 c G U + R m 9 y b X V s Y T w v S X R l b V R 5 c G U + P E l 0 Z W 1 Q Y X R o P l N l Y 3 R p b 2 4 x L 0 V H X 0 N D R 1 R f T W l u Q 2 F w Y W N p d H k v U m V u Y W 1 l Z C U y M E N v b H V t b n M 8 L 0 l 0 Z W 1 Q Y X R o P j w v S X R l b U x v Y 2 F 0 a W 9 u P j x T d G F i b G V F b n R y a W V z I C 8 + P C 9 J d G V t P j x J d G V t P j x J d G V t T G 9 j Y X R p b 2 4 + P E l 0 Z W 1 U e X B l P k Z v c m 1 1 b G E 8 L 0 l 0 Z W 1 U e X B l P j x J d G V t U G F 0 a D 5 T Z W N 0 a W 9 u M S 9 F R 1 9 D Q 0 d U X 0 1 p b k N h c G F j a X R 5 L 0 F k Z G V k J T I w Q 3 V z d G 9 t P C 9 J d G V t U G F 0 a D 4 8 L 0 l 0 Z W 1 M b 2 N h d G l v b j 4 8 U 3 R h Y m x l R W 5 0 c m l l c y A v P j w v S X R l b T 4 8 S X R l b T 4 8 S X R l b U x v Y 2 F 0 a W 9 u P j x J d G V t V H l w Z T 5 G b 3 J t d W x h P C 9 J d G V t V H l w Z T 4 8 S X R l b V B h d G g + U 2 V j d G l v b j E v R U d f Q 0 N H V F 9 N a W 5 D Y X B h Y 2 l 0 e S 9 S Z W 9 y Z G V y Z W Q l M j B D b 2 x 1 b W 5 z P C 9 J d G V t U G F 0 a D 4 8 L 0 l 0 Z W 1 M b 2 N h d G l v b j 4 8 U 3 R h Y m x l R W 5 0 c m l l c y A v P j w v S X R l b T 4 8 S X R l b T 4 8 S X R l b U x v Y 2 F 0 a W 9 u P j x J d G V t V H l w Z T 5 G b 3 J t d W x h P C 9 J d G V t V H l w Z T 4 8 S X R l b V B h d G g + U 2 V j d G l v b j E v R U d f T E h 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F N 0 Y X R 1 c y I g V m F s d W U 9 I n N D b 2 1 w b G V 0 Z S I g L z 4 8 R W 5 0 c n k g V H l w Z T 0 i Q n V m Z m V y T m V 4 d F J l Z n J l c 2 g i I F Z h b H V l P S J s M S I g L z 4 8 R W 5 0 c n k g V H l w Z T 0 i R m l s b E x h c 3 R V c G R h d G V k I i B W Y W x 1 Z T 0 i Z D I w M j E t M D U t M D d U M D U 6 M D Y 6 M T g u N D c 0 M T k x M V o i I C 8 + P E V u d H J 5 I F R 5 c G U 9 I k Z p b G x F c n J v c k N v Z G U i I F Z h b H V l P S J z V W 5 r b m 9 3 b i I g L z 4 8 R W 5 0 c n k g V H l w Z T 0 i Q W R k Z W R U b 0 R h d G F N b 2 R l b C I g V m F s d W U 9 I m w w I i A v P j x F b n R y e S B U e X B l P S J R d W V y e U d y b 3 V w S U Q i I F Z h b H V l P S J z M D Y y M j A z O G E t O D M w N S 0 0 Y m E 5 L W E w Z j U t M W I 5 Z T Y 2 M G N l Y z I 4 I i A v P j w v U 3 R h Y m x l R W 5 0 c m l l c z 4 8 L 0 l 0 Z W 0 + P E l 0 Z W 0 + P E l 0 Z W 1 M b 2 N h d G l v b j 4 8 S X R l b V R 5 c G U + R m 9 y b X V s Y T w v S X R l b V R 5 c G U + P E l 0 Z W 1 Q Y X R o P l N l Y 3 R p b 2 4 x L 0 V H X 0 x I X 0 1 p b k N h c G F j a X R 5 L 1 N v d X J j Z T w v S X R l b V B h d G g + P C 9 J d G V t T G 9 j Y X R p b 2 4 + P F N 0 Y W J s Z U V u d H J p Z X M g L z 4 8 L 0 l 0 Z W 0 + P E l 0 Z W 0 + P E l 0 Z W 1 M b 2 N h d G l v b j 4 8 S X R l b V R 5 c G U + R m 9 y b X V s Y T w v S X R l b V R 5 c G U + P E l 0 Z W 1 Q Y X R o P l N l Y 3 R p b 2 4 x L 0 V H X 0 x I X 0 1 p b k N h c G F j a X R 5 L 1 V u c G l 2 b 3 R l Z C U y M E N v b H V t b n M 8 L 0 l 0 Z W 1 Q Y X R o P j w v S X R l b U x v Y 2 F 0 a W 9 u P j x T d G F i b G V F b n R y a W V z I C 8 + P C 9 J d G V t P j x J d G V t P j x J d G V t T G 9 j Y X R p b 2 4 + P E l 0 Z W 1 U e X B l P k Z v c m 1 1 b G E 8 L 0 l 0 Z W 1 U e X B l P j x J d G V t U G F 0 a D 5 T Z W N 0 a W 9 u M S 9 F R 1 9 M S F 9 N a W 5 D Y X B h Y 2 l 0 e S 9 S Z W 5 h b W V k J T I w Q 2 9 s d W 1 u c z w v S X R l b V B h d G g + P C 9 J d G V t T G 9 j Y X R p b 2 4 + P F N 0 Y W J s Z U V u d H J p Z X M g L z 4 8 L 0 l 0 Z W 0 + P E l 0 Z W 0 + P E l 0 Z W 1 M b 2 N h d G l v b j 4 8 S X R l b V R 5 c G U + R m 9 y b X V s Y T w v S X R l b V R 5 c G U + P E l 0 Z W 1 Q Y X R o P l N l Y 3 R p b 2 4 x L 0 V H X 0 x I X 0 1 p b k N h c G F j a X R 5 L 0 F k Z G V k J T I w Q 3 V z d G 9 t P C 9 J d G V t U G F 0 a D 4 8 L 0 l 0 Z W 1 M b 2 N h d G l v b j 4 8 U 3 R h Y m x l R W 5 0 c m l l c y A v P j w v S X R l b T 4 8 S X R l b T 4 8 S X R l b U x v Y 2 F 0 a W 9 u P j x J d G V t V H l w Z T 5 G b 3 J t d W x h P C 9 J d G V t V H l w Z T 4 8 S X R l b V B h d G g + U 2 V j d G l v b j E v R U d f T E h f T W l u Q 2 F w Y W N p d H k v U m V v c m R l c m V k J T I w Q 2 9 s d W 1 u c z w v S X R l b V B h d G g + P C 9 J d G V t T G 9 j Y X R p b 2 4 + P F N 0 Y W J s Z U V u d H J p Z X M g L z 4 8 L 0 l 0 Z W 0 + P E l 0 Z W 0 + P E l 0 Z W 1 M b 2 N h d G l v b j 4 8 S X R l b V R 5 c G U + R m 9 y b X V s Y T w v S X R l b V R 5 c G U + P E l 0 Z W 1 Q Y X R o P l N l Y 3 R p b 2 4 x L 0 V H X 0 N P Q U x 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F N 0 Y X R 1 c y I g V m F s d W U 9 I n N D b 2 1 w b G V 0 Z S I g L z 4 8 R W 5 0 c n k g V H l w Z T 0 i T m F t Z V V w Z G F 0 Z W R B Z n R l c k Z p b G w i I F Z h b H V l P S J s M S I g L z 4 8 R W 5 0 c n k g V H l w Z T 0 i R m l s b E x h c 3 R V c G R h d G V k I i B W Y W x 1 Z T 0 i Z D I w M j E t M D U t M D d U M D U 6 M T A 6 M z M u N D U x M z Y 2 N F o i I C 8 + P E V u d H J 5 I F R 5 c G U 9 I k Z p b G x F c n J v c k N v Z G U i I F Z h b H V l P S J z V W 5 r b m 9 3 b i I g L z 4 8 R W 5 0 c n k g V H l w Z T 0 i Q W R k Z W R U b 0 R h d G F N b 2 R l b C I g V m F s d W U 9 I m w w I i A v P j x F b n R y e S B U e X B l P S J M b 2 F k Z W R U b 0 F u Y W x 5 c 2 l z U 2 V y d m l j Z X M i I F Z h b H V l P S J s M C I g L z 4 8 R W 5 0 c n k g V H l w Z T 0 i U X V l c n l H c m 9 1 c E l E I i B W Y W x 1 Z T 0 i c z Z m N D J l M T Q 5 L T N k Z D c t N D J k M C 0 5 Z m J h L T N i Z T Y z O W M y Z T E 2 Y i I g L z 4 8 L 1 N 0 Y W J s Z U V u d H J p Z X M + P C 9 J d G V t P j x J d G V t P j x J d G V t T G 9 j Y X R p b 2 4 + P E l 0 Z W 1 U e X B l P k Z v c m 1 1 b G E 8 L 0 l 0 Z W 1 U e X B l P j x J d G V t U G F 0 a D 5 T Z W N 0 a W 9 u M S 9 F R 1 9 D T 0 F M X 0 1 p b k N h c G F j a X R 5 L 1 N v d X J j Z T w v S X R l b V B h d G g + P C 9 J d G V t T G 9 j Y X R p b 2 4 + P F N 0 Y W J s Z U V u d H J p Z X M g L z 4 8 L 0 l 0 Z W 0 + P E l 0 Z W 0 + P E l 0 Z W 1 M b 2 N h d G l v b j 4 8 S X R l b V R 5 c G U + R m 9 y b X V s Y T w v S X R l b V R 5 c G U + P E l 0 Z W 1 Q Y X R o P l N l Y 3 R p b 2 4 x L 0 V H X 0 N P Q U x f T W l u Q 2 F w Y W N p d H k v V W 5 w a X Z v d G V k J T I w Q 2 9 s d W 1 u c z w v S X R l b V B h d G g + P C 9 J d G V t T G 9 j Y X R p b 2 4 + P F N 0 Y W J s Z U V u d H J p Z X M g L z 4 8 L 0 l 0 Z W 0 + P E l 0 Z W 0 + P E l 0 Z W 1 M b 2 N h d G l v b j 4 8 S X R l b V R 5 c G U + R m 9 y b X V s Y T w v S X R l b V R 5 c G U + P E l 0 Z W 1 Q Y X R o P l N l Y 3 R p b 2 4 x L 0 V H X 0 N P Q U x f T W l u Q 2 F w Y W N p d H k v U m V u Y W 1 l Z C U y M E N v b H V t b n M 8 L 0 l 0 Z W 1 Q Y X R o P j w v S X R l b U x v Y 2 F 0 a W 9 u P j x T d G F i b G V F b n R y a W V z I C 8 + P C 9 J d G V t P j x J d G V t P j x J d G V t T G 9 j Y X R p b 2 4 + P E l 0 Z W 1 U e X B l P k Z v c m 1 1 b G E 8 L 0 l 0 Z W 1 U e X B l P j x J d G V t U G F 0 a D 5 T Z W N 0 a W 9 u M S 9 F R 1 9 D T 0 F M X 0 1 p b k N h c G F j a X R 5 L 0 F k Z G V k J T I w Q 3 V z d G 9 t P C 9 J d G V t U G F 0 a D 4 8 L 0 l 0 Z W 1 M b 2 N h d G l v b j 4 8 U 3 R h Y m x l R W 5 0 c m l l c y A v P j w v S X R l b T 4 8 S X R l b T 4 8 S X R l b U x v Y 2 F 0 a W 9 u P j x J d G V t V H l w Z T 5 G b 3 J t d W x h P C 9 J d G V t V H l w Z T 4 8 S X R l b V B h d G g + U 2 V j d G l v b j E v R U d f Q 0 9 B T F 9 N a W 5 D Y X B h Y 2 l 0 e S 9 S Z W 9 y Z G V y Z W Q l M j B D b 2 x 1 b W 5 z P C 9 J d G V t U G F 0 a D 4 8 L 0 l 0 Z W 1 M b 2 N h d G l v b j 4 8 U 3 R h Y m x l R W 5 0 c m l l c y A v P j w v S X R l b T 4 8 S X R l b T 4 8 S X R l b U x v Y 2 F 0 a W 9 u P j x J d G V t V H l w Z T 5 G b 3 J t d W x h P C 9 J d G V t V H l w Z T 4 8 S X R l b V B h d G g + U 2 V j d G l v b j E v R U d f U 0 9 M Q V J Q V l 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w N 1 Q w N T o x M j o x M C 4 5 M z M 5 O D c z W i I g L z 4 8 R W 5 0 c n k g V H l w Z T 0 i R m l s b E V y c m 9 y Q 2 9 k Z S I g V m F s d W U 9 I n N V b m t u b 3 d u I i A v P j x F b n R y e S B U e X B l P S J B Z G R l Z F R v R G F 0 Y U 1 v Z G V s I i B W Y W x 1 Z T 0 i b D A i I C 8 + P E V u d H J 5 I F R 5 c G U 9 I k x v Y W R l Z F R v Q W 5 h b H l z a X N T Z X J 2 a W N l c y I g V m F s d W U 9 I m w w I i A v P j x F b n R y e S B U e X B l P S J R d W V y e U d y b 3 V w S U Q i I F Z h b H V l P S J z Z D c 0 Y m Y 2 M D g t Y m N h M y 0 0 Z j g x L T k w Y 2 E t Y 2 Z j N m Q 5 N z R i N m U y I i A v P j w v U 3 R h Y m x l R W 5 0 c m l l c z 4 8 L 0 l 0 Z W 0 + P E l 0 Z W 0 + P E l 0 Z W 1 M b 2 N h d G l v b j 4 8 S X R l b V R 5 c G U + R m 9 y b X V s Y T w v S X R l b V R 5 c G U + P E l 0 Z W 1 Q Y X R o P l N l Y 3 R p b 2 4 x L 0 V H X 1 N P T E F S U F Z f T W F 4 Q 2 F w Y W N p d H k v U 2 9 1 c m N l P C 9 J d G V t U G F 0 a D 4 8 L 0 l 0 Z W 1 M b 2 N h d G l v b j 4 8 U 3 R h Y m x l R W 5 0 c m l l c y A v P j w v S X R l b T 4 8 S X R l b T 4 8 S X R l b U x v Y 2 F 0 a W 9 u P j x J d G V t V H l w Z T 5 G b 3 J t d W x h P C 9 J d G V t V H l w Z T 4 8 S X R l b V B h d G g + U 2 V j d G l v b j E v R U d f U 0 9 M Q V J Q V l 9 N Y X h D Y X B h Y 2 l 0 e S 9 V b n B p d m 9 0 Z W Q l M j B D b 2 x 1 b W 5 z P C 9 J d G V t U G F 0 a D 4 8 L 0 l 0 Z W 1 M b 2 N h d G l v b j 4 8 U 3 R h Y m x l R W 5 0 c m l l c y A v P j w v S X R l b T 4 8 S X R l b T 4 8 S X R l b U x v Y 2 F 0 a W 9 u P j x J d G V t V H l w Z T 5 G b 3 J t d W x h P C 9 J d G V t V H l w Z T 4 8 S X R l b V B h d G g + U 2 V j d G l v b j E v R U d f U 0 9 M Q V J Q V l 9 N Y X h D Y X B h Y 2 l 0 e S 9 S Z W 5 h b W V k J T I w Q 2 9 s d W 1 u c z w v S X R l b V B h d G g + P C 9 J d G V t T G 9 j Y X R p b 2 4 + P F N 0 Y W J s Z U V u d H J p Z X M g L z 4 8 L 0 l 0 Z W 0 + P E l 0 Z W 0 + P E l 0 Z W 1 M b 2 N h d G l v b j 4 8 S X R l b V R 5 c G U + R m 9 y b X V s Y T w v S X R l b V R 5 c G U + P E l 0 Z W 1 Q Y X R o P l N l Y 3 R p b 2 4 x L 0 V H X 1 N P T E F S U F Z f T W F 4 Q 2 F w Y W N p d H k v Q W R k Z W Q l M j B D d X N 0 b 2 0 8 L 0 l 0 Z W 1 Q Y X R o P j w v S X R l b U x v Y 2 F 0 a W 9 u P j x T d G F i b G V F b n R y a W V z I C 8 + P C 9 J d G V t P j x J d G V t P j x J d G V t T G 9 j Y X R p b 2 4 + P E l 0 Z W 1 U e X B l P k Z v c m 1 1 b G E 8 L 0 l 0 Z W 1 U e X B l P j x J d G V t U G F 0 a D 5 T Z W N 0 a W 9 u M S 9 F R 1 9 T T 0 x B U l B W X 0 1 h e E N h c G F j a X R 5 L 1 J l b 3 J k Z X J l Z C U y M E N v b H V t b n M 8 L 0 l 0 Z W 1 Q Y X R o P j w v S X R l b U x v Y 2 F 0 a W 9 u P j x T d G F i b G V F b n R y a W V z I C 8 + P C 9 J d G V t P j x J d G V t P j x J d G V t T G 9 j Y X R p b 2 4 + P E l 0 Z W 1 U e X B l P k Z v c m 1 1 b G E 8 L 0 l 0 Z W 1 U e X B l P j x J d G V t U G F 0 a D 5 T Z W N 0 a W 9 u M S 9 F R 1 9 X S U 5 E 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w N 1 Q w N T o x N z o w M y 4 0 M j A 2 N T E x W i I g L z 4 8 R W 5 0 c n k g V H l w Z T 0 i R m l s b F N 0 Y X R 1 c y I g V m F s d W U 9 I n N D b 2 1 w b G V 0 Z S I g L z 4 8 R W 5 0 c n k g V H l w Z T 0 i U X V l c n l H c m 9 1 c E l E I i B W Y W x 1 Z T 0 i c 2 E z M D E 2 Z T M x L W Q 4 Z T E t N D Q x N C 0 5 Z j I x L T M 0 O W M 3 N T I x N T E 5 M i I g L z 4 8 R W 5 0 c n k g V H l w Z T 0 i T G 9 h Z G V k V G 9 B b m F s e X N p c 1 N l c n Z p Y 2 V z I i B W Y W x 1 Z T 0 i b D A i I C 8 + P C 9 T d G F i b G V F b n R y a W V z P j w v S X R l b T 4 8 S X R l b T 4 8 S X R l b U x v Y 2 F 0 a W 9 u P j x J d G V t V H l w Z T 5 G b 3 J t d W x h P C 9 J d G V t V H l w Z T 4 8 S X R l b V B h d G g + U 2 V j d G l v b j E v R U d f V 0 l O R F 9 N Y X h D Y X B h Y 2 l 0 e S 9 T b 3 V y Y 2 U 8 L 0 l 0 Z W 1 Q Y X R o P j w v S X R l b U x v Y 2 F 0 a W 9 u P j x T d G F i b G V F b n R y a W V z I C 8 + P C 9 J d G V t P j x J d G V t P j x J d G V t T G 9 j Y X R p b 2 4 + P E l 0 Z W 1 U e X B l P k Z v c m 1 1 b G E 8 L 0 l 0 Z W 1 U e X B l P j x J d G V t U G F 0 a D 5 T Z W N 0 a W 9 u M S 9 F R 1 9 X S U 5 E X 0 1 h e E N h c G F j a X R 5 L 1 V u c G l 2 b 3 R l Z C U y M E N v b H V t b n M 8 L 0 l 0 Z W 1 Q Y X R o P j w v S X R l b U x v Y 2 F 0 a W 9 u P j x T d G F i b G V F b n R y a W V z I C 8 + P C 9 J d G V t P j x J d G V t P j x J d G V t T G 9 j Y X R p b 2 4 + P E l 0 Z W 1 U e X B l P k Z v c m 1 1 b G E 8 L 0 l 0 Z W 1 U e X B l P j x J d G V t U G F 0 a D 5 T Z W N 0 a W 9 u M S 9 F R 1 9 X S U 5 E X 0 1 h e E N h c G F j a X R 5 L 1 J l b m F t Z W Q l M j B D b 2 x 1 b W 5 z P C 9 J d G V t U G F 0 a D 4 8 L 0 l 0 Z W 1 M b 2 N h d G l v b j 4 8 U 3 R h Y m x l R W 5 0 c m l l c y A v P j w v S X R l b T 4 8 S X R l b T 4 8 S X R l b U x v Y 2 F 0 a W 9 u P j x J d G V t V H l w Z T 5 G b 3 J t d W x h P C 9 J d G V t V H l w Z T 4 8 S X R l b V B h d G g + U 2 V j d G l v b j E v R U d f V 0 l O R F 9 N Y X h D Y X B h Y 2 l 0 e S 9 B Z G R l Z C U y M E N 1 c 3 R v b T w v S X R l b V B h d G g + P C 9 J d G V t T G 9 j Y X R p b 2 4 + P F N 0 Y W J s Z U V u d H J p Z X M g L z 4 8 L 0 l 0 Z W 0 + P E l 0 Z W 0 + P E l 0 Z W 1 M b 2 N h d G l v b j 4 8 S X R l b V R 5 c G U + R m 9 y b X V s Y T w v S X R l b V R 5 c G U + P E l 0 Z W 1 Q Y X R o P l N l Y 3 R p b 2 4 x L 0 V H X 1 d J T k R f T W F 4 Q 2 F w Y W N p d H k v U m V v c m R l c m V k J T I w Q 2 9 s d W 1 u c z w v S X R l b V B h d G g + P C 9 J d G V t T G 9 j Y X R p b 2 4 + P F N 0 Y W J s Z U V u d H J p Z X M g L z 4 8 L 0 l 0 Z W 0 + P E l 0 Z W 0 + P E l 0 Z W 1 M b 2 N h d G l v b j 4 8 S X R l b V R 5 c G U + R m 9 y b X V s Y T w v S X R l b V R 5 c G U + P E l 0 Z W 1 Q Y X R o P l N l Y 3 R p b 2 4 x L 0 V H X 1 B I V 1 J f T W F 4 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1 L T A 3 V D A 1 O j E 3 O j Q 1 L j Y 2 M D k y N z h a I i A v P j x F b n R y e S B U e X B l P S J G a W x s U 3 R h d H V z I i B W Y W x 1 Z T 0 i c 0 N v b X B s Z X R l I i A v P j x F b n R y e S B U e X B l P S J R d W V y e U d y b 3 V w S U Q i I F Z h b H V l P S J z Z m M 0 M 2 N j M D M t O W J m M C 0 0 M G J k L T g 4 M z g t M m E z N W Z j N 2 J m M W F j I i A v P j x F b n R y e S B U e X B l P S J M b 2 F k Z W R U b 0 F u Y W x 5 c 2 l z U 2 V y d m l j Z X M i I F Z h b H V l P S J s M C I g L z 4 8 L 1 N 0 Y W J s Z U V u d H J p Z X M + P C 9 J d G V t P j x J d G V t P j x J d G V t T G 9 j Y X R p b 2 4 + P E l 0 Z W 1 U e X B l P k Z v c m 1 1 b G E 8 L 0 l 0 Z W 1 U e X B l P j x J d G V t U G F 0 a D 5 T Z W N 0 a W 9 u M S 9 F R 1 9 Q S F d S X 0 1 h e E N h c G F j a X R 5 L 1 N v d X J j Z T w v S X R l b V B h d G g + P C 9 J d G V t T G 9 j Y X R p b 2 4 + P F N 0 Y W J s Z U V u d H J p Z X M g L z 4 8 L 0 l 0 Z W 0 + P E l 0 Z W 0 + P E l 0 Z W 1 M b 2 N h d G l v b j 4 8 S X R l b V R 5 c G U + R m 9 y b X V s Y T w v S X R l b V R 5 c G U + P E l 0 Z W 1 Q Y X R o P l N l Y 3 R p b 2 4 x L 0 V H X 1 B I V 1 J f T W F 4 Q 2 F w Y W N p d H k v V W 5 w a X Z v d G V k J T I w Q 2 9 s d W 1 u c z w v S X R l b V B h d G g + P C 9 J d G V t T G 9 j Y X R p b 2 4 + P F N 0 Y W J s Z U V u d H J p Z X M g L z 4 8 L 0 l 0 Z W 0 + P E l 0 Z W 0 + P E l 0 Z W 1 M b 2 N h d G l v b j 4 8 S X R l b V R 5 c G U + R m 9 y b X V s Y T w v S X R l b V R 5 c G U + P E l 0 Z W 1 Q Y X R o P l N l Y 3 R p b 2 4 x L 0 V H X 1 B I V 1 J f T W F 4 Q 2 F w Y W N p d H k v U m V u Y W 1 l Z C U y M E N v b H V t b n M 8 L 0 l 0 Z W 1 Q Y X R o P j w v S X R l b U x v Y 2 F 0 a W 9 u P j x T d G F i b G V F b n R y a W V z I C 8 + P C 9 J d G V t P j x J d G V t P j x J d G V t T G 9 j Y X R p b 2 4 + P E l 0 Z W 1 U e X B l P k Z v c m 1 1 b G E 8 L 0 l 0 Z W 1 U e X B l P j x J d G V t U G F 0 a D 5 T Z W N 0 a W 9 u M S 9 F R 1 9 Q S F d S X 0 1 h e E N h c G F j a X R 5 L 0 F k Z G V k J T I w Q 3 V z d G 9 t P C 9 J d G V t U G F 0 a D 4 8 L 0 l 0 Z W 1 M b 2 N h d G l v b j 4 8 U 3 R h Y m x l R W 5 0 c m l l c y A v P j w v S X R l b T 4 8 S X R l b T 4 8 S X R l b U x v Y 2 F 0 a W 9 u P j x J d G V t V H l w Z T 5 G b 3 J t d W x h P C 9 J d G V t V H l w Z T 4 8 S X R l b V B h d G g + U 2 V j d G l v b j E v R U d f U E h X U l 9 N Y X h D Y X B h Y 2 l 0 e S 9 S Z W 9 y Z G V y Z W Q l M j B D b 2 x 1 b W 5 z P C 9 J d G V t U G F 0 a D 4 8 L 0 l 0 Z W 1 M b 2 N h d G l v b j 4 8 U 3 R h Y m x l R W 5 0 c m l l c y A v P j w v S X R l b T 4 8 S X R l b T 4 8 S X R l b U x v Y 2 F 0 a W 9 u P j x J d G V t V H l w Z T 5 G b 3 J t d W x h P C 9 J d G V t V H l w Z T 4 8 S X R l b V B h d G g + U 2 V j d G l v b j E v R U d f Q 0 N H V F 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w N 1 Q w N T o y M j o w M i 4 3 M j E w N D k 2 W i I g L z 4 8 R W 5 0 c n k g V H l w Z T 0 i R m l s b E V y c m 9 y Q 2 9 k Z S I g V m F s d W U 9 I n N V b m t u b 3 d u I i A v P j x F b n R y e S B U e X B l P S J B Z G R l Z F R v R G F 0 Y U 1 v Z G V s I i B W Y W x 1 Z T 0 i b D A i I C 8 + P E V u d H J 5 I F R 5 c G U 9 I l F 1 Z X J 5 R 3 J v d X B J R C I g V m F s d W U 9 I n N i N j M 4 Z j V j N C 0 w Z G U y L T Q 4 Z j E t Y m F k Y y 1 h N T g 3 Y z h m O D k 0 Z D g i I C 8 + P E V u d H J 5 I F R 5 c G U 9 I k x v Y W R l Z F R v Q W 5 h b H l z a X N T Z X J 2 a W N l c y I g V m F s d W U 9 I m w w I i A v P j w v U 3 R h Y m x l R W 5 0 c m l l c z 4 8 L 0 l 0 Z W 0 + P E l 0 Z W 0 + P E l 0 Z W 1 M b 2 N h d G l v b j 4 8 S X R l b V R 5 c G U + R m 9 y b X V s Y T w v S X R l b V R 5 c G U + P E l 0 Z W 1 Q Y X R o P l N l Y 3 R p b 2 4 x L 0 V H X 0 N D R 1 R f T W F 4 Q 2 F w Y W N p d H k v U 2 9 1 c m N l P C 9 J d G V t U G F 0 a D 4 8 L 0 l 0 Z W 1 M b 2 N h d G l v b j 4 8 U 3 R h Y m x l R W 5 0 c m l l c y A v P j w v S X R l b T 4 8 S X R l b T 4 8 S X R l b U x v Y 2 F 0 a W 9 u P j x J d G V t V H l w Z T 5 G b 3 J t d W x h P C 9 J d G V t V H l w Z T 4 8 S X R l b V B h d G g + U 2 V j d G l v b j E v R U d f Q 0 N H V F 9 N Y X h D Y X B h Y 2 l 0 e S 9 V b n B p d m 9 0 Z W Q l M j B D b 2 x 1 b W 5 z P C 9 J d G V t U G F 0 a D 4 8 L 0 l 0 Z W 1 M b 2 N h d G l v b j 4 8 U 3 R h Y m x l R W 5 0 c m l l c y A v P j w v S X R l b T 4 8 S X R l b T 4 8 S X R l b U x v Y 2 F 0 a W 9 u P j x J d G V t V H l w Z T 5 G b 3 J t d W x h P C 9 J d G V t V H l w Z T 4 8 S X R l b V B h d G g + U 2 V j d G l v b j E v R U d f Q 0 N H V F 9 N Y X h D Y X B h Y 2 l 0 e S 9 S Z W 5 h b W V k J T I w Q 2 9 s d W 1 u c z w v S X R l b V B h d G g + P C 9 J d G V t T G 9 j Y X R p b 2 4 + P F N 0 Y W J s Z U V u d H J p Z X M g L z 4 8 L 0 l 0 Z W 0 + P E l 0 Z W 0 + P E l 0 Z W 1 M b 2 N h d G l v b j 4 8 S X R l b V R 5 c G U + R m 9 y b X V s Y T w v S X R l b V R 5 c G U + P E l 0 Z W 1 Q Y X R o P l N l Y 3 R p b 2 4 x L 0 V H X 0 N D R 1 R f T W F 4 Q 2 F w Y W N p d H k v Q W R k Z W Q l M j B D d X N 0 b 2 0 8 L 0 l 0 Z W 1 Q Y X R o P j w v S X R l b U x v Y 2 F 0 a W 9 u P j x T d G F i b G V F b n R y a W V z I C 8 + P C 9 J d G V t P j x J d G V t P j x J d G V t T G 9 j Y X R p b 2 4 + P E l 0 Z W 1 U e X B l P k Z v c m 1 1 b G E 8 L 0 l 0 Z W 1 U e X B l P j x J d G V t U G F 0 a D 5 T Z W N 0 a W 9 u M S 9 F R 1 9 D Q 0 d U X 0 1 h e E N h c G F j a X R 5 L 1 J l b 3 J k Z X J l Z C U y M E N v b H V t b n M 8 L 0 l 0 Z W 1 Q Y X R o P j w v S X R l b U x v Y 2 F 0 a W 9 u P j x T d G F i b G V F b n R y a W V z I C 8 + P C 9 J d G V t P j x J d G V t P j x J d G V t T G 9 j Y X R p b 2 4 + P E l 0 Z W 1 U e X B l P k Z v c m 1 1 b G E 8 L 0 l 0 Z W 1 U e X B l P j x J d G V t U G F 0 a D 5 T Z W N 0 a W 9 u M S 9 F R 1 9 M S F 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R m l s b G V k Q 2 9 t c G x l d G V S Z X N 1 b H R U b 1 d v c m t z a G V l d C I g V m F s d W U 9 I m w w I i A v P j x F b n R y e S B U e X B l P S J G a W x s U 3 R h d H V z I i B W Y W x 1 Z T 0 i c 0 N v b X B s Z X R l I i A v P j x F b n R y e S B U e X B l P S J C d W Z m Z X J O Z X h 0 U m V m c m V z a C I g V m F s d W U 9 I m w x I i A v P j x F b n R y e S B U e X B l P S J G a W x s T G F z d F V w Z G F 0 Z W Q i I F Z h b H V l P S J k M j A y M S 0 w N S 0 w N 1 Q w N T o y M j o 0 M i 4 4 M j A 4 M T g 3 W i I g L z 4 8 R W 5 0 c n k g V H l w Z T 0 i R m l s b E V y c m 9 y Q 2 9 k Z S I g V m F s d W U 9 I n N V b m t u b 3 d u I i A v P j x F b n R y e S B U e X B l P S J B Z G R l Z F R v R G F 0 Y U 1 v Z G V s I i B W Y W x 1 Z T 0 i b D A i I C 8 + P E V u d H J 5 I F R 5 c G U 9 I l F 1 Z X J 5 R 3 J v d X B J R C I g V m F s d W U 9 I n M w N j I y M D M 4 Y S 0 4 M z A 1 L T R i Y T k t Y T B m N S 0 x Y j l l N j Y w Y 2 V j M j g i I C 8 + P E V u d H J 5 I F R 5 c G U 9 I k x v Y W R l Z F R v Q W 5 h b H l z a X N T Z X J 2 a W N l c y I g V m F s d W U 9 I m w w I i A v P j w v U 3 R h Y m x l R W 5 0 c m l l c z 4 8 L 0 l 0 Z W 0 + P E l 0 Z W 0 + P E l 0 Z W 1 M b 2 N h d G l v b j 4 8 S X R l b V R 5 c G U + R m 9 y b X V s Y T w v S X R l b V R 5 c G U + P E l 0 Z W 1 Q Y X R o P l N l Y 3 R p b 2 4 x L 0 V H X 0 x I X 0 1 h e E N h c G F j a X R 5 L 1 N v d X J j Z T w v S X R l b V B h d G g + P C 9 J d G V t T G 9 j Y X R p b 2 4 + P F N 0 Y W J s Z U V u d H J p Z X M g L z 4 8 L 0 l 0 Z W 0 + P E l 0 Z W 0 + P E l 0 Z W 1 M b 2 N h d G l v b j 4 8 S X R l b V R 5 c G U + R m 9 y b X V s Y T w v S X R l b V R 5 c G U + P E l 0 Z W 1 Q Y X R o P l N l Y 3 R p b 2 4 x L 0 V H X 0 x I X 0 1 h e E N h c G F j a X R 5 L 1 V u c G l 2 b 3 R l Z C U y M E N v b H V t b n M 8 L 0 l 0 Z W 1 Q Y X R o P j w v S X R l b U x v Y 2 F 0 a W 9 u P j x T d G F i b G V F b n R y a W V z I C 8 + P C 9 J d G V t P j x J d G V t P j x J d G V t T G 9 j Y X R p b 2 4 + P E l 0 Z W 1 U e X B l P k Z v c m 1 1 b G E 8 L 0 l 0 Z W 1 U e X B l P j x J d G V t U G F 0 a D 5 T Z W N 0 a W 9 u M S 9 F R 1 9 M S F 9 N Y X h D Y X B h Y 2 l 0 e S 9 S Z W 5 h b W V k J T I w Q 2 9 s d W 1 u c z w v S X R l b V B h d G g + P C 9 J d G V t T G 9 j Y X R p b 2 4 + P F N 0 Y W J s Z U V u d H J p Z X M g L z 4 8 L 0 l 0 Z W 0 + P E l 0 Z W 0 + P E l 0 Z W 1 M b 2 N h d G l v b j 4 8 S X R l b V R 5 c G U + R m 9 y b X V s Y T w v S X R l b V R 5 c G U + P E l 0 Z W 1 Q Y X R o P l N l Y 3 R p b 2 4 x L 0 V H X 0 x I X 0 1 h e E N h c G F j a X R 5 L 0 F k Z G V k J T I w Q 3 V z d G 9 t P C 9 J d G V t U G F 0 a D 4 8 L 0 l 0 Z W 1 M b 2 N h d G l v b j 4 8 U 3 R h Y m x l R W 5 0 c m l l c y A v P j w v S X R l b T 4 8 S X R l b T 4 8 S X R l b U x v Y 2 F 0 a W 9 u P j x J d G V t V H l w Z T 5 G b 3 J t d W x h P C 9 J d G V t V H l w Z T 4 8 S X R l b V B h d G g + U 2 V j d G l v b j E v R U d f T E h f T W F 4 Q 2 F w Y W N p d H k v U m V v c m R l c m V k J T I w Q 2 9 s d W 1 u c z w v S X R l b V B h d G g + P C 9 J d G V t T G 9 j Y X R p b 2 4 + P F N 0 Y W J s Z U V u d H J p Z X M g L z 4 8 L 0 l 0 Z W 0 + P E l 0 Z W 0 + P E l 0 Z W 1 M b 2 N h d G l v b j 4 8 S X R l b V R 5 c G U + R m 9 y b X V s Y T w v S X R l b V R 5 c G U + P E l 0 Z W 1 Q Y X R o P l N l Y 3 R p b 2 4 x L 0 V H X 0 N P Q U x f T W F 4 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F N 0 Y X R 1 c y I g V m F s d W U 9 I n N D b 2 1 w b G V 0 Z S I g L z 4 8 R W 5 0 c n k g V H l w Z T 0 i R m l s b E V y c m 9 y Q 2 9 k Z S I g V m F s d W U 9 I n N V b m t u b 3 d u I i A v P j x F b n R y e S B U e X B l P S J C d W Z m Z X J O Z X h 0 U m V m c m V z a C I g V m F s d W U 9 I m w x I i A v P j x F b n R y e S B U e X B l P S J G a W x s T G F z d F V w Z G F 0 Z W Q i I F Z h b H V l P S J k M j A y M S 0 w N S 0 w N 1 Q w N T o y M z o 0 M S 4 4 M z g w N j I 2 W i I g L z 4 8 R W 5 0 c n k g V H l w Z T 0 i Q W R k Z W R U b 0 R h d G F N b 2 R l b C I g V m F s d W U 9 I m w w I i A v P j x F b n R y e S B U e X B l P S J M b 2 F k Z W R U b 0 F u Y W x 5 c 2 l z U 2 V y d m l j Z X M i I F Z h b H V l P S J s M C I g L z 4 8 R W 5 0 c n k g V H l w Z T 0 i U X V l c n l H c m 9 1 c E l E I i B W Y W x 1 Z T 0 i c z Z m N D J l M T Q 5 L T N k Z D c t N D J k M C 0 5 Z m J h L T N i Z T Y z O W M y Z T E 2 Y i I g L z 4 8 L 1 N 0 Y W J s Z U V u d H J p Z X M + P C 9 J d G V t P j x J d G V t P j x J d G V t T G 9 j Y X R p b 2 4 + P E l 0 Z W 1 U e X B l P k Z v c m 1 1 b G E 8 L 0 l 0 Z W 1 U e X B l P j x J d G V t U G F 0 a D 5 T Z W N 0 a W 9 u M S 9 F R 1 9 D T 0 F M X 0 1 h e E N h c G F j a X R 5 L 1 N v d X J j Z T w v S X R l b V B h d G g + P C 9 J d G V t T G 9 j Y X R p b 2 4 + P F N 0 Y W J s Z U V u d H J p Z X M g L z 4 8 L 0 l 0 Z W 0 + P E l 0 Z W 0 + P E l 0 Z W 1 M b 2 N h d G l v b j 4 8 S X R l b V R 5 c G U + R m 9 y b X V s Y T w v S X R l b V R 5 c G U + P E l 0 Z W 1 Q Y X R o P l N l Y 3 R p b 2 4 x L 0 V H X 0 N P Q U x f T W F 4 Q 2 F w Y W N p d H k v V W 5 w a X Z v d G V k J T I w Q 2 9 s d W 1 u c z w v S X R l b V B h d G g + P C 9 J d G V t T G 9 j Y X R p b 2 4 + P F N 0 Y W J s Z U V u d H J p Z X M g L z 4 8 L 0 l 0 Z W 0 + P E l 0 Z W 0 + P E l 0 Z W 1 M b 2 N h d G l v b j 4 8 S X R l b V R 5 c G U + R m 9 y b X V s Y T w v S X R l b V R 5 c G U + P E l 0 Z W 1 Q Y X R o P l N l Y 3 R p b 2 4 x L 0 V H X 0 N P Q U x f T W F 4 Q 2 F w Y W N p d H k v U m V u Y W 1 l Z C U y M E N v b H V t b n M 8 L 0 l 0 Z W 1 Q Y X R o P j w v S X R l b U x v Y 2 F 0 a W 9 u P j x T d G F i b G V F b n R y a W V z I C 8 + P C 9 J d G V t P j x J d G V t P j x J d G V t T G 9 j Y X R p b 2 4 + P E l 0 Z W 1 U e X B l P k Z v c m 1 1 b G E 8 L 0 l 0 Z W 1 U e X B l P j x J d G V t U G F 0 a D 5 T Z W N 0 a W 9 u M S 9 F R 1 9 D T 0 F M X 0 1 h e E N h c G F j a X R 5 L 0 F k Z G V k J T I w Q 3 V z d G 9 t P C 9 J d G V t U G F 0 a D 4 8 L 0 l 0 Z W 1 M b 2 N h d G l v b j 4 8 U 3 R h Y m x l R W 5 0 c m l l c y A v P j w v S X R l b T 4 8 S X R l b T 4 8 S X R l b U x v Y 2 F 0 a W 9 u P j x J d G V t V H l w Z T 5 G b 3 J t d W x h P C 9 J d G V t V H l w Z T 4 8 S X R l b V B h d G g + U 2 V j d G l v b j E v R U d f Q 0 9 B T F 9 N Y X h D Y X B h Y 2 l 0 e S 9 S Z W 9 y Z G V y Z W Q l M j B D b 2 x 1 b W 5 z P C 9 J d G V t U G F 0 a D 4 8 L 0 l 0 Z W 1 M b 2 N h d G l v b j 4 8 U 3 R h Y m x l R W 5 0 c m l l c y A v P j w v S X R l b T 4 8 S X R l b T 4 8 S X R l b U x v Y 2 F 0 a W 9 u P j x J d G V t V H l w Z T 5 G b 3 J t d W x h P C 9 J d G V t V H l w Z T 4 8 S X R l b V B h d G g + U 2 V j d G l v b j E v R U d f Q 0 N H V 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S Z W N v d m V y e V R h c m d l d F J v d y I g V m F s d W U 9 I m w x I i A v P j x F b n R y e S B U e X B l P S J S Z W N v d m V y e V R h c m d l d E N v b H V t b i I g V m F s d W U 9 I m w x I i A v P j x F b n R y e S B U e X B l P S J S Z W N v d m V y e V R h c m d l d F N o Z W V 0 I i B W Y W x 1 Z T 0 i c 1 N o Z W V 0 N C I g L z 4 8 R W 5 0 c n k g V H l w Z T 0 i U m V s Y X R p b 2 5 z a G l w S W 5 m b 0 N v b n R h a W 5 l c i I g V m F s d W U 9 I n N 7 J n F 1 b 3 Q 7 Y 2 9 s d W 1 u Q 2 9 1 b n Q m c X V v d D s 6 N S w m c X V v d D t r Z X l D b 2 x 1 b W 5 O Y W 1 l c y Z x d W 9 0 O z p b X S w m c X V v d D t x d W V y e V J l b G F 0 a W 9 u c 2 h p c H M m c X V v d D s 6 W 1 0 s J n F 1 b 3 Q 7 Y 2 9 s d W 1 u S W R l b n R p d G l l c y Z x d W 9 0 O z p b J n F 1 b 3 Q 7 U 2 V j d G l v b j E v R U d f Q 0 N H V F 9 N Y X h D Y X B h Y 2 l 0 e S 9 B Z G R l Z C B D d X N 0 b 2 0 u e 0 V u Z X J n e U N v b n Z U Z W N o L D N 9 J n F 1 b 3 Q 7 L C Z x d W 9 0 O 1 N l Y 3 R p b 2 4 x L 0 V H X 0 N D R 1 R f T W F 4 Q 2 F w Y W N p d H k v V W 5 w a X Z v d G V k I E N v b H V t b n M u e 1 N 1 Y k d l b 2 d y Y X B o e T I s M H 0 m c X V v d D s s J n F 1 b 3 Q 7 U 2 V j d G l v b j E v R U d f Q 0 N H V F 9 N Y X h D Y X B h Y 2 l 0 e S 9 V b n B p d m 9 0 Z W Q g Q 2 9 s d W 1 u c y 5 7 Q X R 0 c m l i d X R l L D F 9 J n F 1 b 3 Q 7 L C Z x d W 9 0 O 1 N l Y 3 R p b 2 4 x L 0 V H X 0 N D R 1 R f T W F 4 Q 2 F w Y W N p d H k v V W 5 w a X Z v d G V k I E N v b H V t b n M u e 1 Z h b H V l L D J 9 J n F 1 b 3 Q 7 L C Z x d W 9 0 O 1 N l Y 3 R p b 2 4 x L 0 V H X 0 N D R 1 R f T W l u Q 2 F w Y W N p d H k v V W 5 w a X Z v d G V k I E N v b H V t b n M u e 1 Z h b H V l L D J 9 J n F 1 b 3 Q 7 X S w m c X V v d D t D b 2 x 1 b W 5 D b 3 V u d C Z x d W 9 0 O z o 1 L C Z x d W 9 0 O 0 t l e U N v b H V t b k 5 h b W V z J n F 1 b 3 Q 7 O l t d L C Z x d W 9 0 O 0 N v b H V t b k l k Z W 5 0 a X R p Z X M m c X V v d D s 6 W y Z x d W 9 0 O 1 N l Y 3 R p b 2 4 x L 0 V H X 0 N D R 1 R f T W F 4 Q 2 F w Y W N p d H k v Q W R k Z W Q g Q 3 V z d G 9 t L n t F b m V y Z 3 l D b 2 5 2 V G V j a C w z f S Z x d W 9 0 O y w m c X V v d D t T Z W N 0 a W 9 u M S 9 F R 1 9 D Q 0 d U X 0 1 h e E N h c G F j a X R 5 L 1 V u c G l 2 b 3 R l Z C B D b 2 x 1 b W 5 z L n t T d W J H Z W 9 n c m F w a H k y L D B 9 J n F 1 b 3 Q 7 L C Z x d W 9 0 O 1 N l Y 3 R p b 2 4 x L 0 V H X 0 N D R 1 R f T W F 4 Q 2 F w Y W N p d H k v V W 5 w a X Z v d G V k I E N v b H V t b n M u e 0 F 0 d H J p Y n V 0 Z S w x f S Z x d W 9 0 O y w m c X V v d D t T Z W N 0 a W 9 u M S 9 F R 1 9 D Q 0 d U X 0 1 h e E N h c G F j a X R 5 L 1 V u c G l 2 b 3 R l Z C B D b 2 x 1 b W 5 z L n t W Y W x 1 Z S w y f S Z x d W 9 0 O y w m c X V v d D t T Z W N 0 a W 9 u M S 9 F R 1 9 D Q 0 d U X 0 1 p b k N h c G F j a X R 5 L 1 V u c G l 2 b 3 R l Z C B D b 2 x 1 b W 5 z L n t W Y W x 1 Z S w y f S Z x d W 9 0 O 1 0 s J n F 1 b 3 Q 7 U m V s Y X R p b 2 5 z a G l w S W 5 m b y Z x d W 9 0 O z p b X X 0 i I C 8 + P E V u d H J 5 I F R 5 c G U 9 I k Z p b G x T d G F 0 d X M i I F Z h b H V l P S J z Q 2 9 t c G x l d G U i I C 8 + P E V u d H J 5 I F R 5 c G U 9 I k Z p b G x M Y X N 0 V X B k Y X R l Z C I g V m F s d W U 9 I m Q y M D I x L T A 1 L T A 3 V D A 1 O j I 1 O j Q 3 L j Q 3 N j c y N T R a I i A v P j x F b n R y e S B U e X B l P S J G a W x s R X J y b 3 J D b 2 R l I i B W Y W x 1 Z T 0 i c 1 V u a 2 5 v d 2 4 i I C 8 + P E V u d H J 5 I F R 5 c G U 9 I k F k Z G V k V G 9 E Y X R h T W 9 k Z W w i I F Z h b H V l P S J s M C I g L z 4 8 R W 5 0 c n k g V H l w Z T 0 i U X V l c n l H c m 9 1 c E l E I i B W Y W x 1 Z T 0 i c 2 I 2 M z h m N W M 0 L T B k Z T I t N D h m M S 1 i Y W R j L W E 1 O D d j O G Y 4 O T R k O C I g L z 4 8 L 1 N 0 Y W J s Z U V u d H J p Z X M + P C 9 J d G V t P j x J d G V t P j x J d G V t T G 9 j Y X R p b 2 4 + P E l 0 Z W 1 U e X B l P k Z v c m 1 1 b G E 8 L 0 l 0 Z W 1 U e X B l P j x J d G V t U G F 0 a D 5 T Z W N 0 a W 9 u M S 9 F R 1 9 D Q 0 d U L 1 N v d X J j Z T w v S X R l b V B h d G g + P C 9 J d G V t T G 9 j Y X R p b 2 4 + P F N 0 Y W J s Z U V u d H J p Z X M g L z 4 8 L 0 l 0 Z W 0 + P E l 0 Z W 0 + P E l 0 Z W 1 M b 2 N h d G l v b j 4 8 S X R l b V R 5 c G U + R m 9 y b X V s Y T w v S X R l b V R 5 c G U + P E l 0 Z W 1 Q Y X R o P l N l Y 3 R p b 2 4 x L 0 V H X 0 N D R 1 Q v R X h w Y W 5 k Z W Q l M j B F R 1 9 D Q 0 d U X 0 1 p b k N h c G F j a X R 5 P C 9 J d G V t U G F 0 a D 4 8 L 0 l 0 Z W 1 M b 2 N h d G l v b j 4 8 U 3 R h Y m x l R W 5 0 c m l l c y A v P j w v S X R l b T 4 8 S X R l b T 4 8 S X R l b U x v Y 2 F 0 a W 9 u P j x J d G V t V H l w Z T 5 G b 3 J t d W x h P C 9 J d G V t V H l w Z T 4 8 S X R l b V B h d G g + U 2 V j d G l v b j E v R U d f U 0 9 M Q V J Q V 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j Y 6 N T A u O D M 1 O T I 3 N 1 o i I C 8 + P E V u d H J 5 I F R 5 c G U 9 I k Z p b G x T d G F 0 d X M i I F Z h b H V l P S J z Q 2 9 t c G x l d G U i I C 8 + P E V u d H J 5 I F R 5 c G U 9 I l F 1 Z X J 5 R 3 J v d X B J R C I g V m F s d W U 9 I n N k N z R i Z j Y w O C 1 i Y 2 E z L T R m O D E t O T B j Y S 1 j Z m M 2 Z D k 3 N G I 2 Z T I i I C 8 + P C 9 T d G F i b G V F b n R y a W V z P j w v S X R l b T 4 8 S X R l b T 4 8 S X R l b U x v Y 2 F 0 a W 9 u P j x J d G V t V H l w Z T 5 G b 3 J t d W x h P C 9 J d G V t V H l w Z T 4 8 S X R l b V B h d G g + U 2 V j d G l v b j E v R U d f U 0 9 M Q V J Q V i 9 T b 3 V y Y 2 U 8 L 0 l 0 Z W 1 Q Y X R o P j w v S X R l b U x v Y 2 F 0 a W 9 u P j x T d G F i b G V F b n R y a W V z I C 8 + P C 9 J d G V t P j x J d G V t P j x J d G V t T G 9 j Y X R p b 2 4 + P E l 0 Z W 1 U e X B l P k Z v c m 1 1 b G E 8 L 0 l 0 Z W 1 U e X B l P j x J d G V t U G F 0 a D 5 T Z W N 0 a W 9 u M S 9 F R 1 9 T T 0 x B U l B W L 0 V 4 c G F u Z G V k J T I w R U d f U 0 9 M Q V J Q V l 9 N Y X h D Y X B h Y 2 l 0 e T w v S X R l b V B h d G g + P C 9 J d G V t T G 9 j Y X R p b 2 4 + P F N 0 Y W J s Z U V u d H J p Z X M g L z 4 8 L 0 l 0 Z W 0 + P E l 0 Z W 0 + P E l 0 Z W 1 M b 2 N h d G l v b j 4 8 S X R l b V R 5 c G U + R m 9 y b X V s Y T w v S X R l b V R 5 c G U + P E l 0 Z W 1 Q Y X R o P l N l Y 3 R p b 2 4 x L 0 V H X 1 d J T k 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A 3 V D A 1 O j I 3 O j M 1 L j g 1 M z Y 2 M z l a I i A v P j x F b n R y e S B U e X B l P S J G a W x s U 3 R h d H V z I i B W Y W x 1 Z T 0 i c 0 N v b X B s Z X R l I i A v P j x F b n R y e S B U e X B l P S J R d W V y e U d y b 3 V w S U Q i I F Z h b H V l P S J z Y T M w M T Z l M z E t Z D h l M S 0 0 N D E 0 L T l m M j E t M z Q 5 Y z c 1 M j E 1 M T k y I i A v P j w v U 3 R h Y m x l R W 5 0 c m l l c z 4 8 L 0 l 0 Z W 0 + P E l 0 Z W 0 + P E l 0 Z W 1 M b 2 N h d G l v b j 4 8 S X R l b V R 5 c G U + R m 9 y b X V s Y T w v S X R l b V R 5 c G U + P E l 0 Z W 1 Q Y X R o P l N l Y 3 R p b 2 4 x L 0 V H X 1 d J T k Q v U 2 9 1 c m N l P C 9 J d G V t U G F 0 a D 4 8 L 0 l 0 Z W 1 M b 2 N h d G l v b j 4 8 U 3 R h Y m x l R W 5 0 c m l l c y A v P j w v S X R l b T 4 8 S X R l b T 4 8 S X R l b U x v Y 2 F 0 a W 9 u P j x J d G V t V H l w Z T 5 G b 3 J t d W x h P C 9 J d G V t V H l w Z T 4 8 S X R l b V B h d G g + U 2 V j d G l v b j E v R U d f V 0 l O R C 9 F e H B h b m R l Z C U y M E V H X 1 d J T k R f T W F 4 Q 2 F w Y W N p d H k 8 L 0 l 0 Z W 1 Q Y X R o P j w v S X R l b U x v Y 2 F 0 a W 9 u P j x T d G F i b G V F b n R y a W V z I C 8 + P C 9 J d G V t P j x J d G V t P j x J d G V t T G 9 j Y X R p b 2 4 + P E l 0 Z W 1 U e X B l P k Z v c m 1 1 b G E 8 L 0 l 0 Z W 1 U e X B l P j x J d G V t U G F 0 a D 5 T Z W N 0 a W 9 u M S 9 F R 1 9 Q S F d S 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w N 1 Q w N T o y O D o 0 N C 4 z M T c 0 N j E 1 W i I g L z 4 8 R W 5 0 c n k g V H l w Z T 0 i R m l s b F N 0 Y X R 1 c y I g V m F s d W U 9 I n N D b 2 1 w b G V 0 Z S I g L z 4 8 R W 5 0 c n k g V H l w Z T 0 i U X V l c n l H c m 9 1 c E l E I i B W Y W x 1 Z T 0 i c 2 Z j N D N j Y z A z L T l i Z j A t N D B i Z C 0 4 O D M 4 L T J h M z V m Y z d i Z j F h Y y I g L z 4 8 L 1 N 0 Y W J s Z U V u d H J p Z X M + P C 9 J d G V t P j x J d G V t P j x J d G V t T G 9 j Y X R p b 2 4 + P E l 0 Z W 1 U e X B l P k Z v c m 1 1 b G E 8 L 0 l 0 Z W 1 U e X B l P j x J d G V t U G F 0 a D 5 T Z W N 0 a W 9 u M S 9 F R 1 9 Q S F d S L 1 N v d X J j Z T w v S X R l b V B h d G g + P C 9 J d G V t T G 9 j Y X R p b 2 4 + P F N 0 Y W J s Z U V u d H J p Z X M g L z 4 8 L 0 l 0 Z W 0 + P E l 0 Z W 0 + P E l 0 Z W 1 M b 2 N h d G l v b j 4 8 S X R l b V R 5 c G U + R m 9 y b X V s Y T w v S X R l b V R 5 c G U + P E l 0 Z W 1 Q Y X R o P l N l Y 3 R p b 2 4 x L 0 V H X 1 B I V 1 I v R X h w Y W 5 k Z W Q l M j B F R 1 9 Q S F d S X 0 1 h e E N h c G F j a X R 5 P C 9 J d G V t U G F 0 a D 4 8 L 0 l 0 Z W 1 M b 2 N h d G l v b j 4 8 U 3 R h Y m x l R W 5 0 c m l l c y A v P j w v S X R l b T 4 8 S X R l b T 4 8 S X R l b U x v Y 2 F 0 a W 9 u P j x J d G V t V H l w Z T 5 G b 3 J t d W x h P C 9 J d G V t V H l w Z T 4 8 S X R l b V B h d G g + U 2 V j d G l v b j E v R U d f T E 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E t M D U t M D d U M D U 6 M z E 6 M z A u M j Q 5 N j U 1 O V o i I C 8 + P E V u d H J 5 I F R 5 c G U 9 I k Z p b G x F c n J v c k N v Z G U i I F Z h b H V l P S J z V W 5 r b m 9 3 b i I g L z 4 8 R W 5 0 c n k g V H l w Z T 0 i Q W R k Z W R U b 0 R h d G F N b 2 R l b C I g V m F s d W U 9 I m w w I i A v P j x F b n R y e S B U e X B l P S J R d W V y e U d y b 3 V w S U Q i I F Z h b H V l P S J z M D Y y M j A z O G E t O D M w N S 0 0 Y m E 5 L W E w Z j U t M W I 5 Z T Y 2 M G N l Y z I 4 I i A v P j w v U 3 R h Y m x l R W 5 0 c m l l c z 4 8 L 0 l 0 Z W 0 + P E l 0 Z W 0 + P E l 0 Z W 1 M b 2 N h d G l v b j 4 8 S X R l b V R 5 c G U + R m 9 y b X V s Y T w v S X R l b V R 5 c G U + P E l 0 Z W 1 Q Y X R o P l N l Y 3 R p b 2 4 x L 0 V H X 0 x I L 1 N v d X J j Z T w v S X R l b V B h d G g + P C 9 J d G V t T G 9 j Y X R p b 2 4 + P F N 0 Y W J s Z U V u d H J p Z X M g L z 4 8 L 0 l 0 Z W 0 + P E l 0 Z W 0 + P E l 0 Z W 1 M b 2 N h d G l v b j 4 8 S X R l b V R 5 c G U + R m 9 y b X V s Y T w v S X R l b V R 5 c G U + P E l 0 Z W 1 Q Y X R o P l N l Y 3 R p b 2 4 x L 0 V H X 0 N P Q U 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A 3 V D A 1 O j M w O j I w L j U 2 M D E w N T Z a I i A v P j x F b n R y e S B U e X B l P S J G a W x s U 3 R h d H V z I i B W Y W x 1 Z T 0 i c 0 N v b X B s Z X R l I i A v P j x F b n R y e S B U e X B l P S J R d W V y e U d y b 3 V w S U Q i I F Z h b H V l P S J z N m Y 0 M m U x N D k t M 2 R k N y 0 0 M m Q w L T l m Y m E t M 2 J l N j M 5 Y z J l M T Z i I i A v P j w v U 3 R h Y m x l R W 5 0 c m l l c z 4 8 L 0 l 0 Z W 0 + P E l 0 Z W 0 + P E l 0 Z W 1 M b 2 N h d G l v b j 4 8 S X R l b V R 5 c G U + R m 9 y b X V s Y T w v S X R l b V R 5 c G U + P E l 0 Z W 1 Q Y X R o P l N l Y 3 R p b 2 4 x L 0 V H X 0 N P Q U w v U 2 9 1 c m N l P C 9 J d G V t U G F 0 a D 4 8 L 0 l 0 Z W 1 M b 2 N h d G l v b j 4 8 U 3 R h Y m x l R W 5 0 c m l l c y A v P j w v S X R l b T 4 8 S X R l b T 4 8 S X R l b U x v Y 2 F 0 a W 9 u P j x J d G V t V H l w Z T 5 G b 3 J t d W x h P C 9 J d G V t V H l w Z T 4 8 S X R l b V B h d G g + U 2 V j d G l v b j E v R U d f Q 0 9 B T C 9 F e H B h b m R l Z C U y M E V H X 0 N P Q U x f T W F 4 Q 2 F w Y W N p d H k 8 L 0 l 0 Z W 1 Q Y X R o P j w v S X R l b U x v Y 2 F 0 a W 9 u P j x T d G F i b G V F b n R y a W V z I C 8 + P C 9 J d G V t P j x J d G V t P j x J d G V t T G 9 j Y X R p b 2 4 + P E l 0 Z W 1 U e X B l P k Z v c m 1 1 b G E 8 L 0 l 0 Z W 1 U e X B l P j x J d G V t U G F 0 a D 5 T Z W N 0 a W 9 u M S 9 F R 1 9 M S C 9 F e H B h b m R l Z C U y M E V H X 0 x I X 0 1 h e E N h c G F j a X R 5 P C 9 J d G V t U G F 0 a D 4 8 L 0 l 0 Z W 1 M b 2 N h d G l v b j 4 8 U 3 R h Y m x l R W 5 0 c m l l c y A v P j w v S X R l b T 4 8 S X R l b T 4 8 S X R l b U x v Y 2 F 0 a W 9 u P j x J d G V t V H l w Z T 5 G b 3 J t d W x h P C 9 J d G V t V H l w Z T 4 8 S X R l b V B h d G g + U 2 V j d G l v b j E v U m V n a W 9 u 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z g 6 N T c u M j A 2 O T Y z M 1 o i I C 8 + P E V u d H J 5 I F R 5 c G U 9 I k Z p b G x T d G F 0 d X M i I F Z h b H V l P S J z Q 2 9 t c G x l d G U i I C 8 + P C 9 T d G F i b G V F b n R y a W V z P j w v S X R l b T 4 8 S X R l b T 4 8 S X R l b U x v Y 2 F 0 a W 9 u P j x J d G V t V H l w Z T 5 G b 3 J t d W x h P C 9 J d G V t V H l w Z T 4 8 S X R l b V B h d G g + U 2 V j d G l v b j E v U m V n a W 9 u c y 9 T b 3 V y Y 2 U 8 L 0 l 0 Z W 1 Q Y X R o P j w v S X R l b U x v Y 2 F 0 a W 9 u P j x T d G F i b G V F b n R y a W V z I C 8 + P C 9 J d G V t P j x J d G V t P j x J d G V t T G 9 j Y X R p b 2 4 + P E l 0 Z W 1 U e X B l P k Z v c m 1 1 b G E 8 L 0 l 0 Z W 1 U e X B l P j x J d G V t U G F 0 a D 5 T Z W N 0 a W 9 u M S 9 S Z W d p b 2 5 z L 0 N o Y W 5 n Z W Q l M j B U e X B l P C 9 J d G V t U G F 0 a D 4 8 L 0 l 0 Z W 1 M b 2 N h d G l v b j 4 8 U 3 R h Y m x l R W 5 0 c m l l c y A v P j w v S X R l b T 4 8 S X R l b T 4 8 S X R l b U x v Y 2 F 0 a W 9 u P j x J d G V t V H l w Z T 5 G b 3 J t d W x h P C 9 J d G V t V H l w Z T 4 8 S X R l b V B h d G g + U 2 V j d G l v b j E v R U d f R 1 c 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j b 3 Z l c n l U Y X J n Z X R S b 3 c i I F Z h b H V l P S J s M S I g L z 4 8 R W 5 0 c n k g V H l w Z T 0 i U m V j b 3 Z l c n l U Y X J n Z X R D b 2 x 1 b W 4 i I F Z h b H V l P S J s M S I g L z 4 8 R W 5 0 c n k g V H l w Z T 0 i U m V j b 3 Z l c n l U Y X J n Z X R T a G V l d C I g V m F s d W U 9 I n N G S U 5 B T F 9 F R 1 9 H V y I g L z 4 8 R W 5 0 c n k g V H l w Z T 0 i R m l s b F N 0 Y X R 1 c y I g V m F s d W U 9 I n N D b 2 1 w b G V 0 Z S I g L z 4 8 R W 5 0 c n k g V H l w Z T 0 i R m l s b E x h c 3 R V c G R h d G V k I i B W Y W x 1 Z T 0 i Z D I w M j E t M D U t M j V U M T U 6 M j g 6 N T c u M D Y 5 O D Y w M V o i I C 8 + P E V u d H J 5 I F R 5 c G U 9 I l F 1 Z X J 5 S U Q i I F Z h b H V l P S J z Y j E y M z k z O D M t M T g 3 Z S 0 0 M T Y 5 L T g 2 M W I t O G E 4 Z W E 2 Y W M 3 N T J m I i A v P j x F b n R y e S B U e X B l P S J S Z W x h d G l v b n N o a X B J b m Z v Q 2 9 u d G F p b m V y I i B W Y W x 1 Z T 0 i c 3 s m c X V v d D t j b 2 x 1 b W 5 D b 3 V u d C Z x d W 9 0 O z o 3 L C Z x d W 9 0 O 2 t l e U N v b H V t b k 5 h b W V z J n F 1 b 3 Q 7 O l t d L C Z x d W 9 0 O 3 F 1 Z X J 5 U m V s Y X R p b 2 5 z a G l w c y Z x d W 9 0 O z p b e y Z x d W 9 0 O 2 t l e U N v b H V t b k N v d W 5 0 J n F 1 b 3 Q 7 O j E s J n F 1 b 3 Q 7 a 2 V 5 Q 2 9 s d W 1 u J n F 1 b 3 Q 7 O j M s J n F 1 b 3 Q 7 b 3 R o Z X J L Z X l D b 2 x 1 b W 5 J Z G V u d G l 0 e S Z x d W 9 0 O z o m c X V v d D t T Z W N 0 a W 9 u M S 9 S Z W d p b 2 5 z L 0 N o Y W 5 n Z W Q g V H l w Z S 5 7 U 3 V i R 2 V v Z 3 J h c G h 5 M i w y f S Z x d W 9 0 O y w m c X V v d D t L Z X l D b 2 x 1 b W 5 D b 3 V u d C Z x d W 9 0 O z o x f V 0 s J n F 1 b 3 Q 7 Y 2 9 s d W 1 u S W R l b n R p d G l l c y Z x d W 9 0 O z p b J n F 1 b 3 Q 7 U 2 V j d G l v b j E v R U d f R 1 c v U 2 9 1 c m N l L n t F b m V y Z 3 l D b 2 5 2 V G V j a C w w f S Z x d W 9 0 O y w m c X V v d D t T Z W N 0 a W 9 u M S 9 S Z W d p b 2 5 z L 0 N o Y W 5 n Z W Q g V H l w Z S 5 7 T W 9 k Z W x H Z W 9 n c m F w a H k s M H 0 m c X V v d D s s J n F 1 b 3 Q 7 U 2 V j d G l v b j E v U m V n a W 9 u c y 9 D a G F u Z 2 V k I F R 5 c G U u e 1 N 1 Y k d l b 2 d y Y X B o e T E s M X 0 m c X V v d D s s J n F 1 b 3 Q 7 U 2 V j d G l v b j E v R U d f R 1 c v U 2 9 1 c m N l L n t T d W J H Z W 9 n c m F w a H k y L D F 9 J n F 1 b 3 Q 7 L C Z x d W 9 0 O 1 N l Y 3 R p b 2 4 x L 0 V H X 0 d X L 1 N v d X J j Z S 5 7 W W V h c i w y f S Z x d W 9 0 O y w m c X V v d D t T Z W N 0 a W 9 u M S 9 F R 1 9 H V y 9 E a X Z p Z G V k I E N v b H V t b i 5 7 T W F 4 Q 2 F w Y W N p d H k s N X 0 m c X V v d D s s J n F 1 b 3 Q 7 U 2 V j d G l v b j E v R U d f R 1 c v R G l 2 a W R l Z C B D b 2 x 1 b W 4 x L n t N a W 5 D Y X B h Y 2 l 0 e S w 2 f S Z x d W 9 0 O 1 0 s J n F 1 b 3 Q 7 Q 2 9 s d W 1 u Q 2 9 1 b n Q m c X V v d D s 6 N y w m c X V v d D t L Z X l D b 2 x 1 b W 5 O Y W 1 l c y Z x d W 9 0 O z p b X S w m c X V v d D t D b 2 x 1 b W 5 J Z G V u d G l 0 a W V z J n F 1 b 3 Q 7 O l s m c X V v d D t T Z W N 0 a W 9 u M S 9 F R 1 9 H V y 9 T b 3 V y Y 2 U u e 0 V u Z X J n e U N v b n Z U Z W N o L D B 9 J n F 1 b 3 Q 7 L C Z x d W 9 0 O 1 N l Y 3 R p b 2 4 x L 1 J l Z 2 l v b n M v Q 2 h h b m d l Z C B U e X B l L n t N b 2 R l b E d l b 2 d y Y X B o e S w w f S Z x d W 9 0 O y w m c X V v d D t T Z W N 0 a W 9 u M S 9 S Z W d p b 2 5 z L 0 N o Y W 5 n Z W Q g V H l w Z S 5 7 U 3 V i R 2 V v Z 3 J h c G h 5 M S w x f S Z x d W 9 0 O y w m c X V v d D t T Z W N 0 a W 9 u M S 9 F R 1 9 H V y 9 T b 3 V y Y 2 U u e 1 N 1 Y k d l b 2 d y Y X B o e T I s M X 0 m c X V v d D s s J n F 1 b 3 Q 7 U 2 V j d G l v b j E v R U d f R 1 c v U 2 9 1 c m N l L n t Z Z W F y L D J 9 J n F 1 b 3 Q 7 L C Z x d W 9 0 O 1 N l Y 3 R p b 2 4 x L 0 V H X 0 d X L 0 R p d m l k Z W Q g Q 2 9 s d W 1 u L n t N Y X h D Y X B h Y 2 l 0 e S w 1 f S Z x d W 9 0 O y w m c X V v d D t T Z W N 0 a W 9 u M S 9 F R 1 9 H V y 9 E a X Z p Z G V k I E N v b H V t b j E u e 0 1 p b k N h c G F j a X R 5 L D Z 9 J n F 1 b 3 Q 7 X S w m c X V v d D t S Z W x h d G l v b n N o a X B J b m Z v J n F 1 b 3 Q 7 O l t 7 J n F 1 b 3 Q 7 a 2 V 5 Q 2 9 s d W 1 u Q 2 9 1 b n Q m c X V v d D s 6 M S w m c X V v d D t r Z X l D b 2 x 1 b W 4 m c X V v d D s 6 M y w m c X V v d D t v d G h l c k t l e U N v b H V t b k l k Z W 5 0 a X R 5 J n F 1 b 3 Q 7 O i Z x d W 9 0 O 1 N l Y 3 R p b 2 4 x L 1 J l Z 2 l v b n M v Q 2 h h b m d l Z C B U e X B l L n t T d W J H Z W 9 n c m F w a H k y L D J 9 J n F 1 b 3 Q 7 L C Z x d W 9 0 O 0 t l e U N v b H V t b k N v d W 5 0 J n F 1 b 3 Q 7 O j F 9 X X 0 i I C 8 + P E V u d H J 5 I F R 5 c G U 9 I k Z p b G x F c n J v c k N v Z G U i I F Z h b H V l P S J z V W 5 r b m 9 3 b i I g L z 4 8 R W 5 0 c n k g V H l w Z T 0 i Q W R k Z W R U b 0 R h d G F N b 2 R l b C I g V m F s d W U 9 I m w w I i A v P j w v U 3 R h Y m x l R W 5 0 c m l l c z 4 8 L 0 l 0 Z W 0 + P E l 0 Z W 0 + P E l 0 Z W 1 M b 2 N h d G l v b j 4 8 S X R l b V R 5 c G U + R m 9 y b X V s Y T w v S X R l b V R 5 c G U + P E l 0 Z W 1 Q Y X R o P l N l Y 3 R p b 2 4 x L 0 V H X 0 d X L 1 N v d X J j Z T w v S X R l b V B h d G g + P C 9 J d G V t T G 9 j Y X R p b 2 4 + P F N 0 Y W J s Z U V u d H J p Z X M g L z 4 8 L 0 l 0 Z W 0 + P E l 0 Z W 0 + P E l 0 Z W 1 M b 2 N h d G l v b j 4 8 S X R l b V R 5 c G U + R m 9 y b X V s Y T w v S X R l b V R 5 c G U + P E l 0 Z W 1 Q Y X R o P l N l Y 3 R p b 2 4 x L 0 V H X 0 d X L 0 1 l c m d l Z C U y M F F 1 Z X J p Z X M 8 L 0 l 0 Z W 1 Q Y X R o P j w v S X R l b U x v Y 2 F 0 a W 9 u P j x T d G F i b G V F b n R y a W V z I C 8 + P C 9 J d G V t P j x J d G V t P j x J d G V t T G 9 j Y X R p b 2 4 + P E l 0 Z W 1 U e X B l P k Z v c m 1 1 b G E 8 L 0 l 0 Z W 1 U e X B l P j x J d G V t U G F 0 a D 5 T Z W N 0 a W 9 u M S 9 F R 1 9 H V y 9 F e H B h b m R l Z C U y M F J l Z 2 l v b n M 8 L 0 l 0 Z W 1 Q Y X R o P j w v S X R l b U x v Y 2 F 0 a W 9 u P j x T d G F i b G V F b n R y a W V z I C 8 + P C 9 J d G V t P j x J d G V t P j x J d G V t T G 9 j Y X R p b 2 4 + P E l 0 Z W 1 U e X B l P k Z v c m 1 1 b G E 8 L 0 l 0 Z W 1 U e X B l P j x J d G V t U G F 0 a D 5 T Z W N 0 a W 9 u M S 9 F R 1 9 H V y 9 S Z W 9 y Z G V y Z W Q l M j B D b 2 x 1 b W 5 z P C 9 J d G V t U G F 0 a D 4 8 L 0 l 0 Z W 1 M b 2 N h d G l v b j 4 8 U 3 R h Y m x l R W 5 0 c m l l c y A v P j w v S X R l b T 4 8 S X R l b T 4 8 S X R l b U x v Y 2 F 0 a W 9 u P j x J d G V t V H l w Z T 5 G b 3 J t d W x h P C 9 J d G V t V H l w Z T 4 8 S X R l b V B h d G g + U 2 V j d G l v b j E v R U d f R 1 c v R G l 2 a W R l Z C U y M E N v b H V t b j w v S X R l b V B h d G g + P C 9 J d G V t T G 9 j Y X R p b 2 4 + P F N 0 Y W J s Z U V u d H J p Z X M g L z 4 8 L 0 l 0 Z W 0 + P E l 0 Z W 0 + P E l 0 Z W 1 M b 2 N h d G l v b j 4 8 S X R l b V R 5 c G U + R m 9 y b X V s Y T w v S X R l b V R 5 c G U + P E l 0 Z W 1 Q Y X R o P l N l Y 3 R p b 2 4 x L 0 V H X 0 d X L 0 R p d m l k Z W Q l M j B D b 2 x 1 b W 4 x P C 9 J d G V t U G F 0 a D 4 8 L 0 l 0 Z W 1 M b 2 N h d G l v b j 4 8 U 3 R h Y m x l R W 5 0 c m l l c y A v P j w v S X R l b T 4 8 S X R l b T 4 8 S X R l b U x v Y 2 F 0 a W 9 u P j x J d G V t V H l w Z T 5 G b 3 J t d W x h P C 9 J d G V t V H l w Z T 4 8 S X R l b V B h d G g + U 2 V j d G l v b j E v R U d f T 0 N H V 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R d W V y e U d y b 3 V w S U Q i I F Z h b H V l P S J z N D Z m O T Y 1 Z D A t Z m Y 5 Y S 0 0 N 2 R h L T k x N j k t N W Q y M W Y 5 N 2 Y 2 Z T c 0 I i A v P j x F b n R y e S B U e X B l P S J M b 2 F k Z W R U b 0 F u Y W x 5 c 2 l z U 2 V y d m l j Z X M i I F Z h b H V l P S J s M C I g L z 4 8 R W 5 0 c n k g V H l w Z T 0 i R m l s b E x h c 3 R V c G R h d G V k I i B W Y W x 1 Z T 0 i Z D I w M j E t M D U t M j B U M D U 6 N T A 6 M z M u N D E w N j A z N F o i I C 8 + P E V u d H J 5 I F R 5 c G U 9 I k Z p b G x F c n J v c k N v Z G U i I F Z h b H V l P S J z V W 5 r b m 9 3 b i I g L z 4 8 R W 5 0 c n k g V H l w Z T 0 i Q W R k Z W R U b 0 R h d G F N b 2 R l b C I g V m F s d W U 9 I m w w I i A v P j w v U 3 R h Y m x l R W 5 0 c m l l c z 4 8 L 0 l 0 Z W 0 + P E l 0 Z W 0 + P E l 0 Z W 1 M b 2 N h d G l v b j 4 8 S X R l b V R 5 c G U + R m 9 y b X V s Y T w v S X R l b V R 5 c G U + P E l 0 Z W 1 Q Y X R o P l N l Y 3 R p b 2 4 x L 0 V H X 0 9 D R 1 R f T W l u Q 2 F w Y W N p d H k v U 2 9 1 c m N l P C 9 J d G V t U G F 0 a D 4 8 L 0 l 0 Z W 1 M b 2 N h d G l v b j 4 8 U 3 R h Y m x l R W 5 0 c m l l c y A v P j w v S X R l b T 4 8 S X R l b T 4 8 S X R l b U x v Y 2 F 0 a W 9 u P j x J d G V t V H l w Z T 5 G b 3 J t d W x h P C 9 J d G V t V H l w Z T 4 8 S X R l b V B h d G g + U 2 V j d G l v b j E v R U d f T 0 N H V F 9 N a W 5 D Y X B h Y 2 l 0 e S 9 V b n B p d m 9 0 Z W Q l M j B D b 2 x 1 b W 5 z P C 9 J d G V t U G F 0 a D 4 8 L 0 l 0 Z W 1 M b 2 N h d G l v b j 4 8 U 3 R h Y m x l R W 5 0 c m l l c y A v P j w v S X R l b T 4 8 S X R l b T 4 8 S X R l b U x v Y 2 F 0 a W 9 u P j x J d G V t V H l w Z T 5 G b 3 J t d W x h P C 9 J d G V t V H l w Z T 4 8 S X R l b V B h d G g + U 2 V j d G l v b j E v R U d f T 0 N H V F 9 N a W 5 D Y X B h Y 2 l 0 e S 9 S Z W 5 h b W V k J T I w Q 2 9 s d W 1 u c z w v S X R l b V B h d G g + P C 9 J d G V t T G 9 j Y X R p b 2 4 + P F N 0 Y W J s Z U V u d H J p Z X M g L z 4 8 L 0 l 0 Z W 0 + P E l 0 Z W 0 + P E l 0 Z W 1 M b 2 N h d G l v b j 4 8 S X R l b V R 5 c G U + R m 9 y b X V s Y T w v S X R l b V R 5 c G U + P E l 0 Z W 1 Q Y X R o P l N l Y 3 R p b 2 4 x L 0 V H X 0 9 D R 1 R f T W l u Q 2 F w Y W N p d H k v Q W R k Z W Q l M j B D d X N 0 b 2 0 8 L 0 l 0 Z W 1 Q Y X R o P j w v S X R l b U x v Y 2 F 0 a W 9 u P j x T d G F i b G V F b n R y a W V z I C 8 + P C 9 J d G V t P j x J d G V t P j x J d G V t T G 9 j Y X R p b 2 4 + P E l 0 Z W 1 U e X B l P k Z v c m 1 1 b G E 8 L 0 l 0 Z W 1 U e X B l P j x J d G V t U G F 0 a D 5 T Z W N 0 a W 9 u M S 9 F R 1 9 P Q 0 d U X 0 1 p b k N h c G F j a X R 5 L 1 J l b 3 J k Z X J l Z C U y M E N v b H V t b n M 8 L 0 l 0 Z W 1 Q Y X R o P j w v S X R l b U x v Y 2 F 0 a W 9 u P j x T d G F i b G V F b n R y a W V z I C 8 + P C 9 J d G V t P j x J d G V t P j x J d G V t T G 9 j Y X R p b 2 4 + P E l 0 Z W 1 U e X B l P k Z v c m 1 1 b G E 8 L 0 l 0 Z W 1 U e X B l P j x J d G V t U G F 0 a D 5 T Z W N 0 a W 9 u M S 9 F R 1 9 P Q 0 d U 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l F 1 Z X J 5 R 3 J v d X B J R C I g V m F s d W U 9 I n M 0 N m Y 5 N j V k M C 1 m Z j l h L T Q 3 Z G E t O T E 2 O S 0 1 Z D I x Z j k 3 Z j Z l N z Q i I C 8 + P E V u d H J 5 I F R 5 c G U 9 I k x v Y W R l Z F R v Q W 5 h b H l z a X N T Z X J 2 a W N l c y I g V m F s d W U 9 I m w w I i A v P j x F b n R y e S B U e X B l P S J G a W x s T G F z d F V w Z G F 0 Z W Q i I F Z h b H V l P S J k M j A y M S 0 w N S 0 y M F Q w N T o 1 M T o x M i 4 w M j E x O D Q y W i I g L z 4 8 R W 5 0 c n k g V H l w Z T 0 i R m l s b E V y c m 9 y Q 2 9 k Z S I g V m F s d W U 9 I n N V b m t u b 3 d u I i A v P j x F b n R y e S B U e X B l P S J B Z G R l Z F R v R G F 0 Y U 1 v Z G V s I i B W Y W x 1 Z T 0 i b D A i I C 8 + P C 9 T d G F i b G V F b n R y a W V z P j w v S X R l b T 4 8 S X R l b T 4 8 S X R l b U x v Y 2 F 0 a W 9 u P j x J d G V t V H l w Z T 5 G b 3 J t d W x h P C 9 J d G V t V H l w Z T 4 8 S X R l b V B h d G g + U 2 V j d G l v b j E v R U d f T 0 N H V F 9 N Y X h D Y X B h Y 2 l 0 e S 9 T b 3 V y Y 2 U 8 L 0 l 0 Z W 1 Q Y X R o P j w v S X R l b U x v Y 2 F 0 a W 9 u P j x T d G F i b G V F b n R y a W V z I C 8 + P C 9 J d G V t P j x J d G V t P j x J d G V t T G 9 j Y X R p b 2 4 + P E l 0 Z W 1 U e X B l P k Z v c m 1 1 b G E 8 L 0 l 0 Z W 1 U e X B l P j x J d G V t U G F 0 a D 5 T Z W N 0 a W 9 u M S 9 F R 1 9 P Q 0 d U X 0 1 h e E N h c G F j a X R 5 L 1 V u c G l 2 b 3 R l Z C U y M E N v b H V t b n M 8 L 0 l 0 Z W 1 Q Y X R o P j w v S X R l b U x v Y 2 F 0 a W 9 u P j x T d G F i b G V F b n R y a W V z I C 8 + P C 9 J d G V t P j x J d G V t P j x J d G V t T G 9 j Y X R p b 2 4 + P E l 0 Z W 1 U e X B l P k Z v c m 1 1 b G E 8 L 0 l 0 Z W 1 U e X B l P j x J d G V t U G F 0 a D 5 T Z W N 0 a W 9 u M S 9 F R 1 9 P Q 0 d U X 0 1 h e E N h c G F j a X R 5 L 1 J l b m F t Z W Q l M j B D b 2 x 1 b W 5 z P C 9 J d G V t U G F 0 a D 4 8 L 0 l 0 Z W 1 M b 2 N h d G l v b j 4 8 U 3 R h Y m x l R W 5 0 c m l l c y A v P j w v S X R l b T 4 8 S X R l b T 4 8 S X R l b U x v Y 2 F 0 a W 9 u P j x J d G V t V H l w Z T 5 G b 3 J t d W x h P C 9 J d G V t V H l w Z T 4 8 S X R l b V B h d G g + U 2 V j d G l v b j E v R U d f T 0 N H V F 9 N Y X h D Y X B h Y 2 l 0 e S 9 B Z G R l Z C U y M E N 1 c 3 R v b T w v S X R l b V B h d G g + P C 9 J d G V t T G 9 j Y X R p b 2 4 + P F N 0 Y W J s Z U V u d H J p Z X M g L z 4 8 L 0 l 0 Z W 0 + P E l 0 Z W 0 + P E l 0 Z W 1 M b 2 N h d G l v b j 4 8 S X R l b V R 5 c G U + R m 9 y b X V s Y T w v S X R l b V R 5 c G U + P E l 0 Z W 1 Q Y X R o P l N l Y 3 R p b 2 4 x L 0 V H X 0 9 D R 1 R f T W F 4 Q 2 F w Y W N p d H k v U m V v c m R l c m V k J T I w Q 2 9 s d W 1 u c z w v S X R l b V B h d G g + P C 9 J d G V t T G 9 j Y X R p b 2 4 + P F N 0 Y W J s Z U V u d H J p Z X M g L z 4 8 L 0 l 0 Z W 0 + P E l 0 Z W 0 + P E l 0 Z W 1 M b 2 N h d G l v b j 4 8 S X R l b V R 5 c G U + R m 9 y b X V s Y T w v S X R l b V R 5 c G U + P E l 0 Z W 1 Q Y X R o P l N l Y 3 R p b 2 4 x L 0 V H X 0 9 D R 1 Q 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j b 3 Z l c n l U Y X J n Z X R S b 3 c i I F Z h b H V l P S J s M S I g L z 4 8 R W 5 0 c n k g V H l w Z T 0 i U m V j b 3 Z l c n l U Y X J n Z X R D b 2 x 1 b W 4 i I F Z h b H V l P S J s M S I g L z 4 8 R W 5 0 c n k g V H l w Z T 0 i U m V j b 3 Z l c n l U Y X J n Z X R T a G V l d C I g V m F s d W U 9 I n N T a G V l d D Q i I C 8 + P E V u d H J 5 I F R 5 c G U 9 I l J l b G F 0 a W 9 u c 2 h p c E l u Z m 9 D b 2 5 0 Y W l u Z X I i I F Z h b H V l P S J z e y Z x d W 9 0 O 2 N v b H V t b k N v d W 5 0 J n F 1 b 3 Q 7 O j U s J n F 1 b 3 Q 7 a 2 V 5 Q 2 9 s d W 1 u T m F t Z X M m c X V v d D s 6 W 1 0 s J n F 1 b 3 Q 7 c X V l c n l S Z W x h d G l v b n N o a X B z J n F 1 b 3 Q 7 O l t d L C Z x d W 9 0 O 2 N v b H V t b k l k Z W 5 0 a X R p Z X M m c X V v d D s 6 W y Z x d W 9 0 O 1 N l Y 3 R p b 2 4 x L 0 V H X 0 N D R 1 R f T W F 4 Q 2 F w Y W N p d H k v Q W R k Z W Q g Q 3 V z d G 9 t L n t F b m V y Z 3 l D b 2 5 2 V G V j a C w z f S Z x d W 9 0 O y w m c X V v d D t T Z W N 0 a W 9 u M S 9 F R 1 9 D Q 0 d U X 0 1 h e E N h c G F j a X R 5 L 1 V u c G l 2 b 3 R l Z C B D b 2 x 1 b W 5 z L n t T d W J H Z W 9 n c m F w a H k y L D B 9 J n F 1 b 3 Q 7 L C Z x d W 9 0 O 1 N l Y 3 R p b 2 4 x L 0 V H X 0 N D R 1 R f T W F 4 Q 2 F w Y W N p d H k v V W 5 w a X Z v d G V k I E N v b H V t b n M u e 0 F 0 d H J p Y n V 0 Z S w x f S Z x d W 9 0 O y w m c X V v d D t T Z W N 0 a W 9 u M S 9 F R 1 9 D Q 0 d U X 0 1 h e E N h c G F j a X R 5 L 1 V u c G l 2 b 3 R l Z C B D b 2 x 1 b W 5 z L n t W Y W x 1 Z S w y f S Z x d W 9 0 O y w m c X V v d D t T Z W N 0 a W 9 u M S 9 F R 1 9 D Q 0 d U X 0 1 p b k N h c G F j a X R 5 L 1 V u c G l 2 b 3 R l Z C B D b 2 x 1 b W 5 z L n t W Y W x 1 Z S w y f S Z x d W 9 0 O 1 0 s J n F 1 b 3 Q 7 Q 2 9 s d W 1 u Q 2 9 1 b n Q m c X V v d D s 6 N S w m c X V v d D t L Z X l D b 2 x 1 b W 5 O Y W 1 l c y Z x d W 9 0 O z p b X S w m c X V v d D t D b 2 x 1 b W 5 J Z G V u d G l 0 a W V z J n F 1 b 3 Q 7 O l s m c X V v d D t T Z W N 0 a W 9 u M S 9 F R 1 9 D Q 0 d U X 0 1 h e E N h c G F j a X R 5 L 0 F k Z G V k I E N 1 c 3 R v b S 5 7 R W 5 l c m d 5 Q 2 9 u d l R l Y 2 g s M 3 0 m c X V v d D s s J n F 1 b 3 Q 7 U 2 V j d G l v b j E v R U d f Q 0 N H V F 9 N Y X h D Y X B h Y 2 l 0 e S 9 V b n B p d m 9 0 Z W Q g Q 2 9 s d W 1 u c y 5 7 U 3 V i R 2 V v Z 3 J h c G h 5 M i w w f S Z x d W 9 0 O y w m c X V v d D t T Z W N 0 a W 9 u M S 9 F R 1 9 D Q 0 d U X 0 1 h e E N h c G F j a X R 5 L 1 V u c G l 2 b 3 R l Z C B D b 2 x 1 b W 5 z L n t B d H R y a W J 1 d G U s M X 0 m c X V v d D s s J n F 1 b 3 Q 7 U 2 V j d G l v b j E v R U d f Q 0 N H V F 9 N Y X h D Y X B h Y 2 l 0 e S 9 V b n B p d m 9 0 Z W Q g Q 2 9 s d W 1 u c y 5 7 V m F s d W U s M n 0 m c X V v d D s s J n F 1 b 3 Q 7 U 2 V j d G l v b j E v R U d f Q 0 N H V F 9 N a W 5 D Y X B h Y 2 l 0 e S 9 V b n B p d m 9 0 Z W Q g Q 2 9 s d W 1 u c y 5 7 V m F s d W U s M n 0 m c X V v d D t d L C Z x d W 9 0 O 1 J l b G F 0 a W 9 u c 2 h p c E l u Z m 8 m c X V v d D s 6 W 1 1 9 I i A v P j x F b n R y e S B U e X B l P S J G a W x s U 3 R h d H V z I i B W Y W x 1 Z T 0 i c 0 N v b X B s Z X R l I i A v P j x F b n R y e S B U e X B l P S J R d W V y e U d y b 3 V w S U Q i I F Z h b H V l P S J z N D Z m O T Y 1 Z D A t Z m Y 5 Y S 0 0 N 2 R h L T k x N j k t N W Q y M W Y 5 N 2 Y 2 Z T c 0 I i A v P j x F b n R y e S B U e X B l P S J M b 2 F k Z W R U b 0 F u Y W x 5 c 2 l z U 2 V y d m l j Z X M i I F Z h b H V l P S J s M C I g L z 4 8 R W 5 0 c n k g V H l w Z T 0 i R m l s b E x h c 3 R V c G R h d G V k I i B W Y W x 1 Z T 0 i Z D I w M j E t M D U t M j B U M D U 6 N T I 6 M T A u M T E 3 M D k 3 N l o i I C 8 + P E V u d H J 5 I F R 5 c G U 9 I k Z p b G x F c n J v c k N v Z G U i I F Z h b H V l P S J z V W 5 r b m 9 3 b i I g L z 4 8 R W 5 0 c n k g V H l w Z T 0 i Q W R k Z W R U b 0 R h d G F N b 2 R l b C I g V m F s d W U 9 I m w w I i A v P j w v U 3 R h Y m x l R W 5 0 c m l l c z 4 8 L 0 l 0 Z W 0 + P E l 0 Z W 0 + P E l 0 Z W 1 M b 2 N h d G l v b j 4 8 S X R l b V R 5 c G U + R m 9 y b X V s Y T w v S X R l b V R 5 c G U + P E l 0 Z W 1 Q Y X R o P l N l Y 3 R p b 2 4 x L 0 V H X 0 9 D R 1 Q v U 2 9 1 c m N l P C 9 J d G V t U G F 0 a D 4 8 L 0 l 0 Z W 1 M b 2 N h d G l v b j 4 8 U 3 R h Y m x l R W 5 0 c m l l c y A v P j w v S X R l b T 4 8 S X R l b T 4 8 S X R l b U x v Y 2 F 0 a W 9 u P j x J d G V t V H l w Z T 5 G b 3 J t d W x h P C 9 J d G V t V H l w Z T 4 8 S X R l b V B h d G g + U 2 V j d G l v b j E v R U d f T 0 N H V C 9 F e H B h b m R l Z C U y M E V H X 0 9 D R 1 R f T W l u Q 2 F w Y W N p d H k 8 L 0 l 0 Z W 1 Q Y X R o P j w v S X R l b U x v Y 2 F 0 a W 9 u P j x T d G F i b G V F b n R y a W V z I C 8 + P C 9 J d G V t P j x J d G V t P j x J d G V t T G 9 j Y X R p b 2 4 + P E l 0 Z W 1 U e X B l P k Z v c m 1 1 b G E 8 L 0 l 0 Z W 1 U e X B l P j x J d G V t U G F 0 a D 5 T Z W N 0 a W 9 u M S 9 S R l 9 N V F B B 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S 0 w N i 0 x M V Q w N D o z N D o w O C 4 5 M j I 0 O D Q 5 W i I g L z 4 8 R W 5 0 c n k g V H l w Z T 0 i R m l s b F N 0 Y X R 1 c y I g V m F s d W U 9 I n N D b 2 1 w b G V 0 Z S I g L z 4 8 L 1 N 0 Y W J s Z U V u d H J p Z X M + P C 9 J d G V t P j x J d G V t P j x J d G V t T G 9 j Y X R p b 2 4 + P E l 0 Z W 1 U e X B l P k Z v c m 1 1 b G E 8 L 0 l 0 Z W 1 U e X B l P j x J d G V t U G F 0 a D 5 T Z W N 0 a W 9 u M S 9 S R l 9 N V F B B L 1 N v d X J j Z T w v S X R l b V B h d G g + P C 9 J d G V t T G 9 j Y X R p b 2 4 + P F N 0 Y W J s Z U V u d H J p Z X M g L z 4 8 L 0 l 0 Z W 0 + P E l 0 Z W 0 + P E l 0 Z W 1 M b 2 N h d G l v b j 4 8 S X R l b V R 5 c G U + R m 9 y b X V s Y T w v S X R l b V R 5 c G U + P E l 0 Z W 1 Q Y X R o P l N l Y 3 R p b 2 4 x L 0 V D V F 9 D Y X B B Z G R C b 3 V u Z 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j b 3 Z l c n l U Y X J n Z X R S b 3 c i I F Z h b H V l P S J s M S I g L z 4 8 R W 5 0 c n k g V H l w Z T 0 i U m V j b 3 Z l c n l U Y X J n Z X R D b 2 x 1 b W 4 i I F Z h b H V l P S J s M S I g L z 4 8 R W 5 0 c n k g V H l w Z T 0 i U m V j b 3 Z l c n l U Y X J n Z X R T a G V l d C I g V m F s d W U 9 I n N T a G V l d D M i I C 8 + P E V u d H J 5 I F R 5 c G U 9 I l F 1 Z X J 5 R 3 J v d X B J R C I g V m F s d W U 9 I n M 5 Y z U 3 N T U z M C 0 z O G Q 3 L T Q w Y z Q t Y j A 0 Z S 0 1 O D g y Y W Y 0 O D d m N m U i I C 8 + P E V u d H J 5 I F R 5 c G U 9 I l F 1 Z X J 5 S U Q i I F Z h b H V l P S J z O D k 1 Y W Y 2 N D I t O W Y w M C 0 0 M j I 0 L T k 2 Z m U t Z T Y 0 Z D I 3 Y 2 V i Y 2 Q y I i A v P j x F b n R y e S B U e X B l P S J G a W x s Q 2 9 s d W 1 u T m F t Z X M i I F Z h b H V l P S J z W y Z x d W 9 0 O 0 V u Z X J n e U N v b n Z U Z W N o J n F 1 b 3 Q 7 L C Z x d W 9 0 O 0 1 v Z G V s R 2 V v Z 3 J h c G h 5 J n F 1 b 3 Q 7 L C Z x d W 9 0 O 1 N 1 Y k d l b 2 d y Y X B o e T E m c X V v d D s s J n F 1 b 3 Q 7 U 3 V i R 2 V v Z 3 J h c G h 5 M i Z x d W 9 0 O y w m c X V v d D t Z Z W F y J n F 1 b 3 Q 7 L C Z x d W 9 0 O 0 1 h e E N h c G F j a X R 5 J n F 1 b 3 Q 7 L C Z x d W 9 0 O 0 1 p b k N h c G F j a X R 5 J n F 1 b 3 Q 7 X S I g L z 4 8 R W 5 0 c n k g V H l w Z T 0 i R m l s b E x h c 3 R V c G R h d G V k I i B W Y W x 1 Z T 0 i Z D I w M j E t M T E t M T Z U M D c 6 N T M 6 M D g u N D Q 3 M T g w M l o i I C 8 + P E V u d H J 5 I F R 5 c G U 9 I k Z p b G x D b 2 x 1 b W 5 U e X B l c y I g V m F s d W U 9 I n N B Q U F B Q U F B Q U F B P T 0 i I C 8 + P E V u d H J 5 I F R 5 c G U 9 I k Z p b G x F c n J v c k N v d W 5 0 I i B W Y W x 1 Z T 0 i b D A i I C 8 + P E V u d H J 5 I F R 5 c G U 9 I k Z p b G x U Y X J n Z X Q i I F Z h b H V l P S J z R U N U X 0 N h c E F k Z E J v d W 5 k c y I g L z 4 8 R W 5 0 c n k g V H l w Z T 0 i R m l s b E V y c m 9 y Q 2 9 k Z S I g V m F s d W U 9 I n N V b m t u b 3 d u I i A v P j x F b n R y e S B U e X B l P S J G a W x s U 3 R h d H V z I i B W Y W x 1 Z T 0 i c 0 N v b X B s Z X R l I i A v P j x F b n R y e S B U e X B l P S J G a W x s Q 2 9 1 b n Q i I F Z h b H V l P S J s M j U z M C I g L z 4 8 R W 5 0 c n k g V H l w Z T 0 i U m V s Y X R p b 2 5 z a G l w S W 5 m b 0 N v b n R h a W 5 l c i I g V m F s d W U 9 I n N 7 J n F 1 b 3 Q 7 Y 2 9 s d W 1 u Q 2 9 1 b n Q m c X V v d D s 6 N y w m c X V v d D t r Z X l D b 2 x 1 b W 5 O Y W 1 l c y Z x d W 9 0 O z p b X S w m c X V v d D t x d W V y e V J l b G F 0 a W 9 u c 2 h p c H M m c X V v d D s 6 W 1 0 s J n F 1 b 3 Q 7 Y 2 9 s d W 1 u S W R l b n R p d G l l c y Z x d W 9 0 O z p b J n F 1 b 3 Q 7 U 2 V j d G l v b j E v R U N U X 0 N h c E F k Z E J v d W 5 k c y 9 T b 3 V y Y 2 U u e 0 V u Z X J n e U N v b n Z U Z W N o L D B 9 J n F 1 b 3 Q 7 L C Z x d W 9 0 O 1 N l Y 3 R p b 2 4 x L 0 V D V F 9 D Y X B B Z G R C b 3 V u Z H M v U 2 9 1 c m N l L n t N b 2 R l b E d l b 2 d y Y X B o e S w x f S Z x d W 9 0 O y w m c X V v d D t T Z W N 0 a W 9 u M S 9 F Q 1 R f Q 2 F w Q W R k Q m 9 1 b m R z L 1 N v d X J j Z S 5 7 U 3 V i R 2 V v Z 3 J h c G h 5 M S w y f S Z x d W 9 0 O y w m c X V v d D t T Z W N 0 a W 9 u M S 9 F Q 1 R f Q 2 F w Q W R k Q m 9 1 b m R z L 1 N v d X J j Z S 5 7 U 3 V i R 2 V v Z 3 J h c G h 5 M i w z f S Z x d W 9 0 O y w m c X V v d D t T Z W N 0 a W 9 u M S 9 F Q 1 R f Q 2 F w Q W R k Q m 9 1 b m R z L 1 N v d X J j Z S 5 7 W W V h c i w 0 f S Z x d W 9 0 O y w m c X V v d D t T Z W N 0 a W 9 u M S 9 F Q 1 R f Q 2 F w Q W R k Q m 9 1 b m R z L 1 N v d X J j Z S 5 7 T W F 4 Q 2 F w Y W N p d H k s N X 0 m c X V v d D s s J n F 1 b 3 Q 7 U 2 V j d G l v b j E v R U N U X 0 N h c E F k Z E J v d W 5 k c y 9 T b 3 V y Y 2 U u e 0 1 p b k N h c G F j a X R 5 L D Z 9 J n F 1 b 3 Q 7 X S w m c X V v d D t D b 2 x 1 b W 5 D b 3 V u d C Z x d W 9 0 O z o 3 L C Z x d W 9 0 O 0 t l e U N v b H V t b k 5 h b W V z J n F 1 b 3 Q 7 O l t d L C Z x d W 9 0 O 0 N v b H V t b k l k Z W 5 0 a X R p Z X M m c X V v d D s 6 W y Z x d W 9 0 O 1 N l Y 3 R p b 2 4 x L 0 V D V F 9 D Y X B B Z G R C b 3 V u Z H M v U 2 9 1 c m N l L n t F b m V y Z 3 l D b 2 5 2 V G V j a C w w f S Z x d W 9 0 O y w m c X V v d D t T Z W N 0 a W 9 u M S 9 F Q 1 R f Q 2 F w Q W R k Q m 9 1 b m R z L 1 N v d X J j Z S 5 7 T W 9 k Z W x H Z W 9 n c m F w a H k s M X 0 m c X V v d D s s J n F 1 b 3 Q 7 U 2 V j d G l v b j E v R U N U X 0 N h c E F k Z E J v d W 5 k c y 9 T b 3 V y Y 2 U u e 1 N 1 Y k d l b 2 d y Y X B o e T E s M n 0 m c X V v d D s s J n F 1 b 3 Q 7 U 2 V j d G l v b j E v R U N U X 0 N h c E F k Z E J v d W 5 k c y 9 T b 3 V y Y 2 U u e 1 N 1 Y k d l b 2 d y Y X B o e T I s M 3 0 m c X V v d D s s J n F 1 b 3 Q 7 U 2 V j d G l v b j E v R U N U X 0 N h c E F k Z E J v d W 5 k c y 9 T b 3 V y Y 2 U u e 1 l l Y X I s N H 0 m c X V v d D s s J n F 1 b 3 Q 7 U 2 V j d G l v b j E v R U N U X 0 N h c E F k Z E J v d W 5 k c y 9 T b 3 V y Y 2 U u e 0 1 h e E N h c G F j a X R 5 L D V 9 J n F 1 b 3 Q 7 L C Z x d W 9 0 O 1 N l Y 3 R p b 2 4 x L 0 V D V F 9 D Y X B B Z G R C b 3 V u Z H M v U 2 9 1 c m N l L n t N a W 5 D Y X B h Y 2 l 0 e S w 2 f S Z x d W 9 0 O 1 0 s J n F 1 b 3 Q 7 U m V s Y X R p b 2 5 z a G l w S W 5 m b y Z x d W 9 0 O z p b X X 0 i I C 8 + P E V u d H J 5 I F R 5 c G U 9 I k F k Z G V k V G 9 E Y X R h T W 9 k Z W w i I F Z h b H V l P S J s M C I g L z 4 8 L 1 N 0 Y W J s Z U V u d H J p Z X M + P C 9 J d G V t P j x J d G V t P j x J d G V t T G 9 j Y X R p b 2 4 + P E l 0 Z W 1 U e X B l P k Z v c m 1 1 b G E 8 L 0 l 0 Z W 1 U e X B l P j x J d G V t U G F 0 a D 5 T Z W N 0 a W 9 u M S 9 F Q 1 R f Q 2 F w Q W R k Q m 9 1 b m R z L 1 N v d X J j Z T w v S X R l b V B h d G g + P C 9 J d G V t T G 9 j Y X R p b 2 4 + P F N 0 Y W J s Z U V u d H J p Z X M g L z 4 8 L 0 l 0 Z W 0 + P E l 0 Z W 0 + P E l 0 Z W 1 M b 2 N h d G l v b j 4 8 S X R l b V R 5 c G U + R m 9 y b X V s Y T w v S X R l b V R 5 c G U + P E l 0 Z W 1 Q Y X R o P l N l Y 3 R p b 2 4 x L 0 V H X 0 J J T 0 1 B U 1 N 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Z p b G x l Z E N v b X B s Z X R l U m V z d W x 0 V G 9 X b 3 J r c 2 h l Z X Q i I F Z h b H V l P S J s M C I g L z 4 8 R W 5 0 c n k g V H l w Z T 0 i R m l s b F N 0 Y X R 1 c y I g V m F s d W U 9 I n N D b 2 1 w b G V 0 Z S I g L z 4 8 R W 5 0 c n k g V H l w Z T 0 i R m l s b E x h c 3 R V c G R h d G V k I i B W Y W x 1 Z T 0 i Z D I w M j E t M D U t M j V U M T U 6 M T Y 6 M T Q u N D U 0 M z g 5 O F o i I C 8 + P E V u d H J 5 I F R 5 c G U 9 I k Z p b G x F c n J v c k N v Z G U i I F Z h b H V l P S J z V W 5 r b m 9 3 b i I g L z 4 8 R W 5 0 c n k g V H l w Z T 0 i Q W R k Z W R U b 0 R h d G F N b 2 R l b C I g V m F s d W U 9 I m w w I i A v P j x F b n R y e S B U e X B l P S J R d W V y e U d y b 3 V w S U Q i I F Z h b H V l P S J z M 2 I w M 2 Z j Y z Y t Y 2 M y N y 0 0 M T l m L T k w Y j I t M m I 1 M 2 I 4 M D B l N m E 4 I i A v P j w v U 3 R h Y m x l R W 5 0 c m l l c z 4 8 L 0 l 0 Z W 0 + P E l 0 Z W 0 + P E l 0 Z W 1 M b 2 N h d G l v b j 4 8 S X R l b V R 5 c G U + R m 9 y b X V s Y T w v S X R l b V R 5 c G U + P E l 0 Z W 1 Q Y X R o P l N l Y 3 R p b 2 4 x L 0 V H X 0 J J T 0 1 B U 1 N f T W l u Q 2 F w Y W N p d H k v U 2 9 1 c m N l P C 9 J d G V t U G F 0 a D 4 8 L 0 l 0 Z W 1 M b 2 N h d G l v b j 4 8 U 3 R h Y m x l R W 5 0 c m l l c y A v P j w v S X R l b T 4 8 S X R l b T 4 8 S X R l b U x v Y 2 F 0 a W 9 u P j x J d G V t V H l w Z T 5 G b 3 J t d W x h P C 9 J d G V t V H l w Z T 4 8 S X R l b V B h d G g + U 2 V j d G l v b j E v R U d f Q k l P T U F T U 1 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y N V Q x N T o x N j o 1 N C 4 z N z Y x N j E y W i I g L z 4 8 R W 5 0 c n k g V H l w Z T 0 i R m l s b E V y c m 9 y Q 2 9 k Z S I g V m F s d W U 9 I n N V b m t u b 3 d u I i A v P j x F b n R y e S B U e X B l P S J B Z G R l Z F R v R G F 0 Y U 1 v Z G V s I i B W Y W x 1 Z T 0 i b D A i I C 8 + P E V u d H J 5 I F R 5 c G U 9 I l F 1 Z X J 5 R 3 J v d X B J R C I g V m F s d W U 9 I n M z Y j A z Z m N j N i 1 j Y z I 3 L T Q x O W Y t O T B i M i 0 y Y j U z Y j g w M G U 2 Y T g i I C 8 + P C 9 T d G F i b G V F b n R y a W V z P j w v S X R l b T 4 8 S X R l b T 4 8 S X R l b U x v Y 2 F 0 a W 9 u P j x J d G V t V H l w Z T 5 G b 3 J t d W x h P C 9 J d G V t V H l w Z T 4 8 S X R l b V B h d G g + U 2 V j d G l v b j E v R U d f Q k l P T U F T U 1 9 N Y X h D Y X B h Y 2 l 0 e S 9 T b 3 V y Y 2 U 8 L 0 l 0 Z W 1 Q Y X R o P j w v S X R l b U x v Y 2 F 0 a W 9 u P j x T d G F i b G V F b n R y a W V z I C 8 + P C 9 J d G V t P j x J d G V t P j x J d G V t T G 9 j Y X R p b 2 4 + P E l 0 Z W 1 U e X B l P k Z v c m 1 1 b G E 8 L 0 l 0 Z W 1 U e X B l P j x J d G V t U G F 0 a D 5 T Z W N 0 a W 9 u M S 9 F R 1 9 C S U 9 N Q V N T X 0 1 p b k N h c G F j a X R 5 L 1 V u c G l 2 b 3 R l Z C U y M E N v b H V t b n M 8 L 0 l 0 Z W 1 Q Y X R o P j w v S X R l b U x v Y 2 F 0 a W 9 u P j x T d G F i b G V F b n R y a W V z I C 8 + P C 9 J d G V t P j x J d G V t P j x J d G V t T G 9 j Y X R p b 2 4 + P E l 0 Z W 1 U e X B l P k Z v c m 1 1 b G E 8 L 0 l 0 Z W 1 U e X B l P j x J d G V t U G F 0 a D 5 T Z W N 0 a W 9 u M S 9 F R 1 9 C S U 9 N Q V N T X 0 1 p b k N h c G F j a X R 5 L 1 J l b m F t Z W Q l M j B D b 2 x 1 b W 5 z P C 9 J d G V t U G F 0 a D 4 8 L 0 l 0 Z W 1 M b 2 N h d G l v b j 4 8 U 3 R h Y m x l R W 5 0 c m l l c y A v P j w v S X R l b T 4 8 S X R l b T 4 8 S X R l b U x v Y 2 F 0 a W 9 u P j x J d G V t V H l w Z T 5 G b 3 J t d W x h P C 9 J d G V t V H l w Z T 4 8 S X R l b V B h d G g + U 2 V j d G l v b j E v R U d f Q k l P T U F T U 1 9 N a W 5 D Y X B h Y 2 l 0 e S 9 B Z G R l Z C U y M E N 1 c 3 R v b T w v S X R l b V B h d G g + P C 9 J d G V t T G 9 j Y X R p b 2 4 + P F N 0 Y W J s Z U V u d H J p Z X M g L z 4 8 L 0 l 0 Z W 0 + P E l 0 Z W 0 + P E l 0 Z W 1 M b 2 N h d G l v b j 4 8 S X R l b V R 5 c G U + R m 9 y b X V s Y T w v S X R l b V R 5 c G U + P E l 0 Z W 1 Q Y X R o P l N l Y 3 R p b 2 4 x L 0 V H X 0 J J T 0 1 B U 1 N f T W l u Q 2 F w Y W N p d H k v U m V v c m R l c m V k J T I w Q 2 9 s d W 1 u c z w v S X R l b V B h d G g + P C 9 J d G V t T G 9 j Y X R p b 2 4 + P F N 0 Y W J s Z U V u d H J p Z X M g L z 4 8 L 0 l 0 Z W 0 + P E l 0 Z W 0 + P E l 0 Z W 1 M b 2 N h d G l v b j 4 8 S X R l b V R 5 c G U + R m 9 y b X V s Y T w v S X R l b V R 5 c G U + P E l 0 Z W 1 Q Y X R o P l N l Y 3 R p b 2 4 x L 0 V H X 0 J J T 0 1 B U 1 N f T W F 4 Q 2 F w Y W N p d H k v V W 5 w a X Z v d G V k J T I w Q 2 9 s d W 1 u c z w v S X R l b V B h d G g + P C 9 J d G V t T G 9 j Y X R p b 2 4 + P F N 0 Y W J s Z U V u d H J p Z X M g L z 4 8 L 0 l 0 Z W 0 + P E l 0 Z W 0 + P E l 0 Z W 1 M b 2 N h d G l v b j 4 8 S X R l b V R 5 c G U + R m 9 y b X V s Y T w v S X R l b V R 5 c G U + P E l 0 Z W 1 Q Y X R o P l N l Y 3 R p b 2 4 x L 0 V H X 0 J J T 0 1 B U 1 N f T W F 4 Q 2 F w Y W N p d H k v U m V u Y W 1 l Z C U y M E N v b H V t b n M 8 L 0 l 0 Z W 1 Q Y X R o P j w v S X R l b U x v Y 2 F 0 a W 9 u P j x T d G F i b G V F b n R y a W V z I C 8 + P C 9 J d G V t P j x J d G V t P j x J d G V t T G 9 j Y X R p b 2 4 + P E l 0 Z W 1 U e X B l P k Z v c m 1 1 b G E 8 L 0 l 0 Z W 1 U e X B l P j x J d G V t U G F 0 a D 5 T Z W N 0 a W 9 u M S 9 F R 1 9 C S U 9 N Q V N T X 0 1 h e E N h c G F j a X R 5 L 0 F k Z G V k J T I w Q 3 V z d G 9 t P C 9 J d G V t U G F 0 a D 4 8 L 0 l 0 Z W 1 M b 2 N h d G l v b j 4 8 U 3 R h Y m x l R W 5 0 c m l l c y A v P j w v S X R l b T 4 8 S X R l b T 4 8 S X R l b U x v Y 2 F 0 a W 9 u P j x J d G V t V H l w Z T 5 G b 3 J t d W x h P C 9 J d G V t V H l w Z T 4 8 S X R l b V B h d G g + U 2 V j d G l v b j E v R U d f Q k l P T U F T U 1 9 N Y X h D Y X B h Y 2 l 0 e S 9 S Z W 9 y Z G V y Z W Q l M j B D b 2 x 1 b W 5 z P C 9 J d G V t U G F 0 a D 4 8 L 0 l 0 Z W 1 M b 2 N h d G l v b j 4 8 U 3 R h Y m x l R W 5 0 c m l l c y A v P j w v S X R l b T 4 8 S X R l b T 4 8 S X R l b U x v Y 2 F 0 a W 9 u P j x J d G V t V H l w Z T 5 G b 3 J t d W x h P C 9 J d G V t V H l w Z T 4 8 S X R l b V B h d G g + U 2 V j d G l v b j E v R U d f Q k l P T U F T U 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U X V l c n l H c m 9 1 c E l E I i B W Y W x 1 Z T 0 i c z N i M D N m Y 2 M 2 L W N j M j c t N D E 5 Z i 0 5 M G I y L T J i N T N i O D A w Z T Z h O C I g L z 4 8 R W 5 0 c n k g V H l w Z T 0 i T G 9 h Z G V k V G 9 B b m F s e X N p c 1 N l c n Z p Y 2 V z I i B W Y W x 1 Z T 0 i b D A i I C 8 + P E V u d H J 5 I F R 5 c G U 9 I k Z p b G x M Y X N 0 V X B k Y X R l Z C I g V m F s d W U 9 I m Q y M D I x L T A 1 L T I 1 V D E 1 O j I 5 O j U 0 L j c 1 O T U 3 M T N a I i A v P j w v U 3 R h Y m x l R W 5 0 c m l l c z 4 8 L 0 l 0 Z W 0 + P E l 0 Z W 0 + P E l 0 Z W 1 M b 2 N h d G l v b j 4 8 S X R l b V R 5 c G U + R m 9 y b X V s Y T w v S X R l b V R 5 c G U + P E l 0 Z W 1 Q Y X R o P l N l Y 3 R p b 2 4 x L 0 V H X 0 J J T 0 1 B U 1 M v U 2 9 1 c m N l P C 9 J d G V t U G F 0 a D 4 8 L 0 l 0 Z W 1 M b 2 N h d G l v b j 4 8 U 3 R h Y m x l R W 5 0 c m l l c y A v P j w v S X R l b T 4 8 S X R l b T 4 8 S X R l b U x v Y 2 F 0 a W 9 u P j x J d G V t V H l w Z T 5 G b 3 J t d W x h P C 9 J d G V t V H l w Z T 4 8 S X R l b V B h d G g + U 2 V j d G l v b j E v R U d f Q k l P T U F T U y 9 F e H B h b m R l Z C U y M E V H X 0 J J T 0 1 B U 1 N f T W F 4 Q 2 F w Y W N p d H k 8 L 0 l 0 Z W 1 Q Y X R o P j w v S X R l b U x v Y 2 F 0 a W 9 u P j x T d G F i b G V F b n R y a W V z I C 8 + P C 9 J d G V t P j x J d G V t P j x J d G V t T G 9 j Y X R p b 2 4 + P E l 0 Z W 1 U e X B l P k Z v c m 1 1 b G E 8 L 0 l 0 Z W 1 U e X B l P j x J d G V t U G F 0 a D 5 T Z W N 0 a W 9 u M S 9 F R 1 9 T S 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y N V Q x N T o y M T o 0 O C 4 5 O D Y 0 M D E 0 W i I g L z 4 8 R W 5 0 c n k g V H l w Z T 0 i R m l s b E V y c m 9 y Q 2 9 k Z S I g V m F s d W U 9 I n N V b m t u b 3 d u I i A v P j x F b n R y e S B U e X B l P S J B Z G R l Z F R v R G F 0 Y U 1 v Z G V s I i B W Y W x 1 Z T 0 i b D A i I C 8 + P E V u d H J 5 I F R 5 c G U 9 I l F 1 Z X J 5 R 3 J v d X B J R C I g V m F s d W U 9 I n N k N z E 3 N W U z Z C 1 m Z j N h L T Q x N j g t Y T g 4 M i 1 j Z j g 5 N T E 5 O W R k M 2 U i I C 8 + P E V u d H J 5 I F R 5 c G U 9 I k x v Y W R l Z F R v Q W 5 h b H l z a X N T Z X J 2 a W N l c y I g V m F s d W U 9 I m w w I i A v P j w v U 3 R h Y m x l R W 5 0 c m l l c z 4 8 L 0 l 0 Z W 0 + P E l 0 Z W 0 + P E l 0 Z W 1 M b 2 N h d G l v b j 4 8 S X R l b V R 5 c G U + R m 9 y b X V s Y T w v S X R l b V R 5 c G U + P E l 0 Z W 1 Q Y X R o P l N l Y 3 R p b 2 4 x L 0 V H X 1 N I X 0 1 p b k N h c G F j a X R 5 L 1 N v d X J j Z T w v S X R l b V B h d G g + P C 9 J d G V t T G 9 j Y X R p b 2 4 + P F N 0 Y W J s Z U V u d H J p Z X M g L z 4 8 L 0 l 0 Z W 0 + P E l 0 Z W 0 + P E l 0 Z W 1 M b 2 N h d G l v b j 4 8 S X R l b V R 5 c G U + R m 9 y b X V s Y T w v S X R l b V R 5 c G U + P E l 0 Z W 1 Q Y X R o P l N l Y 3 R p b 2 4 x L 0 V H X 1 N I X 0 1 p b k N h c G F j a X R 5 L 1 V u c G l 2 b 3 R l Z C U y M E N v b H V t b n M 8 L 0 l 0 Z W 1 Q Y X R o P j w v S X R l b U x v Y 2 F 0 a W 9 u P j x T d G F i b G V F b n R y a W V z I C 8 + P C 9 J d G V t P j x J d G V t P j x J d G V t T G 9 j Y X R p b 2 4 + P E l 0 Z W 1 U e X B l P k Z v c m 1 1 b G E 8 L 0 l 0 Z W 1 U e X B l P j x J d G V t U G F 0 a D 5 T Z W N 0 a W 9 u M S 9 F R 1 9 T S F 9 N a W 5 D Y X B h Y 2 l 0 e S 9 S Z W 5 h b W V k J T I w Q 2 9 s d W 1 u c z w v S X R l b V B h d G g + P C 9 J d G V t T G 9 j Y X R p b 2 4 + P F N 0 Y W J s Z U V u d H J p Z X M g L z 4 8 L 0 l 0 Z W 0 + P E l 0 Z W 0 + P E l 0 Z W 1 M b 2 N h d G l v b j 4 8 S X R l b V R 5 c G U + R m 9 y b X V s Y T w v S X R l b V R 5 c G U + P E l 0 Z W 1 Q Y X R o P l N l Y 3 R p b 2 4 x L 0 V H X 1 N I X 0 1 p b k N h c G F j a X R 5 L 0 F k Z G V k J T I w Q 3 V z d G 9 t P C 9 J d G V t U G F 0 a D 4 8 L 0 l 0 Z W 1 M b 2 N h d G l v b j 4 8 U 3 R h Y m x l R W 5 0 c m l l c y A v P j w v S X R l b T 4 8 S X R l b T 4 8 S X R l b U x v Y 2 F 0 a W 9 u P j x J d G V t V H l w Z T 5 G b 3 J t d W x h P C 9 J d G V t V H l w Z T 4 8 S X R l b V B h d G g + U 2 V j d G l v b j E v R U d f U 0 h f T W l u Q 2 F w Y W N p d H k v U m V v c m R l c m V k J T I w Q 2 9 s d W 1 u c z w v S X R l b V B h d G g + P C 9 J d G V t T G 9 j Y X R p b 2 4 + P F N 0 Y W J s Z U V u d H J p Z X M g L z 4 8 L 0 l 0 Z W 0 + P E l 0 Z W 0 + P E l 0 Z W 1 M b 2 N h d G l v b j 4 8 S X R l b V R 5 c G U + R m 9 y b X V s Y T w v S X R l b V R 5 c G U + P E l 0 Z W 1 Q Y X R o P l N l Y 3 R p b 2 4 x L 0 V H X 1 N I 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I 1 V D E 1 O j I y O j M 0 L j A 5 M j M 3 O T Z a I i A v P j x F b n R y e S B U e X B l P S J G a W x s R X J y b 3 J D b 2 R l I i B W Y W x 1 Z T 0 i c 1 V u a 2 5 v d 2 4 i I C 8 + P E V u d H J 5 I F R 5 c G U 9 I k F k Z G V k V G 9 E Y X R h T W 9 k Z W w i I F Z h b H V l P S J s M C I g L z 4 8 R W 5 0 c n k g V H l w Z T 0 i U X V l c n l H c m 9 1 c E l E I i B W Y W x 1 Z T 0 i c 2 Q 3 M T c 1 Z T N k L W Z m M 2 E t N D E 2 O C 1 h O D g y L W N m O D k 1 M T k 5 Z G Q z Z S I g L z 4 8 R W 5 0 c n k g V H l w Z T 0 i T G 9 h Z G V k V G 9 B b m F s e X N p c 1 N l c n Z p Y 2 V z I i B W Y W x 1 Z T 0 i b D A i I C 8 + P C 9 T d G F i b G V F b n R y a W V z P j w v S X R l b T 4 8 S X R l b T 4 8 S X R l b U x v Y 2 F 0 a W 9 u P j x J d G V t V H l w Z T 5 G b 3 J t d W x h P C 9 J d G V t V H l w Z T 4 8 S X R l b V B h d G g + U 2 V j d G l v b j E v R U d f U 0 h f T W F 4 Q 2 F w Y W N p d H k v U 2 9 1 c m N l P C 9 J d G V t U G F 0 a D 4 8 L 0 l 0 Z W 1 M b 2 N h d G l v b j 4 8 U 3 R h Y m x l R W 5 0 c m l l c y A v P j w v S X R l b T 4 8 S X R l b T 4 8 S X R l b U x v Y 2 F 0 a W 9 u P j x J d G V t V H l w Z T 5 G b 3 J t d W x h P C 9 J d G V t V H l w Z T 4 8 S X R l b V B h d G g + U 2 V j d G l v b j E v R U d f U 0 h f T W F 4 Q 2 F w Y W N p d H k v V W 5 w a X Z v d G V k J T I w Q 2 9 s d W 1 u c z w v S X R l b V B h d G g + P C 9 J d G V t T G 9 j Y X R p b 2 4 + P F N 0 Y W J s Z U V u d H J p Z X M g L z 4 8 L 0 l 0 Z W 0 + P E l 0 Z W 0 + P E l 0 Z W 1 M b 2 N h d G l v b j 4 8 S X R l b V R 5 c G U + R m 9 y b X V s Y T w v S X R l b V R 5 c G U + P E l 0 Z W 1 Q Y X R o P l N l Y 3 R p b 2 4 x L 0 V H X 1 N I X 0 1 h e E N h c G F j a X R 5 L 1 J l b m F t Z W Q l M j B D b 2 x 1 b W 5 z P C 9 J d G V t U G F 0 a D 4 8 L 0 l 0 Z W 1 M b 2 N h d G l v b j 4 8 U 3 R h Y m x l R W 5 0 c m l l c y A v P j w v S X R l b T 4 8 S X R l b T 4 8 S X R l b U x v Y 2 F 0 a W 9 u P j x J d G V t V H l w Z T 5 G b 3 J t d W x h P C 9 J d G V t V H l w Z T 4 8 S X R l b V B h d G g + U 2 V j d G l v b j E v R U d f U 0 h f T W F 4 Q 2 F w Y W N p d H k v Q W R k Z W Q l M j B D d X N 0 b 2 0 8 L 0 l 0 Z W 1 Q Y X R o P j w v S X R l b U x v Y 2 F 0 a W 9 u P j x T d G F i b G V F b n R y a W V z I C 8 + P C 9 J d G V t P j x J d G V t P j x J d G V t T G 9 j Y X R p b 2 4 + P E l 0 Z W 1 U e X B l P k Z v c m 1 1 b G E 8 L 0 l 0 Z W 1 U e X B l P j x J d G V t U G F 0 a D 5 T Z W N 0 a W 9 u M S 9 F R 1 9 T S F 9 N Y X h D Y X B h Y 2 l 0 e S 9 S Z W 9 y Z G V y Z W Q l M j B D b 2 x 1 b W 5 z P C 9 J d G V t U G F 0 a D 4 8 L 0 l 0 Z W 1 M b 2 N h d G l v b j 4 8 U 3 R h Y m x l R W 5 0 c m l l c y A v P j w v S X R l b T 4 8 S X R l b T 4 8 S X R l b U x v Y 2 F 0 a W 9 u P j x J d G V t V H l w Z T 5 G b 3 J t d W x h P C 9 J d G V t V H l w Z T 4 8 S X R l b V B h d G g + U 2 V j d G l v b j E v R U d f U 0 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Q W R k Z W R U b 0 R h d G F N b 2 R l b C I g V m F s d W U 9 I m w w I i A v P j x F b n R y e S B U e X B l P S J R d W V y e U d y b 3 V w S U Q i I F Z h b H V l P S J z Z D c x N z V l M 2 Q t Z m Y z Y S 0 0 M T Y 4 L W E 4 O D I t Y 2 Y 4 O T U x O T l k Z D N l I i A v P j x F b n R y e S B U e X B l P S J M b 2 F k Z W R U b 0 F u Y W x 5 c 2 l z U 2 V y d m l j Z X M i I F Z h b H V l P S J s M C I g L z 4 8 R W 5 0 c n k g V H l w Z T 0 i R m l s b E x h c 3 R V c G R h d G V k I i B W Y W x 1 Z T 0 i Z D I w M j E t M D U t M j V U M T U 6 N T M 6 M z A u M j Q 3 N z g 1 O V o i I C 8 + P E V u d H J 5 I F R 5 c G U 9 I k Z p b G x F c n J v c k N v Z G U i I F Z h b H V l P S J z V W 5 r b m 9 3 b i I g L z 4 8 L 1 N 0 Y W J s Z U V u d H J p Z X M + P C 9 J d G V t P j x J d G V t P j x J d G V t T G 9 j Y X R p b 2 4 + P E l 0 Z W 1 U e X B l P k Z v c m 1 1 b G E 8 L 0 l 0 Z W 1 U e X B l P j x J d G V t U G F 0 a D 5 T Z W N 0 a W 9 u M S 9 F R 1 9 T S C 9 T b 3 V y Y 2 U 8 L 0 l 0 Z W 1 Q Y X R o P j w v S X R l b U x v Y 2 F 0 a W 9 u P j x T d G F i b G V F b n R y a W V z I C 8 + P C 9 J d G V t P j x J d G V t P j x J d G V t T G 9 j Y X R p b 2 4 + P E l 0 Z W 1 U e X B l P k Z v c m 1 1 b G E 8 L 0 l 0 Z W 1 U e X B l P j x J d G V t U G F 0 a D 5 T Z W N 0 a W 9 u M S 9 F R 1 9 T S C 9 F e H B h b m R l Z C U y M E V H X 1 N I X 0 1 h e E N h c G F j a X R 5 P C 9 J d G V t U G F 0 a D 4 8 L 0 l 0 Z W 1 M b 2 N h d G l v b j 4 8 U 3 R h Y m x l R W 5 0 c m l l c y A v P j w v S X R l b T 4 8 S X R l b T 4 8 S X R l b U x v Y 2 F 0 a W 9 u P j x J d G V t V H l w Z T 5 G b 3 J t d W x h P C 9 J d G V t V H l w Z T 4 8 S X R l b V B h d G g + U 2 V j d G l v b j E v R U N U X 0 N h c E F k Z E J v d W 5 k c y 9 G a W x 0 Z X J l Z C U y M F J v d 3 M 8 L 0 l 0 Z W 1 Q Y X R o P j w v S X R l b U x v Y 2 F 0 a W 9 u P j x T d G F i b G V F b n R y a W V z I C 8 + P C 9 J d G V t P j x J d G V t P j x J d G V t T G 9 j Y X R p b 2 4 + P E l 0 Z W 1 U e X B l P k Z v c m 1 1 b G E 8 L 0 l 0 Z W 1 U e X B l P j x J d G V t U G F 0 a D 5 T Z W N 0 a W 9 u M S 9 S R l 9 N V F B B L 0 Z p b H R l c m V k J T I w U m 9 3 c z w v S X R l b V B h d G g + P C 9 J d G V t T G 9 j Y X R p b 2 4 + P F N 0 Y W J s Z U V u d H J p Z X M g L z 4 8 L 0 l 0 Z W 0 + P C 9 J d G V t c z 4 8 L 0 x v Y 2 F s U G F j a 2 F n Z U 1 l d G F k Y X R h R m l s Z T 4 W A A A A U E s F B g A A A A A A A A A A A A A A A A A A A A A A A C Y B A A A B A A A A 0 I y d 3 w E V 0 R G M e g D A T 8 K X 6 w E A A A D P n S n J g 4 t x R K t H T C w h i + x Q A A A A A A I A A A A A A B B m A A A A A Q A A I A A A A M Y L 4 0 r E Q J m D g d X 6 S L p + H E g I M W V J S 7 7 t v D q + p V X x a R g K A A A A A A 6 A A A A A A g A A I A A A A N N M f p N N n r / n 2 x W p N J L z C K F 5 V B R U + Q G m t p 9 F A / M q c D M F U A A A A H h y W / 6 P O p q 4 C H 5 J a B o O E M h g W z p 8 g C f 6 j y f Q n 6 x 5 9 f i L C T w O W r Y y p 2 0 G 5 8 y J Z t k e L x + K b o A L A / D S s 6 G i 8 C k i L R i d z 3 2 Z J H O u p i W / y Q H e x s d x Q A A A A M e 5 a z h E y O f q I 2 K J e b 6 8 l M 5 R g I C b a E + z j h F F N e n Q N l o Q 3 p p h C Z n V A 1 o r s U Z O l u X + E l 6 p M c r 4 / 2 b j Q x 5 9 e S v x i k Y = < / D a t a M a s h u p > 
</file>

<file path=customXml/itemProps1.xml><?xml version="1.0" encoding="utf-8"?>
<ds:datastoreItem xmlns:ds="http://schemas.openxmlformats.org/officeDocument/2006/customXml" ds:itemID="{DB6265AE-1577-47E1-8874-FD900A9971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FileInfo</vt:lpstr>
      <vt:lpstr>Maps</vt:lpstr>
      <vt:lpstr>MaxCapacity-Input</vt:lpstr>
      <vt:lpstr>HPM_QTR_rev_P63</vt:lpstr>
      <vt:lpstr>HPM_QTR_revP31</vt:lpstr>
      <vt:lpstr>HYDRO</vt:lpstr>
      <vt:lpstr>PHWR&amp;GAS</vt:lpstr>
      <vt:lpstr>PV&amp;WIND</vt:lpstr>
      <vt:lpstr>Electricity Potential</vt:lpstr>
      <vt:lpstr>Source-MNRE</vt:lpstr>
      <vt:lpstr>Source-BTI</vt:lpstr>
      <vt:lpstr>SECI-SolarParks</vt:lpstr>
      <vt:lpstr>CEA-underConsSOLAR0</vt:lpstr>
      <vt:lpstr>CEA-underConsSOLAR1</vt:lpstr>
      <vt:lpstr>CEA_underConsWIND0</vt:lpstr>
      <vt:lpstr>CEA-underConsWIND1</vt:lpstr>
      <vt:lpstr>CEA-underConsSOLAR2</vt:lpstr>
      <vt:lpstr>CEA-underConsWIND2</vt:lpstr>
      <vt:lpstr>COAL_CEA BSM Apr 2020</vt:lpstr>
      <vt:lpstr>COAL</vt:lpstr>
      <vt:lpstr>HYDRO RMLEU</vt:lpstr>
      <vt:lpstr>COAL_FY21additions</vt:lpstr>
      <vt:lpstr>BIOMASS&amp;SH</vt:lpstr>
      <vt:lpstr>RF</vt:lpstr>
      <vt:lpstr>HistoricalProdPP</vt:lpstr>
      <vt:lpstr>ECT_CapAddBounds</vt:lpstr>
      <vt:lpstr>COAL_FY21additions!Print_Area</vt:lpstr>
      <vt:lpstr>'Source-MNRE'!Print_Area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dc:creator>
  <cp:lastModifiedBy>Narendra Pai</cp:lastModifiedBy>
  <dcterms:created xsi:type="dcterms:W3CDTF">2020-09-30T09:13:36Z</dcterms:created>
  <dcterms:modified xsi:type="dcterms:W3CDTF">2021-11-16T07:55:40Z</dcterms:modified>
</cp:coreProperties>
</file>