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44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พรวมเขต" sheetId="1" r:id="rId5"/>
    <sheet state="visible" name="รวมกราฟสาขา" sheetId="2" r:id="rId6"/>
    <sheet state="visible" name="1.ชลบุรี" sheetId="3" r:id="rId7"/>
    <sheet state="visible" name="2.พัทยา" sheetId="4" r:id="rId8"/>
    <sheet state="visible" name="3.บ้านบึง" sheetId="5" r:id="rId9"/>
    <sheet state="visible" name="4.พนัสนิคม" sheetId="6" r:id="rId10"/>
    <sheet state="visible" name="5.ศรีราชา" sheetId="7" r:id="rId11"/>
    <sheet state="visible" name="6.แหลมฉบัง" sheetId="8" r:id="rId12"/>
    <sheet state="visible" name="7.บางปะกง" sheetId="9" r:id="rId13"/>
    <sheet state="visible" name="8.ฉะเชิงเทรา" sheetId="10" r:id="rId14"/>
    <sheet state="visible" name="9.บางคล้า" sheetId="11" r:id="rId15"/>
    <sheet state="visible" name="10.พนมสารคาม" sheetId="12" r:id="rId16"/>
    <sheet state="visible" name="11.ระยอง" sheetId="13" r:id="rId17"/>
    <sheet state="visible" name="12.บ้านฉาง" sheetId="14" r:id="rId18"/>
    <sheet state="visible" name="13.ปากน้ำประแสร์" sheetId="15" r:id="rId19"/>
    <sheet state="visible" name="14.จันทบุรี" sheetId="16" r:id="rId20"/>
    <sheet state="visible" name="15.ขลุง" sheetId="17" r:id="rId21"/>
    <sheet state="visible" name="16.ตราด" sheetId="18" r:id="rId22"/>
    <sheet state="visible" name="17.คลองใหญ่" sheetId="19" r:id="rId23"/>
    <sheet state="visible" name="18.สระแก้ว" sheetId="20" r:id="rId24"/>
    <sheet state="visible" name="19.วัฒนานคร" sheetId="21" r:id="rId25"/>
    <sheet state="visible" name="20.อรัญประเทศ" sheetId="22" r:id="rId26"/>
    <sheet state="visible" name="21.ปราจีนบุรี" sheetId="23" r:id="rId27"/>
    <sheet state="visible" name="22.กบินทร์บุรี" sheetId="24" r:id="rId2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tc={13b481c9-9899-4ec5-8ff2-6e8e397a03c1}</author>
    <author>tc={4147ffb4-095b-4ee2-b826-d8787acca744}</author>
    <author>tc={fda639fb-1d97-474a-8372-a86bb09d9e02}</author>
  </authors>
  <commentList>
    <comment authorId="0" xr:uid="{13b481c9-9899-4ec5-8ff2-6e8e397a03c1}" ref="G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ข้อมูลเดือน พย
</t>
      </text>
    </comment>
    <comment authorId="1" xr:uid="{4147ffb4-095b-4ee2-b826-d8787acca744}" ref="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เนรมิตรเอง
</t>
      </text>
    </comment>
    <comment authorId="2" xr:uid="{fda639fb-1d97-474a-8372-a86bb09d9e02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ข้อมูลเดือน พ.ย.
</t>
      </text>
    </comment>
  </commentList>
</comments>
</file>

<file path=xl/sharedStrings.xml><?xml version="1.0" encoding="utf-8"?>
<sst xmlns="http://schemas.openxmlformats.org/spreadsheetml/2006/main" count="791" uniqueCount="241">
  <si>
    <t>ภาพรวมเขต 1</t>
  </si>
  <si>
    <t>ต.ค. 68</t>
  </si>
  <si>
    <t>พ.ย. 68</t>
  </si>
  <si>
    <t>ธ.ค. 68</t>
  </si>
  <si>
    <t>ม.ค. 69</t>
  </si>
  <si>
    <t>ก.พ. 69</t>
  </si>
  <si>
    <t>มี.ค. 69</t>
  </si>
  <si>
    <t>เม.ย. 69</t>
  </si>
  <si>
    <t>พ.ค. 69</t>
  </si>
  <si>
    <t>มิ.ย. 69</t>
  </si>
  <si>
    <t>ก.ค. 69</t>
  </si>
  <si>
    <t>ส.ค. 69</t>
  </si>
  <si>
    <t>ก.ย. 69</t>
  </si>
  <si>
    <t>MNF เกิดจริง</t>
  </si>
  <si>
    <t>MNF ที่ยอมรับได้</t>
  </si>
  <si>
    <t>เป้าหมาย MNF</t>
  </si>
  <si>
    <t>น้ำผลิตจ่าย</t>
  </si>
  <si>
    <t>กลุ่ม 2 สาขาขนาดใหญ่</t>
  </si>
  <si>
    <t>กลุ่ม 5 สาขาน้ำสูญเสียสูง</t>
  </si>
  <si>
    <t>กลุ่ม 15 สาขาทั่วไป (ไม่มีข้อมูลของระยอง)</t>
  </si>
  <si>
    <t>ตุ๊กตา</t>
  </si>
  <si>
    <t>ต.ค.</t>
  </si>
  <si>
    <t>พ.ย.</t>
  </si>
  <si>
    <t>ธ.ค.</t>
  </si>
  <si>
    <t>ม.ค.</t>
  </si>
  <si>
    <t>ก.พ.</t>
  </si>
  <si>
    <t>มี.ค</t>
  </si>
  <si>
    <t>กปภ.สาขาชลบุรี</t>
  </si>
  <si>
    <t> MM บางพระ 1 จ่ายสุขุมวิท (600mm.)</t>
  </si>
  <si>
    <t>MM-05</t>
  </si>
  <si>
    <t>Iwm-8-MM-05 ลงถัง สจ.ห้วยกะปิ</t>
  </si>
  <si>
    <t>Iwm-10-MM-05 ลงถัง สจ.หนองข้างคอก</t>
  </si>
  <si>
    <t>Iwm-11-MM-05 ลงถัง สจ.หนองรี</t>
  </si>
  <si>
    <t>Iwm-12-MM-05 ลงถัง สจ.เขาสุวรรณ</t>
  </si>
  <si>
    <t>MM-06</t>
  </si>
  <si>
    <t>DMA-06-3-1 รร.ห้วยกะปิ (ใต้สะพาน) จ่ายสุขุมวิทฝั่งทะเลถึงแยกอ่างศิลา,แยกเฉลิมไทย</t>
  </si>
  <si>
    <t>MM-07 สจ.ห้วยกรุ จ่าย ถนนข้าวหลาม (400)</t>
  </si>
  <si>
    <t>MM-08 จุดซื้อขาย ยูยู แยกวัดท้องคุ้ง (DMA-21-01) จ่าย นาป่า - ดอนหัวฬ่อ</t>
  </si>
  <si>
    <t>MM-09 จุดซื้อขาย ยูยู ม.ศรีปทุม (DMA-20-01) จ่าย บางทราย - คลองตำหรุ</t>
  </si>
  <si>
    <t>Iwm-13-MM-09 ลงถัง สจ.บางทราย</t>
  </si>
  <si>
    <t>DMA-11-1 สจ.ห้วยกะปิ (จ่ายฝั่งล่างทางรถไฟ)</t>
  </si>
  <si>
    <t>DMA-11-2 สจ.ห้วยกะปิ (จ่ายฝั่งบนทางรถไฟ)</t>
  </si>
  <si>
    <t>DMA-12 สจ.มณีแก้ว (ถังสูงจ่ายพื้นที่ต.เหมือง, มบ.มณีแก้ว)</t>
  </si>
  <si>
    <t>DMA-13-1 สจ.ต้นบุญ (ถังสูงจ่ายพื้นที่เทศบาลเหมือง)</t>
  </si>
  <si>
    <t>DMA-14-1 สจ.บางแสน จ่าย ต.แสนสุข (DMA สจ.บางแสน จ่ายบางแสน)</t>
  </si>
  <si>
    <t>DMA-14-3 สจ.บางแสน จ่าย ต.อ่างศิลา</t>
  </si>
  <si>
    <t>DMA-16-1 สจ.เสม็ด จ่ายชุมชนเสม็ด (เคหะชุมชน)</t>
  </si>
  <si>
    <t>DMA-16-2 สจ.เสม็ด จ่าย พระยาสัจจา เข้าเมืองชลบุรี (ถนนวชิรปราการ) (400)</t>
  </si>
  <si>
    <t>DMA-สถานีจ่ายน้ำสำนักงานชลบุรี</t>
  </si>
  <si>
    <t>DMA-18-1 สจ.หนองข้างคอก จ่าย ต.หนองข้างคอก</t>
  </si>
  <si>
    <t>DMA-19-1/1 สจ.จ่ายน้ำหนองรี จ่ายซอยบ้านสวน-เศรษฐกิจ 30 และ ต.หนองรี</t>
  </si>
  <si>
    <t>DMA-19-1-1 หน้าอู่ ส.ทวีชัย ถ.เลี่ยงเมืองชลบุรี จ่ายชมภูแก้ว</t>
  </si>
  <si>
    <t>DMA-20-1 สจ.เขาสุวรรณ จ่ายสี่แยกเฉลิมไทย - บ้านสวน - ชุมชนดงตาล</t>
  </si>
  <si>
    <t>DMA-20-2 สจ.เขาสุวรรณ จ่ายมาลัยทอง - ถนนเลี่ยงเมืองชลบุรี (บาซูก้า) - ตลาดนินจา</t>
  </si>
  <si>
    <t>DMA-20-4 สจ.เขาสุวรรณ จ่าย ไปแยกเลี่ยงเมือง (300 มม.)</t>
  </si>
  <si>
    <t>คิว</t>
  </si>
  <si>
    <t>กปภ.สาขาพัทยา (ชั้นพิเศษ)</t>
  </si>
  <si>
    <r>
      <rPr>
        <rFont val="Sarabun"/>
        <color theme="1"/>
        <sz val="12.0"/>
      </rPr>
      <t>*หมายเหตุ :  (MM02)-</t>
    </r>
    <r>
      <rPr>
        <rFont val="Sarabun"/>
        <color rgb="FFFF0000"/>
        <sz val="12.0"/>
      </rPr>
      <t>(iwm-MM02)</t>
    </r>
    <r>
      <rPr>
        <rFont val="Sarabun"/>
        <color theme="1"/>
        <sz val="12.0"/>
      </rPr>
      <t>+(MM03)+(DMA-06-1)+(MM-07)+(MM-08)-</t>
    </r>
    <r>
      <rPr>
        <rFont val="Sarabun"/>
        <color rgb="FFFF0000"/>
        <sz val="12.0"/>
      </rPr>
      <t>(Iwm-MM-08)</t>
    </r>
    <r>
      <rPr>
        <rFont val="Sarabun"/>
        <color theme="1"/>
        <sz val="12.0"/>
      </rPr>
      <t>+(MM-11)+(MM-12)+(MM-13)+(MM-14)+(DMA-15/16-1)+(DMA-01-2)+(DMA-27/28-1)+(DMA-27/28-2)+(MM-19)+(MM-26)
+(MM-20)+(DMA-300)+(DMA-21-1)+(MM-26)</t>
    </r>
  </si>
  <si>
    <t>MM02</t>
  </si>
  <si>
    <t>iwm-MM02</t>
  </si>
  <si>
    <t>MM03</t>
  </si>
  <si>
    <t>DMA-06-1</t>
  </si>
  <si>
    <t>MM-07</t>
  </si>
  <si>
    <t>MM-08</t>
  </si>
  <si>
    <t>Iwm-MM-08</t>
  </si>
  <si>
    <t>MM-11</t>
  </si>
  <si>
    <t>MM-12</t>
  </si>
  <si>
    <t>MM-13</t>
  </si>
  <si>
    <t>MM-14</t>
  </si>
  <si>
    <t>DMA-15/16-1</t>
  </si>
  <si>
    <t>DMA-15/16-2</t>
  </si>
  <si>
    <t>DMA-15/16-3</t>
  </si>
  <si>
    <t>DMA-01-2</t>
  </si>
  <si>
    <t>DMA-27/28-1</t>
  </si>
  <si>
    <t>DMA-27/28-2</t>
  </si>
  <si>
    <t>MM-19</t>
  </si>
  <si>
    <t>MM-20</t>
  </si>
  <si>
    <t>DMA-300</t>
  </si>
  <si>
    <t>DMA-21-1</t>
  </si>
  <si>
    <t>MM-26</t>
  </si>
  <si>
    <t>Total</t>
  </si>
  <si>
    <t>ปอนด์</t>
  </si>
  <si>
    <t>กปภ.สาขาบ้านบึง</t>
  </si>
  <si>
    <t>*หมายเหตุ :  (MM03)-(iwm-MM03)+(MM04)+(MM05)+(MM06)+(MM07)+(MM10)+(MM11)+(MM12)+(MM13)+(MM14)+(MM16)+(MM17)</t>
  </si>
  <si>
    <t>Iwm MM03</t>
  </si>
  <si>
    <t>MM04</t>
  </si>
  <si>
    <t>MM05</t>
  </si>
  <si>
    <t>MM06</t>
  </si>
  <si>
    <t>MM07</t>
  </si>
  <si>
    <t>MM10</t>
  </si>
  <si>
    <t>MM11</t>
  </si>
  <si>
    <t>MM12</t>
  </si>
  <si>
    <t>MM13</t>
  </si>
  <si>
    <t>MM14</t>
  </si>
  <si>
    <t>MM16</t>
  </si>
  <si>
    <t>จ๋า</t>
  </si>
  <si>
    <t>กปภ.สาขาพนัสนิคม</t>
  </si>
  <si>
    <t>DMA-01</t>
  </si>
  <si>
    <t>MM-04</t>
  </si>
  <si>
    <t>MM-09</t>
  </si>
  <si>
    <t>MM-10</t>
  </si>
  <si>
    <t>MM-15</t>
  </si>
  <si>
    <t>-Iwm-MM-15</t>
  </si>
  <si>
    <t>MM-16</t>
  </si>
  <si>
    <t>DMA-19-1</t>
  </si>
  <si>
    <t>DMA-19-2</t>
  </si>
  <si>
    <t>MM-21</t>
  </si>
  <si>
    <t>MM-22</t>
  </si>
  <si>
    <t>DMA-23</t>
  </si>
  <si>
    <t>DMA-24</t>
  </si>
  <si>
    <t>DMA-25</t>
  </si>
  <si>
    <t>DMA-26</t>
  </si>
  <si>
    <t>SUM</t>
  </si>
  <si>
    <t>กปภ.สาขาศรีราชา</t>
  </si>
  <si>
    <t>*หมายเหตุ :  [MM01]+[MM02]+[MM03]+[MM04]+[MM05]+[MM06]+[MM07]+[MM09]+[MM10]+[MM11]-[MM-13]-[MM-15]-[ฺBluk sell01]</t>
  </si>
  <si>
    <t>MM01</t>
  </si>
  <si>
    <t>MM09</t>
  </si>
  <si>
    <t>MM15</t>
  </si>
  <si>
    <t>ฺBluk sell01</t>
  </si>
  <si>
    <t>เอ</t>
  </si>
  <si>
    <t>กปภ.สาขาแหลมฉบัง</t>
  </si>
  <si>
    <t>หมายเหตุ</t>
  </si>
  <si>
    <t>[MM-01]+[MM-02]+[MM-03]+[MM-04]+[MM-05]+[MM-06]+[MM-07]+[MM-08]+[MM-09]+[MM-10]+[MM-12]+[MM-13]+[MM-14]+[MM-15]</t>
  </si>
  <si>
    <t>MM-01</t>
  </si>
  <si>
    <t>MM-02</t>
  </si>
  <si>
    <t>MM-03</t>
  </si>
  <si>
    <t>รวม</t>
  </si>
  <si>
    <t>ตาล</t>
  </si>
  <si>
    <t>กปภ.สาขาบางปะกง</t>
  </si>
  <si>
    <t>ตค 68</t>
  </si>
  <si>
    <t>พย 68</t>
  </si>
  <si>
    <t>ธค 68</t>
  </si>
  <si>
    <t>มค 69</t>
  </si>
  <si>
    <t>กพ 69</t>
  </si>
  <si>
    <t>MM-04 จ่ายพื้นที่ บูรพา บางวัว ลงถังท่าสะอ้าน (มีมาตรรับ)</t>
  </si>
  <si>
    <t>MM-05 จ่ายพื้นที่ซอยร่วมใจ</t>
  </si>
  <si>
    <t>MM-07 จ่ายพื้นที่บางเกลือ บางสมัคร (ท่อ400)</t>
  </si>
  <si>
    <t>MM-08 จ่ายพื้นที่บางสมัคร หอมศีล</t>
  </si>
  <si>
    <t>MM-09 จ่ายพื้นที่บางวัว ตำบลพิมพา</t>
  </si>
  <si>
    <t>MM-10 จ่ายพื้นที่เขาดิน บางผึ้ง หลังโรงไฟฟ้าบางปะกง</t>
  </si>
  <si>
    <t>MM-11 จ่ายพื้นที่ ตำบลหนองจอก ตำบลท่าสะอ้าน</t>
  </si>
  <si>
    <t>MM-12 จ่ายพื้นที่ท่าสะอ้าน</t>
  </si>
  <si>
    <t>MM-13 จ่ายพื้นที่ท่าสะอ้าน บางวัว</t>
  </si>
  <si>
    <t>MM-14 จ่ายพื้นที่ตลาดบางปะกง</t>
  </si>
  <si>
    <t>MM-15 จ่ายพื้นที่วัดบน</t>
  </si>
  <si>
    <t>MM-16 จ่ายพื้นที่ตำบลท่าข้าม บางนาง</t>
  </si>
  <si>
    <t>MM-17 จ่ายพื้นที่สองคลอง บางปะกง</t>
  </si>
  <si>
    <t>กปภ.สาขาฉะเชิงเทรา</t>
  </si>
  <si>
    <t>[MM-01]+[MM-02]+[MM-03]+[MM-04]+[MM-05]+[MM-07]</t>
  </si>
  <si>
    <t>-Bulk Sell01-MM-02</t>
  </si>
  <si>
    <t>-Bulk Sell03-MM-04</t>
  </si>
  <si>
    <t>-Bulk Sell05-MM-07</t>
  </si>
  <si>
    <t>ต๊ะ</t>
  </si>
  <si>
    <t>กปภ.สาขาบางคล้า</t>
  </si>
  <si>
    <t>(MM-01)+(MM-02)+(MM-03)+(MM-04)+(MM-05)+(MM-07)+(MM-08)+(MM-09)+(MM-11)+(MM-14)+(MM-16)+(MM-17)+(MM-18)+(MM-19)+(MM-25)</t>
  </si>
  <si>
    <t>MM-17</t>
  </si>
  <si>
    <t>MM-18</t>
  </si>
  <si>
    <t>MM-25</t>
  </si>
  <si>
    <t>โบ๊ท</t>
  </si>
  <si>
    <t>กปภ.สาขาพนมสารคาม</t>
  </si>
  <si>
    <t>กปภ.สาขา..................</t>
  </si>
  <si>
    <t>กปภ.สาขาบ้านฉาง</t>
  </si>
  <si>
    <t>DMA-13-1</t>
  </si>
  <si>
    <t>กปภ.สาขาปากน้ำประแสร์</t>
  </si>
  <si>
    <t>MM-01-สถานีผลิตน้ำเขาระโอก 1 (400 มม.)</t>
  </si>
  <si>
    <t>Iwm-01-1 สถานีผลิตน้ำเขาระโอก 1 ส่งสถานีผลิตน้ำเขาดิน (ลงถังน้ำใส)</t>
  </si>
  <si>
    <t>MM-02-สถานีผลิตน้ำเขาระโอก 1 จ่ายเขาระโอก-วัดโพธิฐาน (300มม.)</t>
  </si>
  <si>
    <t>DMA-04-สถานีจ่ายน้ำกองดิน-จ่ายพื้นที่กองดิน</t>
  </si>
  <si>
    <t>DMA-05-สถานีจ่ายน้ำสำนักงาน-จ่ายพื้นที่ปากน้ำประแสร์</t>
  </si>
  <si>
    <t>MM-06-สถานีผลิตน้ำเขาดิน-จ่ายพื้นที่เขาดิน</t>
  </si>
  <si>
    <t>MM-07-สถานีผลิตน้ำประแสร์-จ่ายหนองกระพ้อ-กระแสบน-หนองกันเกรา</t>
  </si>
  <si>
    <t>MM-11-สถานีจ่ายน้ำเพ-จ่ายพื้นที่เพ</t>
  </si>
  <si>
    <t>MM-14-สถานีจ่ายน้ำแหลมแม่พิมพ์ 300 มม.</t>
  </si>
  <si>
    <t>MM-15-สถานีผลิต/จ่ายน้ำบึงสำนักใหญ่-จ่ายพื้นที่บึงสำนักใหญ่</t>
  </si>
  <si>
    <t>กปภ.สาขาจันทบุรี</t>
  </si>
  <si>
    <t>mm03</t>
  </si>
  <si>
    <t>mm04</t>
  </si>
  <si>
    <t>mmm</t>
  </si>
  <si>
    <t>lwm-MM-08</t>
  </si>
  <si>
    <t>mm10</t>
  </si>
  <si>
    <t>mm11</t>
  </si>
  <si>
    <t>mm12</t>
  </si>
  <si>
    <t>dma13</t>
  </si>
  <si>
    <t>dma14</t>
  </si>
  <si>
    <t>dma15</t>
  </si>
  <si>
    <t>dma16</t>
  </si>
  <si>
    <t>dma17</t>
  </si>
  <si>
    <t>dma18</t>
  </si>
  <si>
    <t>Iwm-Mwm-1</t>
  </si>
  <si>
    <t>dma19</t>
  </si>
  <si>
    <t>dma20</t>
  </si>
  <si>
    <t>dma21</t>
  </si>
  <si>
    <t>dma22</t>
  </si>
  <si>
    <t>dma23</t>
  </si>
  <si>
    <t>dma24</t>
  </si>
  <si>
    <t>Iwm-DMA-24</t>
  </si>
  <si>
    <t>dma25</t>
  </si>
  <si>
    <t>dma26</t>
  </si>
  <si>
    <t>กปภ.สาขาขลุง</t>
  </si>
  <si>
    <t>mm01</t>
  </si>
  <si>
    <t>mm02</t>
  </si>
  <si>
    <t>mm05</t>
  </si>
  <si>
    <t>mm06</t>
  </si>
  <si>
    <t>mm07</t>
  </si>
  <si>
    <t>mm08</t>
  </si>
  <si>
    <t>mm09</t>
  </si>
  <si>
    <t>Iwm1-mm02</t>
  </si>
  <si>
    <t>Iwm2-mm03</t>
  </si>
  <si>
    <t>Iwm3-mm04</t>
  </si>
  <si>
    <t>Iwm4-mm09</t>
  </si>
  <si>
    <t>[MM-01]+[MM-02]+[MM-03]+[MM-04]+[MM-05]+[MM-06]+[MM-07]+[MM-08]+[MM-09]-[Iwm1-MM02]-[Iwm2-MM03]-[Iwm3-MM04]-[Iwm4-MM09]</t>
  </si>
  <si>
    <t>กปภ.สาขาตราด</t>
  </si>
  <si>
    <t>[MM-02]+[MM-03]+[MM-04]+[MM-05]+[MM-06-1]+[MM-06-2]+[MM-07]+[MM-10]+[MM-11]+[MM-12]-[DMA-12-Bulk sell]</t>
  </si>
  <si>
    <t>DMA-03-1</t>
  </si>
  <si>
    <t>MM-06-1</t>
  </si>
  <si>
    <t>MM-06-2</t>
  </si>
  <si>
    <t>DMA-12-Bulk sell</t>
  </si>
  <si>
    <t>กปภ.สาขาคลองใหญ่</t>
  </si>
  <si>
    <r>
      <rPr>
        <rFont val="Sarabun"/>
        <b/>
        <color theme="1"/>
        <sz val="12.0"/>
      </rPr>
      <t xml:space="preserve">*หมายเหตุ : </t>
    </r>
    <r>
      <rPr>
        <rFont val="Sarabun"/>
        <b val="0"/>
        <color theme="1"/>
        <sz val="12.0"/>
      </rPr>
      <t xml:space="preserve">(MM-01) - </t>
    </r>
    <r>
      <rPr>
        <rFont val="Sarabun"/>
        <b val="0"/>
        <color rgb="FFFF0000"/>
        <sz val="12.0"/>
      </rPr>
      <t>(Bulk sale)</t>
    </r>
    <r>
      <rPr>
        <rFont val="Sarabun"/>
        <b val="0"/>
        <color theme="1"/>
        <sz val="12.0"/>
      </rPr>
      <t xml:space="preserve"> - </t>
    </r>
    <r>
      <rPr>
        <rFont val="Sarabun"/>
        <b val="0"/>
        <color rgb="FFFF0000"/>
        <sz val="12.0"/>
      </rPr>
      <t>(Iwm-01)</t>
    </r>
    <r>
      <rPr>
        <rFont val="Sarabun"/>
        <b val="0"/>
        <color theme="1"/>
        <sz val="12.0"/>
      </rPr>
      <t xml:space="preserve"> + (DMA-01) + (MM-02) + (MM-04) + ( MM-05)</t>
    </r>
  </si>
  <si>
    <t>Bulk sale</t>
  </si>
  <si>
    <t>Iwm-01</t>
  </si>
  <si>
    <t>กปภ.สาขาสระแก้ว</t>
  </si>
  <si>
    <t>[MM-01]+[MM-02]+[DMA-03-1]+[MM-04]+[MM-05]+[MM-06]+[MM-07-1]+[MM-07-2]</t>
  </si>
  <si>
    <t>MM-07-1</t>
  </si>
  <si>
    <t>MM-07-2</t>
  </si>
  <si>
    <t>กปภ.สาขาวัฒนานคร</t>
  </si>
  <si>
    <t>หมายเหตุ :</t>
  </si>
  <si>
    <t>MM01+MM02+MM03</t>
  </si>
  <si>
    <t>เอ๊ะ</t>
  </si>
  <si>
    <t>กปภ.สาขาอรัญประเทศ</t>
  </si>
  <si>
    <t>สูตรคำนวณ (MM-01)+(DMA-08)+(DMA-09)+(MM-03-1)+(MM-04)+(DMA-05)</t>
  </si>
  <si>
    <t>DMA-08</t>
  </si>
  <si>
    <t>DMA-09</t>
  </si>
  <si>
    <t>MM-03-1</t>
  </si>
  <si>
    <t>DMA-05</t>
  </si>
  <si>
    <t>กปภ.สาขาปราจีนบุรี</t>
  </si>
  <si>
    <t>mwm01</t>
  </si>
  <si>
    <t>Bulk Sell-MM-08</t>
  </si>
  <si>
    <t>สูตร : [MM-01+MM-02+MM-03+Mwm-01+MM-04+MM-05+MM-06+MM-07+MM-08+MM-09+MM-10]-Bulk Sell-MM-08</t>
  </si>
  <si>
    <t>กปภ.สาขากบินทร์บุรี</t>
  </si>
  <si>
    <t>สูตรคำนวณ [MM-01]+[MM-04]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</si>
</sst>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2.0"/>
      <color rgb="FF000000"/>
      <name val="Sarabun"/>
    </font>
    <font/>
    <font>
      <sz val="12.0"/>
      <color theme="1"/>
      <name val="Sarabun"/>
    </font>
    <font>
      <sz val="12.0"/>
      <color rgb="FF000000"/>
      <name val="Sarabun"/>
    </font>
    <font>
      <sz val="15.0"/>
      <color theme="1"/>
      <name val="Sarabun"/>
    </font>
    <font>
      <sz val="12.0"/>
      <color theme="1"/>
      <name val="Angsana New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5"/>
      <name val="Sarabun"/>
    </font>
    <font>
      <sz val="12.0"/>
      <color rgb="FFFF0000"/>
      <name val="Sarabun"/>
    </font>
    <font>
      <sz val="12.0"/>
      <color rgb="FFEA4335"/>
      <name val="Sarabun"/>
    </font>
    <font>
      <sz val="12.0"/>
      <color rgb="FF0000FF"/>
      <name val="Sarabun"/>
    </font>
    <font>
      <sz val="12.0"/>
      <color rgb="FF1155CC"/>
      <name val="Sarabun"/>
    </font>
    <font>
      <sz val="11.0"/>
      <color theme="1"/>
      <name val="Sarabun"/>
    </font>
    <font>
      <sz val="11.0"/>
      <color rgb="FF000000"/>
      <name val="Sarabun"/>
    </font>
    <font>
      <b/>
      <sz val="12.0"/>
      <color theme="1"/>
      <name val="Sarabun"/>
    </font>
    <font>
      <sz val="11.0"/>
      <color rgb="FF000000"/>
      <name val="&quot;Aptos Narrow&quot;"/>
    </font>
    <font>
      <sz val="11.0"/>
      <color rgb="FF000000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color rgb="FFFF0000"/>
      <name val="Arial"/>
      <scheme val="minor"/>
    </font>
    <font>
      <sz val="11.0"/>
      <color rgb="FF0000FF"/>
      <name val="&quot;Aptos Narrow&quot;"/>
    </font>
    <font>
      <sz val="11.0"/>
      <color rgb="FF0000FF"/>
      <name val="Arial"/>
    </font>
    <font>
      <sz val="11.0"/>
      <color rgb="FFFFFFFF"/>
      <name val="Sarabun"/>
    </font>
    <font>
      <sz val="12.0"/>
      <color theme="4"/>
      <name val="Sarabun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4" fillId="0" fontId="4" numFmtId="3" xfId="0" applyAlignment="1" applyBorder="1" applyFont="1" applyNumberFormat="1">
      <alignment horizontal="right" readingOrder="0" shrinkToFit="0" vertical="bottom" wrapText="0"/>
    </xf>
    <xf borderId="4" fillId="0" fontId="3" numFmtId="0" xfId="0" applyAlignment="1" applyBorder="1" applyFont="1">
      <alignment readingOrder="0"/>
    </xf>
    <xf borderId="4" fillId="0" fontId="3" numFmtId="3" xfId="0" applyAlignment="1" applyBorder="1" applyFont="1" applyNumberFormat="1">
      <alignment readingOrder="0"/>
    </xf>
    <xf borderId="0" fillId="0" fontId="5" numFmtId="0" xfId="0" applyFont="1"/>
    <xf borderId="0" fillId="0" fontId="6" numFmtId="0" xfId="0" applyFont="1"/>
    <xf borderId="0" fillId="2" fontId="7" numFmtId="0" xfId="0" applyFill="1" applyFont="1"/>
    <xf borderId="0" fillId="2" fontId="8" numFmtId="0" xfId="0" applyAlignment="1" applyFont="1">
      <alignment horizontal="center" readingOrder="0"/>
    </xf>
    <xf borderId="0" fillId="3" fontId="7" numFmtId="0" xfId="0" applyFill="1" applyFont="1"/>
    <xf borderId="0" fillId="3" fontId="9" numFmtId="0" xfId="0" applyAlignment="1" applyFont="1">
      <alignment horizontal="center" readingOrder="0"/>
    </xf>
    <xf borderId="0" fillId="4" fontId="7" numFmtId="0" xfId="0" applyFill="1" applyFont="1"/>
    <xf borderId="0" fillId="4" fontId="9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10" numFmtId="0" xfId="0" applyFont="1"/>
    <xf borderId="0" fillId="0" fontId="3" numFmtId="3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3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3" numFmtId="3" xfId="0" applyFont="1" applyNumberFormat="1"/>
    <xf borderId="0" fillId="0" fontId="13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0" fontId="14" numFmtId="3" xfId="0" applyAlignment="1" applyFont="1" applyNumberFormat="1">
      <alignment readingOrder="0"/>
    </xf>
    <xf borderId="0" fillId="0" fontId="15" numFmtId="0" xfId="0" applyAlignment="1" applyFont="1">
      <alignment readingOrder="0"/>
    </xf>
    <xf borderId="1" fillId="6" fontId="1" numFmtId="0" xfId="0" applyAlignment="1" applyBorder="1" applyFill="1" applyFont="1">
      <alignment horizontal="center" readingOrder="0" shrinkToFit="0" vertical="bottom" wrapText="0"/>
    </xf>
    <xf borderId="4" fillId="0" fontId="3" numFmtId="1" xfId="0" applyAlignment="1" applyBorder="1" applyFont="1" applyNumberFormat="1">
      <alignment readingOrder="0"/>
    </xf>
    <xf borderId="0" fillId="0" fontId="3" numFmtId="0" xfId="0" applyAlignment="1" applyFont="1">
      <alignment horizontal="left" readingOrder="0" shrinkToFit="0" vertical="top" wrapText="0"/>
    </xf>
    <xf borderId="4" fillId="0" fontId="3" numFmtId="0" xfId="0" applyBorder="1" applyFont="1"/>
    <xf borderId="4" fillId="0" fontId="11" numFmtId="0" xfId="0" applyAlignment="1" applyBorder="1" applyFont="1">
      <alignment readingOrder="0"/>
    </xf>
    <xf borderId="4" fillId="0" fontId="11" numFmtId="0" xfId="0" applyBorder="1" applyFont="1"/>
    <xf borderId="4" fillId="0" fontId="13" numFmtId="0" xfId="0" applyAlignment="1" applyBorder="1" applyFont="1">
      <alignment readingOrder="0"/>
    </xf>
    <xf borderId="4" fillId="0" fontId="3" numFmtId="0" xfId="0" applyAlignment="1" applyBorder="1" applyFont="1">
      <alignment horizontal="center"/>
    </xf>
    <xf borderId="4" fillId="7" fontId="16" numFmtId="0" xfId="0" applyAlignment="1" applyBorder="1" applyFill="1" applyFont="1">
      <alignment horizontal="left" readingOrder="0"/>
    </xf>
    <xf borderId="4" fillId="8" fontId="13" numFmtId="0" xfId="0" applyAlignment="1" applyBorder="1" applyFill="1" applyFont="1">
      <alignment readingOrder="0"/>
    </xf>
    <xf borderId="4" fillId="8" fontId="3" numFmtId="0" xfId="0" applyAlignment="1" applyBorder="1" applyFont="1">
      <alignment readingOrder="0"/>
    </xf>
    <xf borderId="4" fillId="0" fontId="17" numFmtId="0" xfId="0" applyAlignment="1" applyBorder="1" applyFont="1">
      <alignment readingOrder="0"/>
    </xf>
    <xf borderId="4" fillId="0" fontId="17" numFmtId="0" xfId="0" applyBorder="1" applyFont="1"/>
    <xf borderId="0" fillId="7" fontId="16" numFmtId="0" xfId="0" applyAlignment="1" applyFont="1">
      <alignment horizontal="left" readingOrder="0"/>
    </xf>
    <xf borderId="5" fillId="0" fontId="3" numFmtId="0" xfId="0" applyAlignment="1" applyBorder="1" applyFont="1">
      <alignment readingOrder="0"/>
    </xf>
    <xf borderId="5" fillId="0" fontId="3" numFmtId="0" xfId="0" applyBorder="1" applyFont="1"/>
    <xf quotePrefix="1" borderId="4" fillId="0" fontId="3" numFmtId="0" xfId="0" applyAlignment="1" applyBorder="1" applyFont="1">
      <alignment readingOrder="0"/>
    </xf>
    <xf borderId="6" fillId="0" fontId="2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Border="1" applyFont="1"/>
    <xf borderId="4" fillId="0" fontId="3" numFmtId="4" xfId="0" applyAlignment="1" applyBorder="1" applyFont="1" applyNumberFormat="1">
      <alignment readingOrder="0"/>
    </xf>
    <xf borderId="4" fillId="0" fontId="18" numFmtId="0" xfId="0" applyAlignment="1" applyBorder="1" applyFont="1">
      <alignment shrinkToFit="0" vertical="bottom" wrapText="0"/>
    </xf>
    <xf borderId="4" fillId="0" fontId="19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4" fillId="0" fontId="4" numFmtId="0" xfId="0" applyAlignment="1" applyBorder="1" applyFont="1">
      <alignment horizontal="left" readingOrder="0"/>
    </xf>
    <xf borderId="4" fillId="0" fontId="20" numFmtId="0" xfId="0" applyAlignment="1" applyBorder="1" applyFont="1">
      <alignment horizontal="right" readingOrder="0" shrinkToFit="0" vertical="bottom" wrapText="0"/>
    </xf>
    <xf borderId="0" fillId="0" fontId="3" numFmtId="2" xfId="0" applyAlignment="1" applyFont="1" applyNumberFormat="1">
      <alignment horizontal="right" readingOrder="0"/>
    </xf>
    <xf borderId="4" fillId="0" fontId="20" numFmtId="0" xfId="0" applyAlignment="1" applyBorder="1" applyFont="1">
      <alignment horizontal="left" readingOrder="0" shrinkToFit="0" vertical="bottom" wrapText="0"/>
    </xf>
    <xf borderId="4" fillId="0" fontId="21" numFmtId="0" xfId="0" applyAlignment="1" applyBorder="1" applyFont="1">
      <alignment readingOrder="0"/>
    </xf>
    <xf borderId="4" fillId="0" fontId="20" numFmtId="2" xfId="0" applyAlignment="1" applyBorder="1" applyFont="1" applyNumberFormat="1">
      <alignment horizontal="right" readingOrder="0" shrinkToFit="0" vertical="bottom" wrapText="0"/>
    </xf>
    <xf borderId="4" fillId="0" fontId="4" numFmtId="0" xfId="0" applyAlignment="1" applyBorder="1" applyFont="1">
      <alignment horizontal="right" shrinkToFit="0" vertical="bottom" wrapText="0"/>
    </xf>
    <xf quotePrefix="1"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right" readingOrder="0" shrinkToFit="0" vertical="bottom" wrapText="0"/>
    </xf>
    <xf borderId="0" fillId="0" fontId="17" numFmtId="0" xfId="0" applyFont="1"/>
    <xf borderId="4" fillId="0" fontId="16" numFmtId="0" xfId="0" applyAlignment="1" applyBorder="1" applyFont="1">
      <alignment horizontal="left" readingOrder="0"/>
    </xf>
    <xf borderId="4" fillId="0" fontId="18" numFmtId="0" xfId="0" applyAlignment="1" applyBorder="1" applyFont="1">
      <alignment horizontal="right" readingOrder="0" shrinkToFit="0" vertical="bottom" wrapText="0"/>
    </xf>
    <xf borderId="4" fillId="0" fontId="19" numFmtId="0" xfId="0" applyAlignment="1" applyBorder="1" applyFont="1">
      <alignment horizontal="right" readingOrder="0" shrinkToFit="0" vertical="bottom" wrapText="0"/>
    </xf>
    <xf borderId="4" fillId="0" fontId="22" numFmtId="0" xfId="0" applyAlignment="1" applyBorder="1" applyFont="1">
      <alignment readingOrder="0"/>
    </xf>
    <xf borderId="4" fillId="0" fontId="23" numFmtId="0" xfId="0" applyAlignment="1" applyBorder="1" applyFont="1">
      <alignment readingOrder="0"/>
    </xf>
    <xf borderId="4" fillId="0" fontId="19" numFmtId="0" xfId="0" applyAlignment="1" applyBorder="1" applyFont="1">
      <alignment horizontal="left" readingOrder="0" shrinkToFit="0" vertical="bottom" wrapText="0"/>
    </xf>
    <xf borderId="4" fillId="0" fontId="24" numFmtId="0" xfId="0" applyAlignment="1" applyBorder="1" applyFont="1">
      <alignment horizontal="right" readingOrder="0" shrinkToFit="0" vertical="bottom" wrapText="0"/>
    </xf>
    <xf borderId="4" fillId="0" fontId="25" numFmtId="0" xfId="0" applyAlignment="1" applyBorder="1" applyFont="1">
      <alignment horizontal="right" readingOrder="0" shrinkToFit="0" vertical="bottom" wrapText="0"/>
    </xf>
    <xf borderId="0" fillId="7" fontId="26" numFmtId="0" xfId="0" applyAlignment="1" applyFont="1">
      <alignment horizontal="left" readingOrder="0"/>
    </xf>
    <xf borderId="0" fillId="9" fontId="3" numFmtId="0" xfId="0" applyAlignment="1" applyFill="1" applyFont="1">
      <alignment readingOrder="0"/>
    </xf>
    <xf borderId="0" fillId="7" fontId="15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4" fillId="0" fontId="2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262628"/>
                </a:solidFill>
                <a:latin typeface="+mn-lt"/>
              </a:defRPr>
            </a:pPr>
            <a:r>
              <a:rPr b="1" sz="1600">
                <a:solidFill>
                  <a:srgbClr val="262628"/>
                </a:solidFill>
                <a:latin typeface="+mn-lt"/>
              </a:rPr>
              <a:t>กราฟแสดง MNF ภาพรวมเขต 1</a:t>
            </a:r>
          </a:p>
        </c:rich>
      </c:tx>
      <c:layout>
        <c:manualLayout>
          <c:xMode val="edge"/>
          <c:yMode val="edge"/>
          <c:x val="0.03657351154313487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'ภาพรวมเขต'!$A$3</c:f>
            </c:strRef>
          </c:tx>
          <c:spPr>
            <a:solidFill>
              <a:srgbClr val="009D8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'ภาพรวมเขต'!$B$2:$M$2</c:f>
            </c:strRef>
          </c:cat>
          <c:val>
            <c:numRef>
              <c:f>'ภาพรวมเขต'!$B$3:$M$3</c:f>
              <c:numCache/>
            </c:numRef>
          </c:val>
        </c:ser>
        <c:axId val="2032466090"/>
        <c:axId val="1028006006"/>
      </c:barChart>
      <c:lineChart>
        <c:ser>
          <c:idx val="1"/>
          <c:order val="1"/>
          <c:tx>
            <c:strRef>
              <c:f>'ภาพรวมเขต'!$A$4</c:f>
            </c:strRef>
          </c:tx>
          <c:spPr>
            <a:ln cmpd="sng" w="38100">
              <a:solidFill>
                <a:srgbClr val="FF7D03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'ภาพรวมเขต'!$B$2:$M$2</c:f>
            </c:strRef>
          </c:cat>
          <c:val>
            <c:numRef>
              <c:f>'ภาพรวมเขต'!$B$4:$M$4</c:f>
              <c:numCache/>
            </c:numRef>
          </c:val>
          <c:smooth val="0"/>
        </c:ser>
        <c:ser>
          <c:idx val="2"/>
          <c:order val="2"/>
          <c:tx>
            <c:strRef>
              <c:f>'ภาพรวมเขต'!$A$5</c:f>
            </c:strRef>
          </c:tx>
          <c:spPr>
            <a:ln cmpd="sng" w="38100">
              <a:solidFill>
                <a:srgbClr val="AB3476">
                  <a:alpha val="100000"/>
                </a:srgbClr>
              </a:solidFill>
              <a:prstDash val="dashDot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cat>
            <c:strRef>
              <c:f>'ภาพรวมเขต'!$B$2:$M$2</c:f>
            </c:strRef>
          </c:cat>
          <c:val>
            <c:numRef>
              <c:f>'ภาพรวมเขต'!$B$5:$M$5</c:f>
              <c:numCache/>
            </c:numRef>
          </c:val>
          <c:smooth val="0"/>
        </c:ser>
        <c:ser>
          <c:idx val="3"/>
          <c:order val="3"/>
          <c:tx>
            <c:strRef>
              <c:f>'ภาพรวมเขต'!$A$6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'ภาพรวมเขต'!$B$2:$M$2</c:f>
            </c:strRef>
          </c:cat>
          <c:val>
            <c:numRef>
              <c:f>'ภาพรวมเขต'!$B$6:$M$6</c:f>
              <c:numCache/>
            </c:numRef>
          </c:val>
          <c:smooth val="0"/>
        </c:ser>
        <c:axId val="2032466090"/>
        <c:axId val="1028006006"/>
      </c:lineChart>
      <c:catAx>
        <c:axId val="20324660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006006"/>
      </c:catAx>
      <c:valAx>
        <c:axId val="1028006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246609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กปภ.สาขาชลบุรี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'1.ชลบุรี'!$A$4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'1.ชลบุรี'!$B$3:$M$3</c:f>
            </c:strRef>
          </c:cat>
          <c:val>
            <c:numRef>
              <c:f>'1.ชลบุรี'!$B$4:$M$4</c:f>
              <c:numCache/>
            </c:numRef>
          </c:val>
        </c:ser>
        <c:axId val="1840962707"/>
        <c:axId val="906692288"/>
      </c:barChart>
      <c:lineChart>
        <c:ser>
          <c:idx val="1"/>
          <c:order val="1"/>
          <c:tx>
            <c:strRef>
              <c:f>'1.ชลบุรี'!$A$5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'1.ชลบุรี'!$A$6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'1.ชลบุรี'!$A$7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'1.ชลบุรี'!$B$7:$M$7</c:f>
              <c:numCache/>
            </c:numRef>
          </c:val>
          <c:smooth val="0"/>
        </c:ser>
        <c:axId val="1840962707"/>
        <c:axId val="906692288"/>
      </c:lineChart>
      <c:catAx>
        <c:axId val="18409627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692288"/>
      </c:catAx>
      <c:valAx>
        <c:axId val="906692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09627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กปภ.สาขาพัทยา (ชั้นพิเศษ)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'2.พัทยา'!$A$4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'2.พัทยา'!$B$3:$M$3</c:f>
            </c:strRef>
          </c:cat>
          <c:val>
            <c:numRef>
              <c:f>'2.พัทยา'!$B$4:$M$4</c:f>
              <c:numCache/>
            </c:numRef>
          </c:val>
        </c:ser>
        <c:axId val="1378897758"/>
        <c:axId val="2053925280"/>
      </c:barChart>
      <c:lineChart>
        <c:ser>
          <c:idx val="1"/>
          <c:order val="1"/>
          <c:tx>
            <c:strRef>
              <c:f>'2.พัทยา'!$A$5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'2.พัทยา'!$B$5:$M$5</c:f>
              <c:numCache/>
            </c:numRef>
          </c:val>
          <c:smooth val="0"/>
        </c:ser>
        <c:ser>
          <c:idx val="2"/>
          <c:order val="2"/>
          <c:tx>
            <c:strRef>
              <c:f>'2.พัทยา'!$A$6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'2.พัทยา'!$B$6:$M$6</c:f>
              <c:numCache/>
            </c:numRef>
          </c:val>
          <c:smooth val="0"/>
        </c:ser>
        <c:ser>
          <c:idx val="3"/>
          <c:order val="3"/>
          <c:tx>
            <c:strRef>
              <c:f>'2.พัทยา'!$A$7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'2.พัทยา'!$B$7:$M$7</c:f>
              <c:numCache/>
            </c:numRef>
          </c:val>
          <c:smooth val="0"/>
        </c:ser>
        <c:axId val="1378897758"/>
        <c:axId val="2053925280"/>
      </c:lineChart>
      <c:catAx>
        <c:axId val="13788977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3925280"/>
      </c:catAx>
      <c:valAx>
        <c:axId val="20539252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89775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กปภ.สาขาพนัสนิคม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'4.พนัสนิคม'!$A$4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'4.พนัสนิคม'!$B$3:$M$3</c:f>
            </c:strRef>
          </c:cat>
          <c:val>
            <c:numRef>
              <c:f>'4.พนัสนิคม'!$B$4:$M$4</c:f>
              <c:numCache/>
            </c:numRef>
          </c:val>
        </c:ser>
        <c:axId val="1133348118"/>
        <c:axId val="1623493980"/>
      </c:barChart>
      <c:lineChart>
        <c:ser>
          <c:idx val="1"/>
          <c:order val="1"/>
          <c:tx>
            <c:strRef>
              <c:f>'4.พนัสนิคม'!$A$5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'4.พนัสนิคม'!$B$5:$M$5</c:f>
              <c:numCache/>
            </c:numRef>
          </c:val>
          <c:smooth val="0"/>
        </c:ser>
        <c:ser>
          <c:idx val="2"/>
          <c:order val="2"/>
          <c:tx>
            <c:strRef>
              <c:f>'4.พนัสนิคม'!$A$6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'4.พนัสนิคม'!$B$6:$M$6</c:f>
              <c:numCache/>
            </c:numRef>
          </c:val>
          <c:smooth val="0"/>
        </c:ser>
        <c:ser>
          <c:idx val="3"/>
          <c:order val="3"/>
          <c:tx>
            <c:strRef>
              <c:f>'4.พนัสนิคม'!$A$7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'4.พนัสนิคม'!$B$7:$M$7</c:f>
              <c:numCache/>
            </c:numRef>
          </c:val>
          <c:smooth val="0"/>
        </c:ser>
        <c:axId val="1133348118"/>
        <c:axId val="1623493980"/>
      </c:lineChart>
      <c:catAx>
        <c:axId val="1133348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493980"/>
      </c:catAx>
      <c:valAx>
        <c:axId val="1623493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34811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กปภ.สาขาศรีราชา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'5.ศรีราชา'!$A$4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'5.ศรีราชา'!$B$3:$M$3</c:f>
            </c:strRef>
          </c:cat>
          <c:val>
            <c:numRef>
              <c:f>'5.ศรีราชา'!$B$4:$M$4</c:f>
              <c:numCache/>
            </c:numRef>
          </c:val>
        </c:ser>
        <c:axId val="1289459644"/>
        <c:axId val="517458895"/>
      </c:barChart>
      <c:lineChart>
        <c:ser>
          <c:idx val="1"/>
          <c:order val="1"/>
          <c:tx>
            <c:strRef>
              <c:f>'5.ศรีราชา'!$A$5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'5.ศรีราชา'!$B$5:$M$5</c:f>
              <c:numCache/>
            </c:numRef>
          </c:val>
          <c:smooth val="0"/>
        </c:ser>
        <c:ser>
          <c:idx val="2"/>
          <c:order val="2"/>
          <c:tx>
            <c:strRef>
              <c:f>'5.ศรีราชา'!$A$6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'5.ศรีราชา'!$B$6:$M$6</c:f>
              <c:numCache/>
            </c:numRef>
          </c:val>
          <c:smooth val="0"/>
        </c:ser>
        <c:ser>
          <c:idx val="3"/>
          <c:order val="3"/>
          <c:tx>
            <c:strRef>
              <c:f>'5.ศรีราชา'!$A$7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'5.ศรีราชา'!$B$7:$M$7</c:f>
              <c:numCache/>
            </c:numRef>
          </c:val>
          <c:smooth val="0"/>
        </c:ser>
        <c:axId val="1289459644"/>
        <c:axId val="517458895"/>
      </c:lineChart>
      <c:catAx>
        <c:axId val="12894596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458895"/>
      </c:catAx>
      <c:valAx>
        <c:axId val="5174588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45964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กปภ.สาขาบางคล้า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'9.บางคล้า'!$A$4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'9.บางคล้า'!$B$3:$M$3</c:f>
            </c:strRef>
          </c:cat>
          <c:val>
            <c:numRef>
              <c:f>'9.บางคล้า'!$B$4:$M$4</c:f>
              <c:numCache/>
            </c:numRef>
          </c:val>
        </c:ser>
        <c:axId val="573204767"/>
        <c:axId val="1354288869"/>
      </c:barChart>
      <c:lineChart>
        <c:ser>
          <c:idx val="1"/>
          <c:order val="1"/>
          <c:tx>
            <c:strRef>
              <c:f>'9.บางคล้า'!$A$5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'9.บางคล้า'!$B$5:$M$5</c:f>
              <c:numCache/>
            </c:numRef>
          </c:val>
          <c:smooth val="0"/>
        </c:ser>
        <c:ser>
          <c:idx val="2"/>
          <c:order val="2"/>
          <c:tx>
            <c:strRef>
              <c:f>'9.บางคล้า'!$A$6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'9.บางคล้า'!$B$6:$M$6</c:f>
              <c:numCache/>
            </c:numRef>
          </c:val>
          <c:smooth val="0"/>
        </c:ser>
        <c:ser>
          <c:idx val="3"/>
          <c:order val="3"/>
          <c:tx>
            <c:strRef>
              <c:f>'9.บางคล้า'!$A$7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'9.บางคล้า'!$B$7:$M$7</c:f>
              <c:numCache/>
            </c:numRef>
          </c:val>
          <c:smooth val="0"/>
        </c:ser>
        <c:axId val="573204767"/>
        <c:axId val="1354288869"/>
      </c:lineChart>
      <c:catAx>
        <c:axId val="573204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288869"/>
      </c:catAx>
      <c:valAx>
        <c:axId val="1354288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320476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กปภ.สาขาบ้านฉาง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'12.บ้านฉาง'!$A$4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'12.บ้านฉาง'!$B$3:$M$3</c:f>
            </c:strRef>
          </c:cat>
          <c:val>
            <c:numRef>
              <c:f>'12.บ้านฉาง'!$B$4:$M$4</c:f>
              <c:numCache/>
            </c:numRef>
          </c:val>
        </c:ser>
        <c:axId val="1648389138"/>
        <c:axId val="171706211"/>
      </c:barChart>
      <c:lineChart>
        <c:ser>
          <c:idx val="1"/>
          <c:order val="1"/>
          <c:tx>
            <c:strRef>
              <c:f>'12.บ้านฉาง'!$A$5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'12.บ้านฉาง'!$B$5:$M$5</c:f>
              <c:numCache/>
            </c:numRef>
          </c:val>
          <c:smooth val="0"/>
        </c:ser>
        <c:ser>
          <c:idx val="2"/>
          <c:order val="2"/>
          <c:tx>
            <c:strRef>
              <c:f>'12.บ้านฉาง'!$A$6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'12.บ้านฉาง'!$B$6:$M$6</c:f>
              <c:numCache/>
            </c:numRef>
          </c:val>
          <c:smooth val="0"/>
        </c:ser>
        <c:ser>
          <c:idx val="3"/>
          <c:order val="3"/>
          <c:tx>
            <c:strRef>
              <c:f>'12.บ้านฉาง'!$A$7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Pt>
            <c:idx val="7"/>
            <c:marker>
              <c:symbol val="none"/>
            </c:marker>
          </c:dPt>
          <c:cat>
            <c:strRef>
              <c:f>'12.บ้านฉาง'!$B$3:$M$3</c:f>
            </c:strRef>
          </c:cat>
          <c:val>
            <c:numRef>
              <c:f>'12.บ้านฉาง'!$B$7:$M$7</c:f>
              <c:numCache/>
            </c:numRef>
          </c:val>
          <c:smooth val="0"/>
        </c:ser>
        <c:axId val="1648389138"/>
        <c:axId val="171706211"/>
      </c:lineChart>
      <c:catAx>
        <c:axId val="1648389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706211"/>
      </c:catAx>
      <c:valAx>
        <c:axId val="171706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838913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กปภ.สาขาจันบุรี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'14.จันทบุรี'!$A$4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'14.จันทบุรี'!$B$3:$M$3</c:f>
            </c:strRef>
          </c:cat>
          <c:val>
            <c:numRef>
              <c:f>'14.จันทบุรี'!$B$4:$M$4</c:f>
              <c:numCache/>
            </c:numRef>
          </c:val>
        </c:ser>
        <c:axId val="1434288286"/>
        <c:axId val="1611789224"/>
      </c:barChart>
      <c:lineChart>
        <c:ser>
          <c:idx val="1"/>
          <c:order val="1"/>
          <c:tx>
            <c:strRef>
              <c:f>'14.จันทบุรี'!$A$5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'14.จันทบุรี'!$A$6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'14.จันทบุรี'!$A$7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'14.จันทบุรี'!$B$7:$M$7</c:f>
              <c:numCache/>
            </c:numRef>
          </c:val>
          <c:smooth val="0"/>
        </c:ser>
        <c:axId val="1434288286"/>
        <c:axId val="1611789224"/>
      </c:lineChart>
      <c:catAx>
        <c:axId val="1434288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789224"/>
      </c:catAx>
      <c:valAx>
        <c:axId val="16117892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2882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กปภ.สาขาแหลมฉบัง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'6.แหลมฉบัง'!$A$4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'6.แหลมฉบัง'!$B$3:$M$3</c:f>
            </c:strRef>
          </c:cat>
          <c:val>
            <c:numRef>
              <c:f>'6.แหลมฉบัง'!$B$4:$M$4</c:f>
              <c:numCache/>
            </c:numRef>
          </c:val>
        </c:ser>
        <c:axId val="1380782656"/>
        <c:axId val="1883599873"/>
      </c:barChart>
      <c:lineChart>
        <c:ser>
          <c:idx val="1"/>
          <c:order val="1"/>
          <c:tx>
            <c:strRef>
              <c:f>'6.แหลมฉบัง'!$A$5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'6.แหลมฉบัง'!$B$5:$M$5</c:f>
              <c:numCache/>
            </c:numRef>
          </c:val>
          <c:smooth val="0"/>
        </c:ser>
        <c:ser>
          <c:idx val="2"/>
          <c:order val="2"/>
          <c:tx>
            <c:strRef>
              <c:f>'6.แหลมฉบัง'!$A$6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'6.แหลมฉบัง'!$B$6:$M$6</c:f>
              <c:numCache/>
            </c:numRef>
          </c:val>
          <c:smooth val="0"/>
        </c:ser>
        <c:ser>
          <c:idx val="3"/>
          <c:order val="3"/>
          <c:tx>
            <c:strRef>
              <c:f>'6.แหลมฉบัง'!$A$7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'6.แหลมฉบัง'!$B$7:$M$7</c:f>
              <c:numCache/>
            </c:numRef>
          </c:val>
          <c:smooth val="0"/>
        </c:ser>
        <c:axId val="1380782656"/>
        <c:axId val="1883599873"/>
      </c:lineChart>
      <c:catAx>
        <c:axId val="1380782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3599873"/>
      </c:catAx>
      <c:valAx>
        <c:axId val="1883599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78265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กปภ.สาขาบางปะกง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'7.บางปะกง'!$A$4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'7.บางปะกง'!$B$3:$M$3</c:f>
            </c:strRef>
          </c:cat>
          <c:val>
            <c:numRef>
              <c:f>'7.บางปะกง'!$B$4:$M$4</c:f>
              <c:numCache/>
            </c:numRef>
          </c:val>
        </c:ser>
        <c:axId val="493019593"/>
        <c:axId val="1928722658"/>
      </c:barChart>
      <c:lineChart>
        <c:ser>
          <c:idx val="1"/>
          <c:order val="1"/>
          <c:tx>
            <c:strRef>
              <c:f>'7.บางปะกง'!$A$5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'7.บางปะกง'!$B$5:$M$5</c:f>
              <c:numCache/>
            </c:numRef>
          </c:val>
          <c:smooth val="0"/>
        </c:ser>
        <c:ser>
          <c:idx val="2"/>
          <c:order val="2"/>
          <c:tx>
            <c:strRef>
              <c:f>'7.บางปะกง'!$A$6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'7.บางปะกง'!$B$6:$M$6</c:f>
              <c:numCache/>
            </c:numRef>
          </c:val>
          <c:smooth val="0"/>
        </c:ser>
        <c:ser>
          <c:idx val="3"/>
          <c:order val="3"/>
          <c:tx>
            <c:strRef>
              <c:f>'7.บางปะกง'!$A$7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'7.บางปะกง'!$B$7:$M$7</c:f>
              <c:numCache/>
            </c:numRef>
          </c:val>
          <c:smooth val="0"/>
        </c:ser>
        <c:axId val="493019593"/>
        <c:axId val="1928722658"/>
      </c:lineChart>
      <c:catAx>
        <c:axId val="4930195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722658"/>
      </c:catAx>
      <c:valAx>
        <c:axId val="1928722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01959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กปภ.สาขาฉะเชิงเทรา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'8.ฉะเชิงเทรา'!$A$4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'8.ฉะเชิงเทรา'!$B$3:$M$3</c:f>
            </c:strRef>
          </c:cat>
          <c:val>
            <c:numRef>
              <c:f>'8.ฉะเชิงเทรา'!$B$4:$M$4</c:f>
              <c:numCache/>
            </c:numRef>
          </c:val>
        </c:ser>
        <c:axId val="1072676482"/>
        <c:axId val="926083290"/>
      </c:barChart>
      <c:lineChart>
        <c:ser>
          <c:idx val="1"/>
          <c:order val="1"/>
          <c:tx>
            <c:strRef>
              <c:f>'8.ฉะเชิงเทรา'!$A$5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'8.ฉะเชิงเทรา'!$B$5:$M$5</c:f>
              <c:numCache/>
            </c:numRef>
          </c:val>
          <c:smooth val="0"/>
        </c:ser>
        <c:ser>
          <c:idx val="2"/>
          <c:order val="2"/>
          <c:tx>
            <c:strRef>
              <c:f>'8.ฉะเชิงเทรา'!$A$6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'8.ฉะเชิงเทรา'!$B$6:$M$6</c:f>
              <c:numCache/>
            </c:numRef>
          </c:val>
          <c:smooth val="0"/>
        </c:ser>
        <c:ser>
          <c:idx val="3"/>
          <c:order val="3"/>
          <c:tx>
            <c:strRef>
              <c:f>'8.ฉะเชิงเทรา'!$A$7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'8.ฉะเชิงเทรา'!$B$7:$M$7</c:f>
              <c:numCache/>
            </c:numRef>
          </c:val>
          <c:smooth val="0"/>
        </c:ser>
        <c:axId val="1072676482"/>
        <c:axId val="926083290"/>
      </c:lineChart>
      <c:catAx>
        <c:axId val="1072676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083290"/>
      </c:catAx>
      <c:valAx>
        <c:axId val="9260832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67648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กปภ.สาขาพนมสารคาม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'10.พนมสารคาม'!$A$4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'10.พนมสารคาม'!$B$3:$M$3</c:f>
            </c:strRef>
          </c:cat>
          <c:val>
            <c:numRef>
              <c:f>'10.พนมสารคาม'!$B$4:$M$4</c:f>
              <c:numCache/>
            </c:numRef>
          </c:val>
        </c:ser>
        <c:axId val="605812728"/>
        <c:axId val="442391369"/>
      </c:barChart>
      <c:lineChart>
        <c:ser>
          <c:idx val="1"/>
          <c:order val="1"/>
          <c:tx>
            <c:strRef>
              <c:f>'10.พนมสารคาม'!$A$5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'10.พนมสารคาม'!$B$5:$M$5</c:f>
              <c:numCache/>
            </c:numRef>
          </c:val>
          <c:smooth val="0"/>
        </c:ser>
        <c:ser>
          <c:idx val="2"/>
          <c:order val="2"/>
          <c:tx>
            <c:strRef>
              <c:f>'10.พนมสารคาม'!$A$6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'10.พนมสารคาม'!$B$6:$M$6</c:f>
              <c:numCache/>
            </c:numRef>
          </c:val>
          <c:smooth val="0"/>
        </c:ser>
        <c:ser>
          <c:idx val="3"/>
          <c:order val="3"/>
          <c:tx>
            <c:strRef>
              <c:f>'10.พนมสารคาม'!$A$7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'10.พนมสารคาม'!$B$7:$M$7</c:f>
              <c:numCache/>
            </c:numRef>
          </c:val>
          <c:smooth val="0"/>
        </c:ser>
        <c:axId val="605812728"/>
        <c:axId val="442391369"/>
      </c:lineChart>
      <c:catAx>
        <c:axId val="605812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391369"/>
      </c:catAx>
      <c:valAx>
        <c:axId val="4423913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58127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กปภ.สาขาระยอง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'11.ระยอง'!$A$4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'11.ระยอง'!$B$3:$M$3</c:f>
            </c:strRef>
          </c:cat>
          <c:val>
            <c:numRef>
              <c:f>'11.ระยอง'!$B$4:$M$4</c:f>
              <c:numCache/>
            </c:numRef>
          </c:val>
        </c:ser>
        <c:axId val="1746457399"/>
        <c:axId val="1627982516"/>
      </c:barChart>
      <c:lineChart>
        <c:varyColors val="0"/>
        <c:ser>
          <c:idx val="1"/>
          <c:order val="1"/>
          <c:tx>
            <c:strRef>
              <c:f>'11.ระยอง'!$A$5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'11.ระยอง'!$B$3:$M$3</c:f>
            </c:strRef>
          </c:cat>
          <c:val>
            <c:numRef>
              <c:f>'11.ระยอง'!$B$5:$M$5</c:f>
              <c:numCache/>
            </c:numRef>
          </c:val>
          <c:smooth val="0"/>
        </c:ser>
        <c:axId val="1746457399"/>
        <c:axId val="1627982516"/>
      </c:lineChart>
      <c:catAx>
        <c:axId val="17464573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7982516"/>
      </c:catAx>
      <c:valAx>
        <c:axId val="16279825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45739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กปภ.สาขาปากน้ำประแสร์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'13.ปากน้ำประแสร์'!$A$4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'13.ปากน้ำประแสร์'!$B$3:$M$3</c:f>
            </c:strRef>
          </c:cat>
          <c:val>
            <c:numRef>
              <c:f>'13.ปากน้ำประแสร์'!$B$4:$M$4</c:f>
              <c:numCache/>
            </c:numRef>
          </c:val>
        </c:ser>
        <c:axId val="1380475080"/>
        <c:axId val="735561795"/>
      </c:barChart>
      <c:lineChart>
        <c:ser>
          <c:idx val="1"/>
          <c:order val="1"/>
          <c:tx>
            <c:strRef>
              <c:f>'13.ปากน้ำประแสร์'!$A$5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'13.ปากน้ำประแสร์'!$B$5:$M$5</c:f>
              <c:numCache/>
            </c:numRef>
          </c:val>
          <c:smooth val="0"/>
        </c:ser>
        <c:ser>
          <c:idx val="2"/>
          <c:order val="2"/>
          <c:tx>
            <c:strRef>
              <c:f>'13.ปากน้ำประแสร์'!$A$6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'13.ปากน้ำประแสร์'!$B$6:$M$6</c:f>
              <c:numCache/>
            </c:numRef>
          </c:val>
          <c:smooth val="0"/>
        </c:ser>
        <c:ser>
          <c:idx val="3"/>
          <c:order val="3"/>
          <c:tx>
            <c:strRef>
              <c:f>'13.ปากน้ำประแสร์'!$A$7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'13.ปากน้ำประแสร์'!$B$7:$M$7</c:f>
              <c:numCache/>
            </c:numRef>
          </c:val>
          <c:smooth val="0"/>
        </c:ser>
        <c:axId val="1380475080"/>
        <c:axId val="735561795"/>
      </c:lineChart>
      <c:catAx>
        <c:axId val="13804750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561795"/>
      </c:catAx>
      <c:valAx>
        <c:axId val="7355617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047508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กปภ.สาขาขลุง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'15.ขลุง'!$A$4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'15.ขลุง'!$B$3:$M$3</c:f>
            </c:strRef>
          </c:cat>
          <c:val>
            <c:numRef>
              <c:f>'15.ขลุง'!$B$4:$M$4</c:f>
              <c:numCache/>
            </c:numRef>
          </c:val>
        </c:ser>
        <c:axId val="470213478"/>
        <c:axId val="218942655"/>
      </c:barChart>
      <c:lineChart>
        <c:ser>
          <c:idx val="1"/>
          <c:order val="1"/>
          <c:tx>
            <c:strRef>
              <c:f>'15.ขลุง'!$A$5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'15.ขลุง'!$B$5:$M$5</c:f>
              <c:numCache/>
            </c:numRef>
          </c:val>
          <c:smooth val="0"/>
        </c:ser>
        <c:ser>
          <c:idx val="2"/>
          <c:order val="2"/>
          <c:tx>
            <c:strRef>
              <c:f>'15.ขลุง'!$A$6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'15.ขลุง'!$B$6:$M$6</c:f>
              <c:numCache/>
            </c:numRef>
          </c:val>
          <c:smooth val="0"/>
        </c:ser>
        <c:ser>
          <c:idx val="3"/>
          <c:order val="3"/>
          <c:tx>
            <c:strRef>
              <c:f>'15.ขลุง'!$A$7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'15.ขลุง'!$B$7:$M$7</c:f>
              <c:numCache/>
            </c:numRef>
          </c:val>
          <c:smooth val="0"/>
        </c:ser>
        <c:axId val="470213478"/>
        <c:axId val="218942655"/>
      </c:lineChart>
      <c:catAx>
        <c:axId val="470213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8942655"/>
      </c:catAx>
      <c:valAx>
        <c:axId val="218942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21347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กปภ.สาขาตราด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'16.ตราด'!$A$4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'16.ตราด'!$B$3:$M$3</c:f>
            </c:strRef>
          </c:cat>
          <c:val>
            <c:numRef>
              <c:f>'16.ตราด'!$B$4:$M$4</c:f>
              <c:numCache/>
            </c:numRef>
          </c:val>
        </c:ser>
        <c:axId val="1610558607"/>
        <c:axId val="283627125"/>
      </c:barChart>
      <c:lineChart>
        <c:ser>
          <c:idx val="1"/>
          <c:order val="1"/>
          <c:tx>
            <c:strRef>
              <c:f>'16.ตราด'!$A$5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'16.ตราด'!$B$5:$M$5</c:f>
              <c:numCache/>
            </c:numRef>
          </c:val>
          <c:smooth val="0"/>
        </c:ser>
        <c:ser>
          <c:idx val="2"/>
          <c:order val="2"/>
          <c:tx>
            <c:strRef>
              <c:f>'16.ตราด'!$A$6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'16.ตราด'!$B$6:$M$6</c:f>
              <c:numCache/>
            </c:numRef>
          </c:val>
          <c:smooth val="0"/>
        </c:ser>
        <c:ser>
          <c:idx val="3"/>
          <c:order val="3"/>
          <c:tx>
            <c:strRef>
              <c:f>'16.ตราด'!$A$7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'16.ตราด'!$B$7:$M$7</c:f>
              <c:numCache/>
            </c:numRef>
          </c:val>
          <c:smooth val="0"/>
        </c:ser>
        <c:axId val="1610558607"/>
        <c:axId val="283627125"/>
      </c:lineChart>
      <c:catAx>
        <c:axId val="1610558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627125"/>
      </c:catAx>
      <c:valAx>
        <c:axId val="283627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05586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กปภ.สาขาคลองใหญ่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'17.คลองใหญ่'!$A$4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'17.คลองใหญ่'!$B$3:$M$3</c:f>
            </c:strRef>
          </c:cat>
          <c:val>
            <c:numRef>
              <c:f>'17.คลองใหญ่'!$B$4:$M$4</c:f>
              <c:numCache/>
            </c:numRef>
          </c:val>
        </c:ser>
        <c:axId val="854981398"/>
        <c:axId val="1432372951"/>
      </c:barChart>
      <c:lineChart>
        <c:ser>
          <c:idx val="1"/>
          <c:order val="1"/>
          <c:tx>
            <c:strRef>
              <c:f>'17.คลองใหญ่'!$A$5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'17.คลองใหญ่'!$B$5:$M$5</c:f>
              <c:numCache/>
            </c:numRef>
          </c:val>
          <c:smooth val="0"/>
        </c:ser>
        <c:ser>
          <c:idx val="2"/>
          <c:order val="2"/>
          <c:tx>
            <c:strRef>
              <c:f>'17.คลองใหญ่'!$A$6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'17.คลองใหญ่'!$B$6:$M$6</c:f>
              <c:numCache/>
            </c:numRef>
          </c:val>
          <c:smooth val="0"/>
        </c:ser>
        <c:ser>
          <c:idx val="3"/>
          <c:order val="3"/>
          <c:tx>
            <c:strRef>
              <c:f>'17.คลองใหญ่'!$A$7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'17.คลองใหญ่'!$B$7:$M$7</c:f>
              <c:numCache/>
            </c:numRef>
          </c:val>
          <c:smooth val="0"/>
        </c:ser>
        <c:axId val="854981398"/>
        <c:axId val="1432372951"/>
      </c:lineChart>
      <c:catAx>
        <c:axId val="854981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2372951"/>
      </c:catAx>
      <c:valAx>
        <c:axId val="1432372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98139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กปภ.สาขาสระแก้ว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'18.สระแก้ว'!$A$4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'18.สระแก้ว'!$B$3:$M$3</c:f>
            </c:strRef>
          </c:cat>
          <c:val>
            <c:numRef>
              <c:f>'18.สระแก้ว'!$B$4:$M$4</c:f>
              <c:numCache/>
            </c:numRef>
          </c:val>
        </c:ser>
        <c:axId val="769058710"/>
        <c:axId val="912756035"/>
      </c:barChart>
      <c:lineChart>
        <c:ser>
          <c:idx val="1"/>
          <c:order val="1"/>
          <c:tx>
            <c:strRef>
              <c:f>'18.สระแก้ว'!$A$5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'18.สระแก้ว'!$B$5:$M$5</c:f>
              <c:numCache/>
            </c:numRef>
          </c:val>
          <c:smooth val="0"/>
        </c:ser>
        <c:ser>
          <c:idx val="2"/>
          <c:order val="2"/>
          <c:tx>
            <c:strRef>
              <c:f>'18.สระแก้ว'!$A$6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'18.สระแก้ว'!$B$6:$M$6</c:f>
              <c:numCache/>
            </c:numRef>
          </c:val>
          <c:smooth val="0"/>
        </c:ser>
        <c:ser>
          <c:idx val="3"/>
          <c:order val="3"/>
          <c:tx>
            <c:strRef>
              <c:f>'18.สระแก้ว'!$A$7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'18.สระแก้ว'!$B$7:$M$7</c:f>
              <c:numCache/>
            </c:numRef>
          </c:val>
          <c:smooth val="0"/>
        </c:ser>
        <c:axId val="769058710"/>
        <c:axId val="912756035"/>
      </c:lineChart>
      <c:catAx>
        <c:axId val="7690587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2756035"/>
      </c:catAx>
      <c:valAx>
        <c:axId val="912756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05871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กปภ.สาขาวัฒนานคร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'19.วัฒนานคร'!$A$4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'19.วัฒนานคร'!$B$3:$M$3</c:f>
            </c:strRef>
          </c:cat>
          <c:val>
            <c:numRef>
              <c:f>'19.วัฒนานคร'!$B$4:$M$4</c:f>
              <c:numCache/>
            </c:numRef>
          </c:val>
        </c:ser>
        <c:axId val="523487805"/>
        <c:axId val="327081160"/>
      </c:barChart>
      <c:lineChart>
        <c:ser>
          <c:idx val="1"/>
          <c:order val="1"/>
          <c:tx>
            <c:strRef>
              <c:f>'19.วัฒนานคร'!$A$5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'19.วัฒนานคร'!$B$5:$M$5</c:f>
              <c:numCache/>
            </c:numRef>
          </c:val>
          <c:smooth val="0"/>
        </c:ser>
        <c:ser>
          <c:idx val="2"/>
          <c:order val="2"/>
          <c:tx>
            <c:strRef>
              <c:f>'19.วัฒนานคร'!$A$6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'19.วัฒนานคร'!$B$6:$M$6</c:f>
              <c:numCache/>
            </c:numRef>
          </c:val>
          <c:smooth val="0"/>
        </c:ser>
        <c:ser>
          <c:idx val="3"/>
          <c:order val="3"/>
          <c:tx>
            <c:strRef>
              <c:f>'19.วัฒนานคร'!$A$7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'19.วัฒนานคร'!$B$7:$M$7</c:f>
              <c:numCache/>
            </c:numRef>
          </c:val>
          <c:smooth val="0"/>
        </c:ser>
        <c:axId val="523487805"/>
        <c:axId val="327081160"/>
      </c:lineChart>
      <c:catAx>
        <c:axId val="523487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7081160"/>
      </c:catAx>
      <c:valAx>
        <c:axId val="327081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48780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กปภ.สาขาอรัญประเทศ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'20.อรัญประเทศ'!$A$4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'20.อรัญประเทศ'!$B$3:$M$3</c:f>
            </c:strRef>
          </c:cat>
          <c:val>
            <c:numRef>
              <c:f>'20.อรัญประเทศ'!$B$4:$M$4</c:f>
              <c:numCache/>
            </c:numRef>
          </c:val>
        </c:ser>
        <c:axId val="793147705"/>
        <c:axId val="1315185289"/>
      </c:barChart>
      <c:lineChart>
        <c:ser>
          <c:idx val="1"/>
          <c:order val="1"/>
          <c:tx>
            <c:strRef>
              <c:f>'20.อรัญประเทศ'!$A$5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'20.อรัญประเทศ'!$B$5:$M$5</c:f>
              <c:numCache/>
            </c:numRef>
          </c:val>
          <c:smooth val="0"/>
        </c:ser>
        <c:ser>
          <c:idx val="2"/>
          <c:order val="2"/>
          <c:tx>
            <c:strRef>
              <c:f>'20.อรัญประเทศ'!$A$6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'20.อรัญประเทศ'!$B$6:$M$6</c:f>
              <c:numCache/>
            </c:numRef>
          </c:val>
          <c:smooth val="0"/>
        </c:ser>
        <c:ser>
          <c:idx val="3"/>
          <c:order val="3"/>
          <c:tx>
            <c:strRef>
              <c:f>'20.อรัญประเทศ'!$A$7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'20.อรัญประเทศ'!$B$7:$M$7</c:f>
              <c:numCache/>
            </c:numRef>
          </c:val>
          <c:smooth val="0"/>
        </c:ser>
        <c:axId val="793147705"/>
        <c:axId val="1315185289"/>
      </c:lineChart>
      <c:catAx>
        <c:axId val="7931477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185289"/>
      </c:catAx>
      <c:valAx>
        <c:axId val="13151852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14770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กปภ.สาขาปราจีนบุรี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'21.ปราจีนบุรี'!$A$4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'21.ปราจีนบุรี'!$B$3:$M$3</c:f>
            </c:strRef>
          </c:cat>
          <c:val>
            <c:numRef>
              <c:f>'21.ปราจีนบุรี'!$B$4:$M$4</c:f>
              <c:numCache/>
            </c:numRef>
          </c:val>
        </c:ser>
        <c:axId val="45441799"/>
        <c:axId val="2143843478"/>
      </c:barChart>
      <c:lineChart>
        <c:ser>
          <c:idx val="1"/>
          <c:order val="1"/>
          <c:tx>
            <c:strRef>
              <c:f>'21.ปราจีนบุรี'!$A$5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'21.ปราจีนบุรี'!$A$6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'21.ปราจีนบุรี'!$A$7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'21.ปราจีนบุรี'!$B$7:$M$7</c:f>
              <c:numCache/>
            </c:numRef>
          </c:val>
          <c:smooth val="0"/>
        </c:ser>
        <c:axId val="45441799"/>
        <c:axId val="2143843478"/>
      </c:lineChart>
      <c:catAx>
        <c:axId val="45441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3843478"/>
      </c:catAx>
      <c:valAx>
        <c:axId val="21438434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4179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กราฟแสดง MNF กปภ.สาขากบินทร์บุรี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'22.กบินทร์บุรี'!$A$4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'22.กบินทร์บุรี'!$B$3:$M$3</c:f>
            </c:strRef>
          </c:cat>
          <c:val>
            <c:numRef>
              <c:f>'22.กบินทร์บุรี'!$B$4:$M$4</c:f>
              <c:numCache/>
            </c:numRef>
          </c:val>
        </c:ser>
        <c:axId val="638235184"/>
        <c:axId val="151787549"/>
      </c:barChart>
      <c:lineChart>
        <c:ser>
          <c:idx val="1"/>
          <c:order val="1"/>
          <c:tx>
            <c:strRef>
              <c:f>'22.กบินทร์บุรี'!$A$5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'22.กบินทร์บุรี'!$A$6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'22.กบินทร์บุรี'!$A$7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'22.กบินทร์บุรี'!$B$7:$M$7</c:f>
              <c:numCache/>
            </c:numRef>
          </c:val>
          <c:smooth val="0"/>
        </c:ser>
        <c:axId val="638235184"/>
        <c:axId val="151787549"/>
      </c:lineChart>
      <c:catAx>
        <c:axId val="6382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787549"/>
      </c:catAx>
      <c:valAx>
        <c:axId val="1517875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23518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กปภ.สาขาบ้านบึง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'3.บ้านบึง'!$A$4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'3.บ้านบึง'!$B$3:$M$3</c:f>
            </c:strRef>
          </c:cat>
          <c:val>
            <c:numRef>
              <c:f>'3.บ้านบึง'!$B$4:$M$4</c:f>
              <c:numCache/>
            </c:numRef>
          </c:val>
        </c:ser>
        <c:axId val="1926134978"/>
        <c:axId val="9524259"/>
      </c:barChart>
      <c:lineChart>
        <c:ser>
          <c:idx val="1"/>
          <c:order val="1"/>
          <c:tx>
            <c:strRef>
              <c:f>'3.บ้านบึง'!$A$5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'3.บ้านบึง'!$B$5:$M$5</c:f>
              <c:numCache/>
            </c:numRef>
          </c:val>
          <c:smooth val="0"/>
        </c:ser>
        <c:ser>
          <c:idx val="2"/>
          <c:order val="2"/>
          <c:tx>
            <c:strRef>
              <c:f>'3.บ้านบึง'!$A$6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'3.บ้านบึง'!$B$6:$M$6</c:f>
              <c:numCache/>
            </c:numRef>
          </c:val>
          <c:smooth val="0"/>
        </c:ser>
        <c:ser>
          <c:idx val="3"/>
          <c:order val="3"/>
          <c:tx>
            <c:strRef>
              <c:f>'3.บ้านบึง'!$A$23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'3.บ้านบึง'!$B$23:$M$23</c:f>
              <c:numCache/>
            </c:numRef>
          </c:val>
          <c:smooth val="0"/>
        </c:ser>
        <c:axId val="1926134978"/>
        <c:axId val="9524259"/>
      </c:lineChart>
      <c:catAx>
        <c:axId val="1926134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24259"/>
      </c:catAx>
      <c:valAx>
        <c:axId val="9524259"/>
        <c:scaling>
          <c:orientation val="minMax"/>
          <c:max val="28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13497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กปภ.สาขาชลบุรี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'1.ชลบุรี'!$A$4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'1.ชลบุรี'!$B$3:$M$3</c:f>
            </c:strRef>
          </c:cat>
          <c:val>
            <c:numRef>
              <c:f>'1.ชลบุรี'!$B$4:$M$4</c:f>
              <c:numCache/>
            </c:numRef>
          </c:val>
        </c:ser>
        <c:axId val="119642123"/>
        <c:axId val="1308994864"/>
      </c:barChart>
      <c:lineChart>
        <c:ser>
          <c:idx val="1"/>
          <c:order val="1"/>
          <c:tx>
            <c:strRef>
              <c:f>'1.ชลบุรี'!$A$5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'1.ชลบุรี'!$A$6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'1.ชลบุรี'!$A$7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'1.ชลบุรี'!$B$3:$M$3</c:f>
            </c:strRef>
          </c:cat>
          <c:val>
            <c:numRef>
              <c:f>'1.ชลบุรี'!$B$7:$M$7</c:f>
              <c:numCache/>
            </c:numRef>
          </c:val>
          <c:smooth val="0"/>
        </c:ser>
        <c:axId val="119642123"/>
        <c:axId val="1308994864"/>
      </c:lineChart>
      <c:catAx>
        <c:axId val="119642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8994864"/>
      </c:catAx>
      <c:valAx>
        <c:axId val="1308994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6421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กปภ.สาขาพัทยา (ชั้นพิเศษ)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'2.พัทยา'!$A$4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'2.พัทยา'!$B$3:$M$3</c:f>
            </c:strRef>
          </c:cat>
          <c:val>
            <c:numRef>
              <c:f>'2.พัทยา'!$B$4:$M$4</c:f>
              <c:numCache/>
            </c:numRef>
          </c:val>
        </c:ser>
        <c:axId val="2081693871"/>
        <c:axId val="286147938"/>
      </c:barChart>
      <c:lineChart>
        <c:ser>
          <c:idx val="1"/>
          <c:order val="1"/>
          <c:tx>
            <c:strRef>
              <c:f>'2.พัทยา'!$A$5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'2.พัทยา'!$B$5:$M$5</c:f>
              <c:numCache/>
            </c:numRef>
          </c:val>
          <c:smooth val="0"/>
        </c:ser>
        <c:ser>
          <c:idx val="2"/>
          <c:order val="2"/>
          <c:tx>
            <c:strRef>
              <c:f>'2.พัทยา'!$A$6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'2.พัทยา'!$B$6:$M$6</c:f>
              <c:numCache/>
            </c:numRef>
          </c:val>
          <c:smooth val="0"/>
        </c:ser>
        <c:ser>
          <c:idx val="3"/>
          <c:order val="3"/>
          <c:tx>
            <c:strRef>
              <c:f>'2.พัทยา'!$A$7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'2.พัทยา'!$B$3:$M$3</c:f>
            </c:strRef>
          </c:cat>
          <c:val>
            <c:numRef>
              <c:f>'2.พัทยา'!$B$7:$M$7</c:f>
              <c:numCache/>
            </c:numRef>
          </c:val>
          <c:smooth val="0"/>
        </c:ser>
        <c:axId val="2081693871"/>
        <c:axId val="286147938"/>
      </c:lineChart>
      <c:catAx>
        <c:axId val="20816938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6147938"/>
      </c:catAx>
      <c:valAx>
        <c:axId val="286147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169387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กปภ.สาขาบ้านบึง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'3.บ้านบึง'!$A$4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'3.บ้านบึง'!$B$3:$M$3</c:f>
            </c:strRef>
          </c:cat>
          <c:val>
            <c:numRef>
              <c:f>'3.บ้านบึง'!$B$4:$M$4</c:f>
              <c:numCache/>
            </c:numRef>
          </c:val>
        </c:ser>
        <c:axId val="186693855"/>
        <c:axId val="15770639"/>
      </c:barChart>
      <c:lineChart>
        <c:ser>
          <c:idx val="1"/>
          <c:order val="1"/>
          <c:tx>
            <c:strRef>
              <c:f>'3.บ้านบึง'!$A$5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'3.บ้านบึง'!$B$5:$M$5</c:f>
              <c:numCache/>
            </c:numRef>
          </c:val>
          <c:smooth val="0"/>
        </c:ser>
        <c:ser>
          <c:idx val="2"/>
          <c:order val="2"/>
          <c:tx>
            <c:strRef>
              <c:f>'3.บ้านบึง'!$A$6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'3.บ้านบึง'!$B$6:$M$6</c:f>
              <c:numCache/>
            </c:numRef>
          </c:val>
          <c:smooth val="0"/>
        </c:ser>
        <c:ser>
          <c:idx val="3"/>
          <c:order val="3"/>
          <c:tx>
            <c:strRef>
              <c:f>'3.บ้านบึง'!$A$23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'3.บ้านบึง'!$B$3:$M$3</c:f>
            </c:strRef>
          </c:cat>
          <c:val>
            <c:numRef>
              <c:f>'3.บ้านบึง'!$B$23:$M$23</c:f>
              <c:numCache/>
            </c:numRef>
          </c:val>
          <c:smooth val="0"/>
        </c:ser>
        <c:axId val="186693855"/>
        <c:axId val="15770639"/>
      </c:lineChart>
      <c:catAx>
        <c:axId val="1866938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70639"/>
      </c:catAx>
      <c:valAx>
        <c:axId val="15770639"/>
        <c:scaling>
          <c:orientation val="minMax"/>
          <c:max val="28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938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กปภ.สาขาพนัสนิคม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'4.พนัสนิคม'!$A$4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'4.พนัสนิคม'!$B$3:$M$3</c:f>
            </c:strRef>
          </c:cat>
          <c:val>
            <c:numRef>
              <c:f>'4.พนัสนิคม'!$B$4:$M$4</c:f>
              <c:numCache/>
            </c:numRef>
          </c:val>
        </c:ser>
        <c:axId val="468426651"/>
        <c:axId val="1880252221"/>
      </c:barChart>
      <c:lineChart>
        <c:ser>
          <c:idx val="1"/>
          <c:order val="1"/>
          <c:tx>
            <c:strRef>
              <c:f>'4.พนัสนิคม'!$A$5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'4.พนัสนิคม'!$B$5:$M$5</c:f>
              <c:numCache/>
            </c:numRef>
          </c:val>
          <c:smooth val="0"/>
        </c:ser>
        <c:ser>
          <c:idx val="2"/>
          <c:order val="2"/>
          <c:tx>
            <c:strRef>
              <c:f>'4.พนัสนิคม'!$A$6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'4.พนัสนิคม'!$B$6:$M$6</c:f>
              <c:numCache/>
            </c:numRef>
          </c:val>
          <c:smooth val="0"/>
        </c:ser>
        <c:ser>
          <c:idx val="3"/>
          <c:order val="3"/>
          <c:tx>
            <c:strRef>
              <c:f>'4.พนัสนิคม'!$A$7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'4.พนัสนิคม'!$B$3:$M$3</c:f>
            </c:strRef>
          </c:cat>
          <c:val>
            <c:numRef>
              <c:f>'4.พนัสนิคม'!$B$7:$M$7</c:f>
              <c:numCache/>
            </c:numRef>
          </c:val>
          <c:smooth val="0"/>
        </c:ser>
        <c:axId val="468426651"/>
        <c:axId val="1880252221"/>
      </c:lineChart>
      <c:catAx>
        <c:axId val="468426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0252221"/>
      </c:catAx>
      <c:valAx>
        <c:axId val="1880252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42665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กปภ.สาขาศรีราชา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'5.ศรีราชา'!$A$4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'5.ศรีราชา'!$B$3:$M$3</c:f>
            </c:strRef>
          </c:cat>
          <c:val>
            <c:numRef>
              <c:f>'5.ศรีราชา'!$B$4:$M$4</c:f>
              <c:numCache/>
            </c:numRef>
          </c:val>
        </c:ser>
        <c:axId val="1180241323"/>
        <c:axId val="385267640"/>
      </c:barChart>
      <c:lineChart>
        <c:ser>
          <c:idx val="1"/>
          <c:order val="1"/>
          <c:tx>
            <c:strRef>
              <c:f>'5.ศรีราชา'!$A$5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'5.ศรีราชา'!$B$5:$M$5</c:f>
              <c:numCache/>
            </c:numRef>
          </c:val>
          <c:smooth val="0"/>
        </c:ser>
        <c:ser>
          <c:idx val="2"/>
          <c:order val="2"/>
          <c:tx>
            <c:strRef>
              <c:f>'5.ศรีราชา'!$A$6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'5.ศรีราชา'!$B$6:$M$6</c:f>
              <c:numCache/>
            </c:numRef>
          </c:val>
          <c:smooth val="0"/>
        </c:ser>
        <c:ser>
          <c:idx val="3"/>
          <c:order val="3"/>
          <c:tx>
            <c:strRef>
              <c:f>'5.ศรีราชา'!$A$7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'5.ศรีราชา'!$B$3:$M$3</c:f>
            </c:strRef>
          </c:cat>
          <c:val>
            <c:numRef>
              <c:f>'5.ศรีราชา'!$B$7:$M$7</c:f>
              <c:numCache/>
            </c:numRef>
          </c:val>
          <c:smooth val="0"/>
        </c:ser>
        <c:axId val="1180241323"/>
        <c:axId val="385267640"/>
      </c:lineChart>
      <c:catAx>
        <c:axId val="1180241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5267640"/>
      </c:catAx>
      <c:valAx>
        <c:axId val="385267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02413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กปภ.สาขาแหลมฉบัง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'6.แหลมฉบัง'!$A$4</c:f>
            </c:strRef>
          </c:tx>
          <c:spPr>
            <a:solidFill>
              <a:srgbClr val="1155CC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'6.แหลมฉบัง'!$B$3:$M$3</c:f>
            </c:strRef>
          </c:cat>
          <c:val>
            <c:numRef>
              <c:f>'6.แหลมฉบัง'!$B$4:$M$4</c:f>
              <c:numCache/>
            </c:numRef>
          </c:val>
        </c:ser>
        <c:axId val="688475069"/>
        <c:axId val="873357344"/>
      </c:barChart>
      <c:lineChart>
        <c:ser>
          <c:idx val="1"/>
          <c:order val="1"/>
          <c:tx>
            <c:strRef>
              <c:f>'6.แหลมฉบัง'!$A$5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'6.แหลมฉบัง'!$B$5:$M$5</c:f>
              <c:numCache/>
            </c:numRef>
          </c:val>
          <c:smooth val="0"/>
        </c:ser>
        <c:ser>
          <c:idx val="2"/>
          <c:order val="2"/>
          <c:tx>
            <c:strRef>
              <c:f>'6.แหลมฉบัง'!$A$6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'6.แหลมฉบัง'!$B$6:$M$6</c:f>
              <c:numCache/>
            </c:numRef>
          </c:val>
          <c:smooth val="0"/>
        </c:ser>
        <c:ser>
          <c:idx val="3"/>
          <c:order val="3"/>
          <c:tx>
            <c:strRef>
              <c:f>'6.แหลมฉบัง'!$A$7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'6.แหลมฉบัง'!$B$3:$M$3</c:f>
            </c:strRef>
          </c:cat>
          <c:val>
            <c:numRef>
              <c:f>'6.แหลมฉบัง'!$B$7:$M$7</c:f>
              <c:numCache/>
            </c:numRef>
          </c:val>
          <c:smooth val="0"/>
        </c:ser>
        <c:axId val="688475069"/>
        <c:axId val="873357344"/>
      </c:lineChart>
      <c:catAx>
        <c:axId val="688475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357344"/>
      </c:catAx>
      <c:valAx>
        <c:axId val="873357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47506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กปภ.สาขาบางปะกง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'7.บางปะกง'!$A$4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'7.บางปะกง'!$B$3:$M$3</c:f>
            </c:strRef>
          </c:cat>
          <c:val>
            <c:numRef>
              <c:f>'7.บางปะกง'!$B$4:$M$4</c:f>
              <c:numCache/>
            </c:numRef>
          </c:val>
        </c:ser>
        <c:axId val="1484823726"/>
        <c:axId val="1412019604"/>
      </c:barChart>
      <c:lineChart>
        <c:ser>
          <c:idx val="1"/>
          <c:order val="1"/>
          <c:tx>
            <c:strRef>
              <c:f>'7.บางปะกง'!$A$5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'7.บางปะกง'!$B$5:$M$5</c:f>
              <c:numCache/>
            </c:numRef>
          </c:val>
          <c:smooth val="0"/>
        </c:ser>
        <c:ser>
          <c:idx val="2"/>
          <c:order val="2"/>
          <c:tx>
            <c:strRef>
              <c:f>'7.บางปะกง'!$A$6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'7.บางปะกง'!$B$6:$M$6</c:f>
              <c:numCache/>
            </c:numRef>
          </c:val>
          <c:smooth val="0"/>
        </c:ser>
        <c:ser>
          <c:idx val="3"/>
          <c:order val="3"/>
          <c:tx>
            <c:strRef>
              <c:f>'7.บางปะกง'!$A$7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'7.บางปะกง'!$B$3:$M$3</c:f>
            </c:strRef>
          </c:cat>
          <c:val>
            <c:numRef>
              <c:f>'7.บางปะกง'!$B$7:$M$7</c:f>
              <c:numCache/>
            </c:numRef>
          </c:val>
          <c:smooth val="0"/>
        </c:ser>
        <c:axId val="1484823726"/>
        <c:axId val="1412019604"/>
      </c:lineChart>
      <c:catAx>
        <c:axId val="1484823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2019604"/>
      </c:catAx>
      <c:valAx>
        <c:axId val="14120196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82372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กปภ.สาขาฉะเชิงเทรา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'8.ฉะเชิงเทรา'!$A$4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'8.ฉะเชิงเทรา'!$B$3:$M$3</c:f>
            </c:strRef>
          </c:cat>
          <c:val>
            <c:numRef>
              <c:f>'8.ฉะเชิงเทรา'!$B$4:$M$4</c:f>
              <c:numCache/>
            </c:numRef>
          </c:val>
        </c:ser>
        <c:axId val="1788532626"/>
        <c:axId val="747672423"/>
      </c:barChart>
      <c:lineChart>
        <c:ser>
          <c:idx val="1"/>
          <c:order val="1"/>
          <c:tx>
            <c:strRef>
              <c:f>'8.ฉะเชิงเทรา'!$A$5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'8.ฉะเชิงเทรา'!$B$5:$M$5</c:f>
              <c:numCache/>
            </c:numRef>
          </c:val>
          <c:smooth val="0"/>
        </c:ser>
        <c:ser>
          <c:idx val="2"/>
          <c:order val="2"/>
          <c:tx>
            <c:strRef>
              <c:f>'8.ฉะเชิงเทรา'!$A$6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'8.ฉะเชิงเทรา'!$B$6:$M$6</c:f>
              <c:numCache/>
            </c:numRef>
          </c:val>
          <c:smooth val="0"/>
        </c:ser>
        <c:ser>
          <c:idx val="3"/>
          <c:order val="3"/>
          <c:tx>
            <c:strRef>
              <c:f>'8.ฉะเชิงเทรา'!$A$7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BBC04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'8.ฉะเชิงเทรา'!$B$3:$M$3</c:f>
            </c:strRef>
          </c:cat>
          <c:val>
            <c:numRef>
              <c:f>'8.ฉะเชิงเทรา'!$B$7:$M$7</c:f>
              <c:numCache/>
            </c:numRef>
          </c:val>
          <c:smooth val="0"/>
        </c:ser>
        <c:axId val="1788532626"/>
        <c:axId val="747672423"/>
      </c:lineChart>
      <c:catAx>
        <c:axId val="1788532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672423"/>
      </c:catAx>
      <c:valAx>
        <c:axId val="747672423"/>
        <c:scaling>
          <c:orientation val="minMax"/>
          <c:max val="15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853262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กปภ.สาขาบางคล้า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'9.บางคล้า'!$A$4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'9.บางคล้า'!$B$3:$M$3</c:f>
            </c:strRef>
          </c:cat>
          <c:val>
            <c:numRef>
              <c:f>'9.บางคล้า'!$B$4:$M$4</c:f>
              <c:numCache/>
            </c:numRef>
          </c:val>
        </c:ser>
        <c:axId val="1709043896"/>
        <c:axId val="208618995"/>
      </c:barChart>
      <c:lineChart>
        <c:ser>
          <c:idx val="1"/>
          <c:order val="1"/>
          <c:tx>
            <c:strRef>
              <c:f>'9.บางคล้า'!$A$5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'9.บางคล้า'!$B$5:$M$5</c:f>
              <c:numCache/>
            </c:numRef>
          </c:val>
          <c:smooth val="0"/>
        </c:ser>
        <c:ser>
          <c:idx val="2"/>
          <c:order val="2"/>
          <c:tx>
            <c:strRef>
              <c:f>'9.บางคล้า'!$A$6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'9.บางคล้า'!$B$6:$M$6</c:f>
              <c:numCache/>
            </c:numRef>
          </c:val>
          <c:smooth val="0"/>
        </c:ser>
        <c:ser>
          <c:idx val="3"/>
          <c:order val="3"/>
          <c:tx>
            <c:strRef>
              <c:f>'9.บางคล้า'!$A$7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'9.บางคล้า'!$B$3:$M$3</c:f>
            </c:strRef>
          </c:cat>
          <c:val>
            <c:numRef>
              <c:f>'9.บางคล้า'!$B$7:$M$7</c:f>
              <c:numCache/>
            </c:numRef>
          </c:val>
          <c:smooth val="0"/>
        </c:ser>
        <c:axId val="1709043896"/>
        <c:axId val="208618995"/>
      </c:lineChart>
      <c:catAx>
        <c:axId val="1709043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18995"/>
      </c:catAx>
      <c:valAx>
        <c:axId val="208618995"/>
        <c:scaling>
          <c:orientation val="minMax"/>
          <c:max val="4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904389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กปภ.สาขาพนมสารคาม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'10.พนมสารคาม'!$A$4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'10.พนมสารคาม'!$B$3:$M$3</c:f>
            </c:strRef>
          </c:cat>
          <c:val>
            <c:numRef>
              <c:f>'10.พนมสารคาม'!$B$4:$M$4</c:f>
              <c:numCache/>
            </c:numRef>
          </c:val>
        </c:ser>
        <c:axId val="2022448929"/>
        <c:axId val="157118473"/>
      </c:barChart>
      <c:lineChart>
        <c:ser>
          <c:idx val="1"/>
          <c:order val="1"/>
          <c:tx>
            <c:strRef>
              <c:f>'10.พนมสารคาม'!$A$5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'10.พนมสารคาม'!$B$5:$M$5</c:f>
              <c:numCache/>
            </c:numRef>
          </c:val>
          <c:smooth val="0"/>
        </c:ser>
        <c:ser>
          <c:idx val="2"/>
          <c:order val="2"/>
          <c:tx>
            <c:strRef>
              <c:f>'10.พนมสารคาม'!$A$6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'10.พนมสารคาม'!$B$6:$M$6</c:f>
              <c:numCache/>
            </c:numRef>
          </c:val>
          <c:smooth val="0"/>
        </c:ser>
        <c:ser>
          <c:idx val="3"/>
          <c:order val="3"/>
          <c:tx>
            <c:strRef>
              <c:f>'10.พนมสารคาม'!$A$7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'10.พนมสารคาม'!$B$3:$M$3</c:f>
            </c:strRef>
          </c:cat>
          <c:val>
            <c:numRef>
              <c:f>'10.พนมสารคาม'!$B$7:$M$7</c:f>
              <c:numCache/>
            </c:numRef>
          </c:val>
          <c:smooth val="0"/>
        </c:ser>
        <c:axId val="2022448929"/>
        <c:axId val="157118473"/>
      </c:lineChart>
      <c:catAx>
        <c:axId val="2022448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118473"/>
      </c:catAx>
      <c:valAx>
        <c:axId val="157118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44892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กปภ.สาขาระยอง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'11.ระยอง'!$A$4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'11.ระยอง'!$B$3:$M$3</c:f>
            </c:strRef>
          </c:cat>
          <c:val>
            <c:numRef>
              <c:f>'11.ระยอง'!$B$4:$M$4</c:f>
              <c:numCache/>
            </c:numRef>
          </c:val>
        </c:ser>
        <c:axId val="877111448"/>
        <c:axId val="1335487082"/>
      </c:barChart>
      <c:lineChart>
        <c:varyColors val="0"/>
        <c:ser>
          <c:idx val="1"/>
          <c:order val="1"/>
          <c:tx>
            <c:strRef>
              <c:f>'11.ระยอง'!$A$5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'11.ระยอง'!$B$3:$M$3</c:f>
            </c:strRef>
          </c:cat>
          <c:val>
            <c:numRef>
              <c:f>'11.ระยอง'!$B$5:$M$5</c:f>
              <c:numCache/>
            </c:numRef>
          </c:val>
          <c:smooth val="0"/>
        </c:ser>
        <c:axId val="877111448"/>
        <c:axId val="1335487082"/>
      </c:lineChart>
      <c:catAx>
        <c:axId val="877111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487082"/>
      </c:catAx>
      <c:valAx>
        <c:axId val="1335487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711144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กปภ.สาขาบ้านฉาง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'12.บ้านฉาง'!$A$4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'12.บ้านฉาง'!$B$3:$M$3</c:f>
            </c:strRef>
          </c:cat>
          <c:val>
            <c:numRef>
              <c:f>'12.บ้านฉาง'!$B$4:$M$4</c:f>
              <c:numCache/>
            </c:numRef>
          </c:val>
        </c:ser>
        <c:axId val="858244825"/>
        <c:axId val="728272751"/>
      </c:barChart>
      <c:lineChart>
        <c:ser>
          <c:idx val="1"/>
          <c:order val="1"/>
          <c:tx>
            <c:strRef>
              <c:f>'12.บ้านฉาง'!$A$5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'12.บ้านฉาง'!$B$5:$M$5</c:f>
              <c:numCache/>
            </c:numRef>
          </c:val>
          <c:smooth val="0"/>
        </c:ser>
        <c:ser>
          <c:idx val="2"/>
          <c:order val="2"/>
          <c:tx>
            <c:strRef>
              <c:f>'12.บ้านฉาง'!$A$6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'12.บ้านฉาง'!$B$6:$M$6</c:f>
              <c:numCache/>
            </c:numRef>
          </c:val>
          <c:smooth val="0"/>
        </c:ser>
        <c:ser>
          <c:idx val="3"/>
          <c:order val="3"/>
          <c:tx>
            <c:strRef>
              <c:f>'12.บ้านฉาง'!$A$7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'12.บ้านฉาง'!$B$3:$M$3</c:f>
            </c:strRef>
          </c:cat>
          <c:val>
            <c:numRef>
              <c:f>'12.บ้านฉาง'!$B$7:$M$7</c:f>
              <c:numCache/>
            </c:numRef>
          </c:val>
          <c:smooth val="0"/>
        </c:ser>
        <c:axId val="858244825"/>
        <c:axId val="728272751"/>
      </c:lineChart>
      <c:catAx>
        <c:axId val="858244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272751"/>
      </c:catAx>
      <c:valAx>
        <c:axId val="728272751"/>
        <c:scaling>
          <c:orientation val="minMax"/>
          <c:max val="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824482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กปภ.สาขาปากน้ำประแสร์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'13.ปากน้ำประแสร์'!$A$4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'13.ปากน้ำประแสร์'!$B$3:$M$3</c:f>
            </c:strRef>
          </c:cat>
          <c:val>
            <c:numRef>
              <c:f>'13.ปากน้ำประแสร์'!$B$4:$M$4</c:f>
              <c:numCache/>
            </c:numRef>
          </c:val>
        </c:ser>
        <c:axId val="1090696453"/>
        <c:axId val="1441767307"/>
      </c:barChart>
      <c:lineChart>
        <c:ser>
          <c:idx val="1"/>
          <c:order val="1"/>
          <c:tx>
            <c:strRef>
              <c:f>'13.ปากน้ำประแสร์'!$A$5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dPt>
            <c:idx val="8"/>
            <c:marker>
              <c:symbol val="none"/>
            </c:marker>
          </c:dPt>
          <c:cat>
            <c:strRef>
              <c:f>'13.ปากน้ำประแสร์'!$B$3:$M$3</c:f>
            </c:strRef>
          </c:cat>
          <c:val>
            <c:numRef>
              <c:f>'13.ปากน้ำประแสร์'!$B$5:$M$5</c:f>
              <c:numCache/>
            </c:numRef>
          </c:val>
          <c:smooth val="0"/>
        </c:ser>
        <c:ser>
          <c:idx val="2"/>
          <c:order val="2"/>
          <c:tx>
            <c:strRef>
              <c:f>'13.ปากน้ำประแสร์'!$A$6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'13.ปากน้ำประแสร์'!$B$6:$M$6</c:f>
              <c:numCache/>
            </c:numRef>
          </c:val>
          <c:smooth val="0"/>
        </c:ser>
        <c:ser>
          <c:idx val="3"/>
          <c:order val="3"/>
          <c:tx>
            <c:strRef>
              <c:f>'13.ปากน้ำประแสร์'!$A$7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'13.ปากน้ำประแสร์'!$B$3:$M$3</c:f>
            </c:strRef>
          </c:cat>
          <c:val>
            <c:numRef>
              <c:f>'13.ปากน้ำประแสร์'!$B$7:$M$7</c:f>
              <c:numCache/>
            </c:numRef>
          </c:val>
          <c:smooth val="0"/>
        </c:ser>
        <c:axId val="1090696453"/>
        <c:axId val="1441767307"/>
      </c:lineChart>
      <c:catAx>
        <c:axId val="10906964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1767307"/>
      </c:catAx>
      <c:valAx>
        <c:axId val="1441767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06964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กปภ.สาขาจันบุรี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'14.จันทบุรี'!$A$4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'14.จันทบุรี'!$B$3:$M$3</c:f>
            </c:strRef>
          </c:cat>
          <c:val>
            <c:numRef>
              <c:f>'14.จันทบุรี'!$B$4:$M$4</c:f>
              <c:numCache/>
            </c:numRef>
          </c:val>
        </c:ser>
        <c:axId val="1122671009"/>
        <c:axId val="2050193152"/>
      </c:barChart>
      <c:lineChart>
        <c:ser>
          <c:idx val="1"/>
          <c:order val="1"/>
          <c:tx>
            <c:strRef>
              <c:f>'14.จันทบุรี'!$A$5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'14.จันทบุรี'!$A$6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'14.จันทบุรี'!$A$7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'14.จันทบุรี'!$B$3:$M$3</c:f>
            </c:strRef>
          </c:cat>
          <c:val>
            <c:numRef>
              <c:f>'14.จันทบุรี'!$B$7:$M$7</c:f>
              <c:numCache/>
            </c:numRef>
          </c:val>
          <c:smooth val="0"/>
        </c:ser>
        <c:axId val="1122671009"/>
        <c:axId val="2050193152"/>
      </c:lineChart>
      <c:catAx>
        <c:axId val="1122671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193152"/>
      </c:catAx>
      <c:valAx>
        <c:axId val="20501931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67100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กปภ.สาขาขลุง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'15.ขลุง'!$A$4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'15.ขลุง'!$B$3:$M$3</c:f>
            </c:strRef>
          </c:cat>
          <c:val>
            <c:numRef>
              <c:f>'15.ขลุง'!$B$4:$M$4</c:f>
              <c:numCache/>
            </c:numRef>
          </c:val>
        </c:ser>
        <c:axId val="1908665244"/>
        <c:axId val="1750414963"/>
      </c:barChart>
      <c:lineChart>
        <c:ser>
          <c:idx val="1"/>
          <c:order val="1"/>
          <c:tx>
            <c:strRef>
              <c:f>'15.ขลุง'!$A$5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'15.ขลุง'!$B$5:$M$5</c:f>
              <c:numCache/>
            </c:numRef>
          </c:val>
          <c:smooth val="0"/>
        </c:ser>
        <c:ser>
          <c:idx val="2"/>
          <c:order val="2"/>
          <c:tx>
            <c:strRef>
              <c:f>'15.ขลุง'!$A$6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'15.ขลุง'!$B$6:$M$6</c:f>
              <c:numCache/>
            </c:numRef>
          </c:val>
          <c:smooth val="0"/>
        </c:ser>
        <c:ser>
          <c:idx val="3"/>
          <c:order val="3"/>
          <c:tx>
            <c:strRef>
              <c:f>'15.ขลุง'!$A$7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'15.ขลุง'!$B$3:$M$3</c:f>
            </c:strRef>
          </c:cat>
          <c:val>
            <c:numRef>
              <c:f>'15.ขลุง'!$B$7:$M$7</c:f>
              <c:numCache/>
            </c:numRef>
          </c:val>
          <c:smooth val="0"/>
        </c:ser>
        <c:axId val="1908665244"/>
        <c:axId val="1750414963"/>
      </c:lineChart>
      <c:catAx>
        <c:axId val="1908665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0414963"/>
      </c:catAx>
      <c:valAx>
        <c:axId val="1750414963"/>
        <c:scaling>
          <c:orientation val="minMax"/>
          <c:max val="8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866524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กปภ.สาขาตราด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'16.ตราด'!$A$4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'16.ตราด'!$B$3:$M$3</c:f>
            </c:strRef>
          </c:cat>
          <c:val>
            <c:numRef>
              <c:f>'16.ตราด'!$B$4:$M$4</c:f>
              <c:numCache/>
            </c:numRef>
          </c:val>
        </c:ser>
        <c:axId val="737016790"/>
        <c:axId val="1444955367"/>
      </c:barChart>
      <c:lineChart>
        <c:ser>
          <c:idx val="1"/>
          <c:order val="1"/>
          <c:tx>
            <c:strRef>
              <c:f>'16.ตราด'!$A$5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cat>
            <c:strRef>
              <c:f>'16.ตราด'!$B$3:$M$3</c:f>
            </c:strRef>
          </c:cat>
          <c:val>
            <c:numRef>
              <c:f>'16.ตราด'!$B$5:$M$5</c:f>
              <c:numCache/>
            </c:numRef>
          </c:val>
          <c:smooth val="0"/>
        </c:ser>
        <c:ser>
          <c:idx val="2"/>
          <c:order val="2"/>
          <c:tx>
            <c:strRef>
              <c:f>'16.ตราด'!$A$6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'16.ตราด'!$B$6:$M$6</c:f>
              <c:numCache/>
            </c:numRef>
          </c:val>
          <c:smooth val="0"/>
        </c:ser>
        <c:ser>
          <c:idx val="3"/>
          <c:order val="3"/>
          <c:tx>
            <c:strRef>
              <c:f>'16.ตราด'!$A$7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'16.ตราด'!$B$7:$M$7</c:f>
              <c:numCache/>
            </c:numRef>
          </c:val>
          <c:smooth val="0"/>
        </c:ser>
        <c:axId val="737016790"/>
        <c:axId val="1444955367"/>
      </c:lineChart>
      <c:catAx>
        <c:axId val="737016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4955367"/>
      </c:catAx>
      <c:valAx>
        <c:axId val="1444955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01679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กปภ.สาขาคลองใหญ่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'17.คลองใหญ่'!$A$4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'17.คลองใหญ่'!$B$3:$M$3</c:f>
            </c:strRef>
          </c:cat>
          <c:val>
            <c:numRef>
              <c:f>'17.คลองใหญ่'!$B$4:$M$4</c:f>
              <c:numCache/>
            </c:numRef>
          </c:val>
        </c:ser>
        <c:axId val="1608341570"/>
        <c:axId val="1854588199"/>
      </c:barChart>
      <c:lineChart>
        <c:ser>
          <c:idx val="1"/>
          <c:order val="1"/>
          <c:tx>
            <c:strRef>
              <c:f>'17.คลองใหญ่'!$A$5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'17.คลองใหญ่'!$B$5:$M$5</c:f>
              <c:numCache/>
            </c:numRef>
          </c:val>
          <c:smooth val="0"/>
        </c:ser>
        <c:ser>
          <c:idx val="2"/>
          <c:order val="2"/>
          <c:tx>
            <c:strRef>
              <c:f>'17.คลองใหญ่'!$A$6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'17.คลองใหญ่'!$B$6:$M$6</c:f>
              <c:numCache/>
            </c:numRef>
          </c:val>
          <c:smooth val="0"/>
        </c:ser>
        <c:ser>
          <c:idx val="3"/>
          <c:order val="3"/>
          <c:tx>
            <c:strRef>
              <c:f>'17.คลองใหญ่'!$A$7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'17.คลองใหญ่'!$B$3:$M$3</c:f>
            </c:strRef>
          </c:cat>
          <c:val>
            <c:numRef>
              <c:f>'17.คลองใหญ่'!$B$7:$M$7</c:f>
              <c:numCache/>
            </c:numRef>
          </c:val>
          <c:smooth val="0"/>
        </c:ser>
        <c:axId val="1608341570"/>
        <c:axId val="1854588199"/>
      </c:lineChart>
      <c:catAx>
        <c:axId val="16083415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4588199"/>
      </c:catAx>
      <c:valAx>
        <c:axId val="18545881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834157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กปภ.สาขาสระแก้ว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'18.สระแก้ว'!$A$4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'18.สระแก้ว'!$B$3:$M$3</c:f>
            </c:strRef>
          </c:cat>
          <c:val>
            <c:numRef>
              <c:f>'18.สระแก้ว'!$B$4:$M$4</c:f>
              <c:numCache/>
            </c:numRef>
          </c:val>
        </c:ser>
        <c:axId val="747680095"/>
        <c:axId val="1280566479"/>
      </c:barChart>
      <c:lineChart>
        <c:ser>
          <c:idx val="1"/>
          <c:order val="1"/>
          <c:tx>
            <c:strRef>
              <c:f>'18.สระแก้ว'!$A$5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'18.สระแก้ว'!$B$5:$M$5</c:f>
              <c:numCache/>
            </c:numRef>
          </c:val>
          <c:smooth val="0"/>
        </c:ser>
        <c:ser>
          <c:idx val="2"/>
          <c:order val="2"/>
          <c:tx>
            <c:strRef>
              <c:f>'18.สระแก้ว'!$A$6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'18.สระแก้ว'!$B$6:$M$6</c:f>
              <c:numCache/>
            </c:numRef>
          </c:val>
          <c:smooth val="0"/>
        </c:ser>
        <c:ser>
          <c:idx val="3"/>
          <c:order val="3"/>
          <c:tx>
            <c:strRef>
              <c:f>'18.สระแก้ว'!$A$7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'18.สระแก้ว'!$B$3:$M$3</c:f>
            </c:strRef>
          </c:cat>
          <c:val>
            <c:numRef>
              <c:f>'18.สระแก้ว'!$B$7:$M$7</c:f>
              <c:numCache/>
            </c:numRef>
          </c:val>
          <c:smooth val="0"/>
        </c:ser>
        <c:axId val="747680095"/>
        <c:axId val="1280566479"/>
      </c:lineChart>
      <c:catAx>
        <c:axId val="74768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0566479"/>
      </c:catAx>
      <c:valAx>
        <c:axId val="12805664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768009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กปภ.สาขาวัฒนานคร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'19.วัฒนานคร'!$A$4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'19.วัฒนานคร'!$B$3:$M$3</c:f>
            </c:strRef>
          </c:cat>
          <c:val>
            <c:numRef>
              <c:f>'19.วัฒนานคร'!$B$4:$M$4</c:f>
              <c:numCache/>
            </c:numRef>
          </c:val>
        </c:ser>
        <c:axId val="710863730"/>
        <c:axId val="925265087"/>
      </c:barChart>
      <c:lineChart>
        <c:ser>
          <c:idx val="1"/>
          <c:order val="1"/>
          <c:tx>
            <c:strRef>
              <c:f>'19.วัฒนานคร'!$A$5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'19.วัฒนานคร'!$B$5:$M$5</c:f>
              <c:numCache/>
            </c:numRef>
          </c:val>
          <c:smooth val="0"/>
        </c:ser>
        <c:ser>
          <c:idx val="2"/>
          <c:order val="2"/>
          <c:tx>
            <c:strRef>
              <c:f>'19.วัฒนานคร'!$A$6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'19.วัฒนานคร'!$B$6:$M$6</c:f>
              <c:numCache/>
            </c:numRef>
          </c:val>
          <c:smooth val="0"/>
        </c:ser>
        <c:ser>
          <c:idx val="3"/>
          <c:order val="3"/>
          <c:tx>
            <c:strRef>
              <c:f>'19.วัฒนานคร'!$A$7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'19.วัฒนานคร'!$B$3:$M$3</c:f>
            </c:strRef>
          </c:cat>
          <c:val>
            <c:numRef>
              <c:f>'19.วัฒนานคร'!$B$7:$M$7</c:f>
              <c:numCache/>
            </c:numRef>
          </c:val>
          <c:smooth val="0"/>
        </c:ser>
        <c:axId val="710863730"/>
        <c:axId val="925265087"/>
      </c:lineChart>
      <c:catAx>
        <c:axId val="7108637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5265087"/>
      </c:catAx>
      <c:valAx>
        <c:axId val="9252650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086373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กปภ.สาขาอรัญประเทศ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'20.อรัญประเทศ'!$A$4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'20.อรัญประเทศ'!$B$3:$M$3</c:f>
            </c:strRef>
          </c:cat>
          <c:val>
            <c:numRef>
              <c:f>'20.อรัญประเทศ'!$B$4:$M$4</c:f>
              <c:numCache/>
            </c:numRef>
          </c:val>
        </c:ser>
        <c:axId val="1895173223"/>
        <c:axId val="481153191"/>
      </c:barChart>
      <c:lineChart>
        <c:ser>
          <c:idx val="1"/>
          <c:order val="1"/>
          <c:tx>
            <c:strRef>
              <c:f>'20.อรัญประเทศ'!$A$5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'20.อรัญประเทศ'!$B$5:$M$5</c:f>
              <c:numCache/>
            </c:numRef>
          </c:val>
          <c:smooth val="0"/>
        </c:ser>
        <c:ser>
          <c:idx val="2"/>
          <c:order val="2"/>
          <c:tx>
            <c:strRef>
              <c:f>'20.อรัญประเทศ'!$A$6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'20.อรัญประเทศ'!$B$6:$M$6</c:f>
              <c:numCache/>
            </c:numRef>
          </c:val>
          <c:smooth val="0"/>
        </c:ser>
        <c:ser>
          <c:idx val="3"/>
          <c:order val="3"/>
          <c:tx>
            <c:strRef>
              <c:f>'20.อรัญประเทศ'!$A$7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Pt>
            <c:idx val="9"/>
            <c:marker>
              <c:symbol val="none"/>
            </c:marker>
          </c:dPt>
          <c:cat>
            <c:strRef>
              <c:f>'20.อรัญประเทศ'!$B$3:$M$3</c:f>
            </c:strRef>
          </c:cat>
          <c:val>
            <c:numRef>
              <c:f>'20.อรัญประเทศ'!$B$7:$M$7</c:f>
              <c:numCache/>
            </c:numRef>
          </c:val>
          <c:smooth val="0"/>
        </c:ser>
        <c:axId val="1895173223"/>
        <c:axId val="481153191"/>
      </c:lineChart>
      <c:catAx>
        <c:axId val="1895173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153191"/>
      </c:catAx>
      <c:valAx>
        <c:axId val="4811531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517322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กปภ.สาขาปราจีนบุรี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'21.ปราจีนบุรี'!$A$4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'21.ปราจีนบุรี'!$B$3:$M$3</c:f>
            </c:strRef>
          </c:cat>
          <c:val>
            <c:numRef>
              <c:f>'21.ปราจีนบุรี'!$B$4:$M$4</c:f>
              <c:numCache/>
            </c:numRef>
          </c:val>
        </c:ser>
        <c:axId val="1617010988"/>
        <c:axId val="472116491"/>
      </c:barChart>
      <c:lineChart>
        <c:ser>
          <c:idx val="1"/>
          <c:order val="1"/>
          <c:tx>
            <c:strRef>
              <c:f>'21.ปราจีนบุรี'!$A$5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'21.ปราจีนบุรี'!$A$6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'21.ปราจีนบุรี'!$A$7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'21.ปราจีนบุรี'!$B$3:$M$3</c:f>
            </c:strRef>
          </c:cat>
          <c:val>
            <c:numRef>
              <c:f>'21.ปราจีนบุรี'!$B$7:$M$7</c:f>
              <c:numCache/>
            </c:numRef>
          </c:val>
          <c:smooth val="0"/>
        </c:ser>
        <c:axId val="1617010988"/>
        <c:axId val="472116491"/>
      </c:lineChart>
      <c:catAx>
        <c:axId val="1617010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2116491"/>
      </c:catAx>
      <c:valAx>
        <c:axId val="472116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01098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กราฟแสดง MNF กปภ.สาขากบินทร์บุรี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'22.กบินทร์บุรี'!$A$4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'22.กบินทร์บุรี'!$B$3:$M$3</c:f>
            </c:strRef>
          </c:cat>
          <c:val>
            <c:numRef>
              <c:f>'22.กบินทร์บุรี'!$B$4:$M$4</c:f>
              <c:numCache/>
            </c:numRef>
          </c:val>
        </c:ser>
        <c:axId val="116683985"/>
        <c:axId val="1397373013"/>
      </c:barChart>
      <c:lineChart>
        <c:ser>
          <c:idx val="1"/>
          <c:order val="1"/>
          <c:tx>
            <c:strRef>
              <c:f>'22.กบินทร์บุรี'!$A$5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'22.กบินทร์บุรี'!$A$6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'22.กบินทร์บุรี'!$A$7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Pt>
            <c:idx val="11"/>
            <c:marker>
              <c:symbol val="none"/>
            </c:marker>
          </c:dPt>
          <c:cat>
            <c:strRef>
              <c:f>'22.กบินทร์บุรี'!$B$3:$M$3</c:f>
            </c:strRef>
          </c:cat>
          <c:val>
            <c:numRef>
              <c:f>'22.กบินทร์บุรี'!$B$7:$M$7</c:f>
              <c:numCache/>
            </c:numRef>
          </c:val>
          <c:smooth val="0"/>
        </c:ser>
        <c:axId val="116683985"/>
        <c:axId val="1397373013"/>
      </c:lineChart>
      <c:catAx>
        <c:axId val="116683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7373013"/>
      </c:catAx>
      <c:valAx>
        <c:axId val="13973730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68398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1.xml"/><Relationship Id="rId11" Type="http://schemas.openxmlformats.org/officeDocument/2006/relationships/chart" Target="../charts/chart12.xml"/><Relationship Id="rId22" Type="http://schemas.openxmlformats.org/officeDocument/2006/relationships/chart" Target="../charts/chart23.xml"/><Relationship Id="rId10" Type="http://schemas.openxmlformats.org/officeDocument/2006/relationships/chart" Target="../charts/chart11.xml"/><Relationship Id="rId21" Type="http://schemas.openxmlformats.org/officeDocument/2006/relationships/chart" Target="../charts/chart22.xml"/><Relationship Id="rId13" Type="http://schemas.openxmlformats.org/officeDocument/2006/relationships/chart" Target="../charts/chart14.xml"/><Relationship Id="rId12" Type="http://schemas.openxmlformats.org/officeDocument/2006/relationships/chart" Target="../charts/chart13.xml"/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5" Type="http://schemas.openxmlformats.org/officeDocument/2006/relationships/chart" Target="../charts/chart16.xml"/><Relationship Id="rId14" Type="http://schemas.openxmlformats.org/officeDocument/2006/relationships/chart" Target="../charts/chart15.xml"/><Relationship Id="rId17" Type="http://schemas.openxmlformats.org/officeDocument/2006/relationships/chart" Target="../charts/chart18.xml"/><Relationship Id="rId16" Type="http://schemas.openxmlformats.org/officeDocument/2006/relationships/chart" Target="../charts/chart17.xml"/><Relationship Id="rId5" Type="http://schemas.openxmlformats.org/officeDocument/2006/relationships/chart" Target="../charts/chart6.xml"/><Relationship Id="rId19" Type="http://schemas.openxmlformats.org/officeDocument/2006/relationships/chart" Target="../charts/chart20.xml"/><Relationship Id="rId6" Type="http://schemas.openxmlformats.org/officeDocument/2006/relationships/chart" Target="../charts/chart7.xml"/><Relationship Id="rId18" Type="http://schemas.openxmlformats.org/officeDocument/2006/relationships/chart" Target="../charts/chart19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7</xdr:row>
      <xdr:rowOff>133350</xdr:rowOff>
    </xdr:from>
    <xdr:ext cx="8439150" cy="5553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428625</xdr:colOff>
      <xdr:row>18</xdr:row>
      <xdr:rowOff>200025</xdr:rowOff>
    </xdr:from>
    <xdr:ext cx="819150" cy="419100"/>
    <xdr:sp>
      <xdr:nvSpPr>
        <xdr:cNvPr id="3" name="Shape 3"/>
        <xdr:cNvSpPr txBox="1"/>
      </xdr:nvSpPr>
      <xdr:spPr>
        <a:xfrm>
          <a:off x="819925" y="548400"/>
          <a:ext cx="8013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A64D79"/>
              </a:solidFill>
              <a:latin typeface="Sarabun"/>
              <a:ea typeface="Sarabun"/>
              <a:cs typeface="Sarabun"/>
              <a:sym typeface="Sarabun"/>
            </a:rPr>
            <a:t>30,553</a:t>
          </a:r>
          <a:endParaRPr b="1" sz="1400">
            <a:solidFill>
              <a:srgbClr val="A64D79"/>
            </a:solidFill>
            <a:latin typeface="Sarabun"/>
            <a:ea typeface="Sarabun"/>
            <a:cs typeface="Sarabun"/>
            <a:sym typeface="Sarabun"/>
          </a:endParaRPr>
        </a:p>
      </xdr:txBody>
    </xdr:sp>
    <xdr:clientData fLocksWithSheet="0"/>
  </xdr:oneCellAnchor>
  <xdr:oneCellAnchor>
    <xdr:from>
      <xdr:col>9</xdr:col>
      <xdr:colOff>590550</xdr:colOff>
      <xdr:row>22</xdr:row>
      <xdr:rowOff>57150</xdr:rowOff>
    </xdr:from>
    <xdr:ext cx="866775" cy="342900"/>
    <xdr:sp>
      <xdr:nvSpPr>
        <xdr:cNvPr id="4" name="Shape 4"/>
        <xdr:cNvSpPr txBox="1"/>
      </xdr:nvSpPr>
      <xdr:spPr>
        <a:xfrm>
          <a:off x="380275" y="360250"/>
          <a:ext cx="850500" cy="320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A64D79"/>
              </a:solidFill>
              <a:latin typeface="Sarabun"/>
              <a:ea typeface="Sarabun"/>
              <a:cs typeface="Sarabun"/>
              <a:sym typeface="Sarabun"/>
            </a:rPr>
            <a:t>21,567</a:t>
          </a:r>
          <a:endParaRPr b="1" sz="1400">
            <a:solidFill>
              <a:srgbClr val="A64D79"/>
            </a:solidFill>
            <a:latin typeface="Sarabun"/>
            <a:ea typeface="Sarabun"/>
            <a:cs typeface="Sarabun"/>
            <a:sym typeface="Sarabun"/>
          </a:endParaRPr>
        </a:p>
      </xdr:txBody>
    </xdr:sp>
    <xdr:clientData fLocksWithSheet="0"/>
  </xdr:oneCellAnchor>
  <xdr:oneCellAnchor>
    <xdr:from>
      <xdr:col>9</xdr:col>
      <xdr:colOff>600075</xdr:colOff>
      <xdr:row>24</xdr:row>
      <xdr:rowOff>161925</xdr:rowOff>
    </xdr:from>
    <xdr:ext cx="857250" cy="323850"/>
    <xdr:sp>
      <xdr:nvSpPr>
        <xdr:cNvPr id="5" name="Shape 5"/>
        <xdr:cNvSpPr txBox="1"/>
      </xdr:nvSpPr>
      <xdr:spPr>
        <a:xfrm>
          <a:off x="300225" y="280200"/>
          <a:ext cx="840600" cy="28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E69138"/>
              </a:solidFill>
              <a:latin typeface="Sarabun"/>
              <a:ea typeface="Sarabun"/>
              <a:cs typeface="Sarabun"/>
              <a:sym typeface="Sarabun"/>
            </a:rPr>
            <a:t>14,378</a:t>
          </a:r>
          <a:endParaRPr b="1" sz="1400">
            <a:solidFill>
              <a:srgbClr val="E69138"/>
            </a:solidFill>
            <a:latin typeface="Sarabun"/>
            <a:ea typeface="Sarabun"/>
            <a:cs typeface="Sarabun"/>
            <a:sym typeface="Sarabu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180975</xdr:rowOff>
    </xdr:from>
    <xdr:ext cx="6715125" cy="4419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</xdr:row>
      <xdr:rowOff>180975</xdr:rowOff>
    </xdr:from>
    <xdr:ext cx="6715125" cy="4429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28</xdr:row>
      <xdr:rowOff>9525</xdr:rowOff>
    </xdr:from>
    <xdr:ext cx="6677025" cy="4400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19050</xdr:colOff>
      <xdr:row>28</xdr:row>
      <xdr:rowOff>9525</xdr:rowOff>
    </xdr:from>
    <xdr:ext cx="6677025" cy="44005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942975</xdr:colOff>
      <xdr:row>27</xdr:row>
      <xdr:rowOff>190500</xdr:rowOff>
    </xdr:from>
    <xdr:ext cx="6734175" cy="4438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9525</xdr:colOff>
      <xdr:row>51</xdr:row>
      <xdr:rowOff>180975</xdr:rowOff>
    </xdr:from>
    <xdr:ext cx="6705600" cy="44196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952500</xdr:colOff>
      <xdr:row>51</xdr:row>
      <xdr:rowOff>180975</xdr:rowOff>
    </xdr:from>
    <xdr:ext cx="6734175" cy="44386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0</xdr:colOff>
      <xdr:row>78</xdr:row>
      <xdr:rowOff>19050</xdr:rowOff>
    </xdr:from>
    <xdr:ext cx="6743700" cy="44481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16</xdr:col>
      <xdr:colOff>0</xdr:colOff>
      <xdr:row>78</xdr:row>
      <xdr:rowOff>19050</xdr:rowOff>
    </xdr:from>
    <xdr:ext cx="6686550" cy="44100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101</xdr:row>
      <xdr:rowOff>190500</xdr:rowOff>
    </xdr:from>
    <xdr:ext cx="6705600" cy="4419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19050</xdr:colOff>
      <xdr:row>101</xdr:row>
      <xdr:rowOff>200025</xdr:rowOff>
    </xdr:from>
    <xdr:ext cx="6686550" cy="44100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16</xdr:col>
      <xdr:colOff>19050</xdr:colOff>
      <xdr:row>102</xdr:row>
      <xdr:rowOff>0</xdr:rowOff>
    </xdr:from>
    <xdr:ext cx="6686550" cy="44100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9525</xdr:colOff>
      <xdr:row>125</xdr:row>
      <xdr:rowOff>9525</xdr:rowOff>
    </xdr:from>
    <xdr:ext cx="6705600" cy="44196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7</xdr:col>
      <xdr:colOff>942975</xdr:colOff>
      <xdr:row>125</xdr:row>
      <xdr:rowOff>19050</xdr:rowOff>
    </xdr:from>
    <xdr:ext cx="6677025" cy="44005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16</xdr:col>
      <xdr:colOff>9525</xdr:colOff>
      <xdr:row>124</xdr:row>
      <xdr:rowOff>171450</xdr:rowOff>
    </xdr:from>
    <xdr:ext cx="6705600" cy="44196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0</xdr:col>
      <xdr:colOff>9525</xdr:colOff>
      <xdr:row>148</xdr:row>
      <xdr:rowOff>180975</xdr:rowOff>
    </xdr:from>
    <xdr:ext cx="6715125" cy="44291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8</xdr:col>
      <xdr:colOff>9525</xdr:colOff>
      <xdr:row>148</xdr:row>
      <xdr:rowOff>190500</xdr:rowOff>
    </xdr:from>
    <xdr:ext cx="6705600" cy="44196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16</xdr:col>
      <xdr:colOff>0</xdr:colOff>
      <xdr:row>149</xdr:row>
      <xdr:rowOff>0</xdr:rowOff>
    </xdr:from>
    <xdr:ext cx="6705600" cy="44196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19050</xdr:colOff>
      <xdr:row>172</xdr:row>
      <xdr:rowOff>38100</xdr:rowOff>
    </xdr:from>
    <xdr:ext cx="6762750" cy="44577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7</xdr:col>
      <xdr:colOff>942975</xdr:colOff>
      <xdr:row>171</xdr:row>
      <xdr:rowOff>190500</xdr:rowOff>
    </xdr:from>
    <xdr:ext cx="6677025" cy="44005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15</xdr:col>
      <xdr:colOff>962025</xdr:colOff>
      <xdr:row>171</xdr:row>
      <xdr:rowOff>180975</xdr:rowOff>
    </xdr:from>
    <xdr:ext cx="6715125" cy="44291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0</xdr:col>
      <xdr:colOff>0</xdr:colOff>
      <xdr:row>78</xdr:row>
      <xdr:rowOff>9525</xdr:rowOff>
    </xdr:from>
    <xdr:ext cx="6743700" cy="44386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952500</xdr:colOff>
      <xdr:row>1</xdr:row>
      <xdr:rowOff>0</xdr:rowOff>
    </xdr:from>
    <xdr:ext cx="6715125" cy="44196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952500</xdr:colOff>
      <xdr:row>9</xdr:row>
      <xdr:rowOff>142875</xdr:rowOff>
    </xdr:from>
    <xdr:ext cx="6715125" cy="442912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</xdr:colOff>
      <xdr:row>2</xdr:row>
      <xdr:rowOff>0</xdr:rowOff>
    </xdr:from>
    <xdr:ext cx="10439400" cy="687705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</xdr:colOff>
      <xdr:row>1</xdr:row>
      <xdr:rowOff>9525</xdr:rowOff>
    </xdr:from>
    <xdr:ext cx="6677025" cy="44005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</xdr:colOff>
      <xdr:row>0</xdr:row>
      <xdr:rowOff>180975</xdr:rowOff>
    </xdr:from>
    <xdr:ext cx="10372725" cy="683895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1019175</xdr:colOff>
      <xdr:row>24</xdr:row>
      <xdr:rowOff>209550</xdr:rowOff>
    </xdr:from>
    <xdr:ext cx="6743700" cy="465772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36</xdr:row>
      <xdr:rowOff>0</xdr:rowOff>
    </xdr:from>
    <xdr:ext cx="485775" cy="266700"/>
    <xdr:pic>
      <xdr:nvPicPr>
        <xdr:cNvPr id="0" name="image1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447675" cy="219075"/>
    <xdr:pic>
      <xdr:nvPicPr>
        <xdr:cNvPr id="0" name="image2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361950" cy="219075"/>
    <xdr:pic>
      <xdr:nvPicPr>
        <xdr:cNvPr id="0" name="image4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409575" cy="219075"/>
    <xdr:pic>
      <xdr:nvPicPr>
        <xdr:cNvPr id="0" name="image3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8</xdr:row>
      <xdr:rowOff>19050</xdr:rowOff>
    </xdr:from>
    <xdr:ext cx="6686550" cy="4410075"/>
    <xdr:graphicFrame>
      <xdr:nvGraphicFramePr>
        <xdr:cNvPr id="30" name="Chart 30" title="กราฟแสดง MNF กปภ.สาขาบางปะกง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38100</xdr:colOff>
      <xdr:row>7</xdr:row>
      <xdr:rowOff>152400</xdr:rowOff>
    </xdr:from>
    <xdr:ext cx="6705600" cy="441960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190500</xdr:rowOff>
    </xdr:from>
    <xdr:ext cx="6734175" cy="443865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</xdr:row>
      <xdr:rowOff>219075</xdr:rowOff>
    </xdr:from>
    <xdr:ext cx="6686550" cy="4410075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7</xdr:row>
      <xdr:rowOff>180975</xdr:rowOff>
    </xdr:from>
    <xdr:ext cx="6686550" cy="441007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952500</xdr:colOff>
      <xdr:row>0</xdr:row>
      <xdr:rowOff>190500</xdr:rowOff>
    </xdr:from>
    <xdr:ext cx="6705600" cy="441960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819150</xdr:colOff>
      <xdr:row>10</xdr:row>
      <xdr:rowOff>19050</xdr:rowOff>
    </xdr:from>
    <xdr:ext cx="6705600" cy="441960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8</xdr:row>
      <xdr:rowOff>0</xdr:rowOff>
    </xdr:from>
    <xdr:ext cx="6734175" cy="443865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10</xdr:row>
      <xdr:rowOff>171450</xdr:rowOff>
    </xdr:from>
    <xdr:ext cx="6677025" cy="440055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21</xdr:row>
      <xdr:rowOff>76200</xdr:rowOff>
    </xdr:from>
    <xdr:ext cx="6705600" cy="441960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</xdr:colOff>
      <xdr:row>0</xdr:row>
      <xdr:rowOff>180975</xdr:rowOff>
    </xdr:from>
    <xdr:ext cx="6715125" cy="442912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17</xdr:row>
      <xdr:rowOff>57150</xdr:rowOff>
    </xdr:from>
    <xdr:ext cx="6705600" cy="4648200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8</xdr:row>
      <xdr:rowOff>0</xdr:rowOff>
    </xdr:from>
    <xdr:ext cx="6705600" cy="441960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8</xdr:row>
      <xdr:rowOff>57150</xdr:rowOff>
    </xdr:from>
    <xdr:ext cx="6762750" cy="445770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7</xdr:row>
      <xdr:rowOff>9525</xdr:rowOff>
    </xdr:from>
    <xdr:ext cx="6677025" cy="440055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7</xdr:row>
      <xdr:rowOff>190500</xdr:rowOff>
    </xdr:from>
    <xdr:ext cx="6715125" cy="4429125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Leak PWA1" id="{1d111c76-f7cc-48d7-9cfc-790ce5b6a3e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27" dT="2026-03-16T04:13:32.00" personId="{1d111c76-f7cc-48d7-9cfc-790ce5b6a3e2}" id="{13b481c9-9899-4ec5-8ff2-6e8e397a03c1}" done="0">
    <x18tc:text xml:space="preserve">ข้อมูลเดือน พย</x18tc:text>
  </x18tc:threadedComment>
  <x18tc:threadedComment ref="G24" dT="2026-03-16T04:12:02.00" personId="{1d111c76-f7cc-48d7-9cfc-790ce5b6a3e2}" id="{4147ffb4-095b-4ee2-b826-d8787acca744}" done="0">
    <x18tc:text xml:space="preserve">เนรมิตรเอง</x18tc:text>
  </x18tc:threadedComment>
  <x18tc:threadedComment ref="F27" dT="2026-02-17T09:35:15.00" personId="{1d111c76-f7cc-48d7-9cfc-790ce5b6a3e2}" id="{fda639fb-1d97-474a-8372-a86bb09d9e02}" done="0">
    <x18tc:text xml:space="preserve">ข้อมูลเดือน พ.ย.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7D03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13</v>
      </c>
      <c r="B3" s="7">
        <f>ROUND(('1.ชลบุรี'!B4+'2.พัทยา'!B4+'3.บ้านบึง'!B4+'4.พนัสนิคม'!B4+'5.ศรีราชา'!B4+'6.แหลมฉบัง'!B4+'7.บางปะกง'!B4+'8.ฉะเชิงเทรา'!B4+'9.บางคล้า'!B4+'10.พนมสารคาม'!B4+'12.บ้านฉาง'!B4+'13.ปากน้ำประแสร์'!B4+'14.จันทบุรี'!B4+'15.ขลุง'!B4+'16.ตราด'!B4+'17.คลองใหญ่'!B4+'18.สระแก้ว'!B4+'19.วัฒนานคร'!B4+'20.อรัญประเทศ'!B4+'21.ปราจีนบุรี'!B4+'22.กบินทร์บุรี'!B4),0)</f>
        <v>35577</v>
      </c>
      <c r="C3" s="7">
        <f>ROUND(('1.ชลบุรี'!C4+'2.พัทยา'!C4+'3.บ้านบึง'!C4+'4.พนัสนิคม'!C4+'5.ศรีราชา'!C4+'6.แหลมฉบัง'!C4+'7.บางปะกง'!C4+'8.ฉะเชิงเทรา'!C4+'9.บางคล้า'!C4+'10.พนมสารคาม'!C4+'12.บ้านฉาง'!C4+'13.ปากน้ำประแสร์'!C4+'14.จันทบุรี'!C4+'15.ขลุง'!C4+'16.ตราด'!C4+'17.คลองใหญ่'!C4+'18.สระแก้ว'!C4+'19.วัฒนานคร'!C4+'20.อรัญประเทศ'!C4+'21.ปราจีนบุรี'!C4+'22.กบินทร์บุรี'!C4),0)</f>
        <v>34654</v>
      </c>
      <c r="D3" s="7">
        <f>ROUND(('1.ชลบุรี'!D4+'2.พัทยา'!D4+'3.บ้านบึง'!D4+'4.พนัสนิคม'!D4+'5.ศรีราชา'!D4+'6.แหลมฉบัง'!D4+'7.บางปะกง'!D4+'8.ฉะเชิงเทรา'!D4+'9.บางคล้า'!D4+'10.พนมสารคาม'!D4+'12.บ้านฉาง'!D4+'13.ปากน้ำประแสร์'!D4+'14.จันทบุรี'!D4+'15.ขลุง'!D4+'16.ตราด'!D4+'17.คลองใหญ่'!D4+'18.สระแก้ว'!D4+'19.วัฒนานคร'!D4+'20.อรัญประเทศ'!D4+'21.ปราจีนบุรี'!D4+'22.กบินทร์บุรี'!D4),0)</f>
        <v>34638</v>
      </c>
      <c r="E3" s="7">
        <f>ROUND(('1.ชลบุรี'!E4+'2.พัทยา'!E4+'3.บ้านบึง'!E4+'4.พนัสนิคม'!E4+'5.ศรีราชา'!E4+'6.แหลมฉบัง'!E4+'7.บางปะกง'!E4+'8.ฉะเชิงเทรา'!E4+'9.บางคล้า'!E4+'10.พนมสารคาม'!E4+'12.บ้านฉาง'!E4+'13.ปากน้ำประแสร์'!E4+'14.จันทบุรี'!E4+'15.ขลุง'!E4+'16.ตราด'!E4+'17.คลองใหญ่'!E4+'18.สระแก้ว'!E4+'19.วัฒนานคร'!E4+'20.อรัญประเทศ'!E4+'21.ปราจีนบุรี'!E4+'22.กบินทร์บุรี'!E4),0)</f>
        <v>34936</v>
      </c>
      <c r="F3" s="7">
        <f>ROUND(('1.ชลบุรี'!F4+'2.พัทยา'!F4+'3.บ้านบึง'!F4+'4.พนัสนิคม'!F4+'5.ศรีราชา'!F4+'6.แหลมฉบัง'!F4+'7.บางปะกง'!F4+'8.ฉะเชิงเทรา'!F4+'9.บางคล้า'!F4+'10.พนมสารคาม'!F4+'12.บ้านฉาง'!F4+'13.ปากน้ำประแสร์'!F4+'14.จันทบุรี'!F4+'15.ขลุง'!F4+'16.ตราด'!F4+'17.คลองใหญ่'!F4+'18.สระแก้ว'!F4+'19.วัฒนานคร'!F4+'20.อรัญประเทศ'!F4+'21.ปราจีนบุรี'!F4+'22.กบินทร์บุรี'!F4),0)</f>
        <v>35234</v>
      </c>
      <c r="G3" s="7">
        <f>ROUND(('1.ชลบุรี'!G4+'2.พัทยา'!G4+'3.บ้านบึง'!G4+'4.พนัสนิคม'!G4+'5.ศรีราชา'!G4+'6.แหลมฉบัง'!G4+'7.บางปะกง'!G4+'8.ฉะเชิงเทรา'!G4+'9.บางคล้า'!G4+'10.พนมสารคาม'!G4+'12.บ้านฉาง'!G4+'13.ปากน้ำประแสร์'!G4+'14.จันทบุรี'!G4+'15.ขลุง'!G4+'16.ตราด'!G4+'17.คลองใหญ่'!G4+'18.สระแก้ว'!G4+'19.วัฒนานคร'!G4+'20.อรัญประเทศ'!G4+'21.ปราจีนบุรี'!G4+'22.กบินทร์บุรี'!G4),0)</f>
        <v>35163</v>
      </c>
      <c r="H3" s="7">
        <f>ROUND(('1.ชลบุรี'!H4+'2.พัทยา'!H4+'3.บ้านบึง'!H4+'4.พนัสนิคม'!H4+'5.ศรีราชา'!H4+'6.แหลมฉบัง'!H4+'7.บางปะกง'!H4+'8.ฉะเชิงเทรา'!H4+'9.บางคล้า'!H4+'10.พนมสารคาม'!H4+'12.บ้านฉาง'!H4+'13.ปากน้ำประแสร์'!H4+'14.จันทบุรี'!H4+'15.ขลุง'!H4+'16.ตราด'!H4+'17.คลองใหญ่'!H4+'18.สระแก้ว'!H4+'19.วัฒนานคร'!H4+'20.อรัญประเทศ'!H4+'21.ปราจีนบุรี'!H4+'22.กบินทร์บุรี'!H4),0)</f>
        <v>0</v>
      </c>
      <c r="I3" s="7">
        <f>ROUND(('1.ชลบุรี'!I4+'2.พัทยา'!I4+'3.บ้านบึง'!I4+'4.พนัสนิคม'!I4+'5.ศรีราชา'!I4+'6.แหลมฉบัง'!I4+'7.บางปะกง'!I4+'8.ฉะเชิงเทรา'!I4+'9.บางคล้า'!I4+'10.พนมสารคาม'!I4+'12.บ้านฉาง'!I4+'13.ปากน้ำประแสร์'!I4+'14.จันทบุรี'!I4+'15.ขลุง'!I4+'16.ตราด'!I4+'17.คลองใหญ่'!I4+'18.สระแก้ว'!I4+'19.วัฒนานคร'!I4+'20.อรัญประเทศ'!I4+'21.ปราจีนบุรี'!I4+'22.กบินทร์บุรี'!I4),0)</f>
        <v>0</v>
      </c>
      <c r="J3" s="7">
        <f>ROUND(('1.ชลบุรี'!J4+'2.พัทยา'!J4+'3.บ้านบึง'!J4+'4.พนัสนิคม'!J4+'5.ศรีราชา'!J4+'6.แหลมฉบัง'!J4+'7.บางปะกง'!J4+'8.ฉะเชิงเทรา'!J4+'9.บางคล้า'!J4+'10.พนมสารคาม'!J4+'12.บ้านฉาง'!J4+'13.ปากน้ำประแสร์'!J4+'14.จันทบุรี'!J4+'15.ขลุง'!J4+'16.ตราด'!J4+'17.คลองใหญ่'!J4+'18.สระแก้ว'!J4+'19.วัฒนานคร'!J4+'20.อรัญประเทศ'!J4+'21.ปราจีนบุรี'!J4+'22.กบินทร์บุรี'!J4),0)</f>
        <v>0</v>
      </c>
      <c r="K3" s="7">
        <f>ROUND(('1.ชลบุรี'!K4+'2.พัทยา'!K4+'3.บ้านบึง'!K4+'4.พนัสนิคม'!K4+'5.ศรีราชา'!K4+'6.แหลมฉบัง'!K4+'7.บางปะกง'!K4+'8.ฉะเชิงเทรา'!K4+'9.บางคล้า'!K4+'10.พนมสารคาม'!K4+'12.บ้านฉาง'!K4+'13.ปากน้ำประแสร์'!K4+'14.จันทบุรี'!K4+'15.ขลุง'!K4+'16.ตราด'!K4+'17.คลองใหญ่'!K4+'18.สระแก้ว'!K4+'19.วัฒนานคร'!K4+'20.อรัญประเทศ'!K4+'21.ปราจีนบุรี'!K4+'22.กบินทร์บุรี'!K4),0)</f>
        <v>0</v>
      </c>
      <c r="L3" s="7">
        <f>ROUND(('1.ชลบุรี'!L4+'2.พัทยา'!L4+'3.บ้านบึง'!L4+'4.พนัสนิคม'!L4+'5.ศรีราชา'!L4+'6.แหลมฉบัง'!L4+'7.บางปะกง'!L4+'8.ฉะเชิงเทรา'!L4+'9.บางคล้า'!L4+'10.พนมสารคาม'!L4+'12.บ้านฉาง'!L4+'13.ปากน้ำประแสร์'!L4+'14.จันทบุรี'!L4+'15.ขลุง'!L4+'16.ตราด'!L4+'17.คลองใหญ่'!L4+'18.สระแก้ว'!L4+'19.วัฒนานคร'!L4+'20.อรัญประเทศ'!L4+'21.ปราจีนบุรี'!L4+'22.กบินทร์บุรี'!L4),0)</f>
        <v>0</v>
      </c>
      <c r="M3" s="7">
        <f>ROUND(('1.ชลบุรี'!M4+'2.พัทยา'!M4+'3.บ้านบึง'!M4+'4.พนัสนิคม'!M4+'5.ศรีราชา'!M4+'6.แหลมฉบัง'!M4+'7.บางปะกง'!M4+'8.ฉะเชิงเทรา'!M4+'9.บางคล้า'!M4+'10.พนมสารคาม'!M4+'12.บ้านฉาง'!M4+'13.ปากน้ำประแสร์'!M4+'14.จันทบุรี'!M4+'15.ขลุง'!M4+'16.ตราด'!M4+'17.คลองใหญ่'!M4+'18.สระแก้ว'!M4+'19.วัฒนานคร'!M4+'20.อรัญประเทศ'!M4+'21.ปราจีนบุรี'!M4+'22.กบินทร์บุรี'!M4),0)</f>
        <v>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14</v>
      </c>
      <c r="B4" s="7">
        <f>ROUND((B3*0.4),0)</f>
        <v>14231</v>
      </c>
      <c r="C4" s="7">
        <f t="shared" ref="C4:M4" si="1">$B$4</f>
        <v>14231</v>
      </c>
      <c r="D4" s="7">
        <f t="shared" si="1"/>
        <v>14231</v>
      </c>
      <c r="E4" s="7">
        <f t="shared" si="1"/>
        <v>14231</v>
      </c>
      <c r="F4" s="7">
        <f t="shared" si="1"/>
        <v>14231</v>
      </c>
      <c r="G4" s="7">
        <f t="shared" si="1"/>
        <v>14231</v>
      </c>
      <c r="H4" s="7">
        <f t="shared" si="1"/>
        <v>14231</v>
      </c>
      <c r="I4" s="7">
        <f t="shared" si="1"/>
        <v>14231</v>
      </c>
      <c r="J4" s="7">
        <f t="shared" si="1"/>
        <v>14231</v>
      </c>
      <c r="K4" s="7">
        <f t="shared" si="1"/>
        <v>14231</v>
      </c>
      <c r="L4" s="7">
        <f t="shared" si="1"/>
        <v>14231</v>
      </c>
      <c r="M4" s="7">
        <f t="shared" si="1"/>
        <v>14231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15</v>
      </c>
      <c r="B5" s="7">
        <f>ROUND((B3*0.85),0)</f>
        <v>30240</v>
      </c>
      <c r="C5" s="7">
        <f t="shared" ref="C5:J5" si="2">$B$5</f>
        <v>30240</v>
      </c>
      <c r="D5" s="7">
        <f t="shared" si="2"/>
        <v>30240</v>
      </c>
      <c r="E5" s="7">
        <f t="shared" si="2"/>
        <v>30240</v>
      </c>
      <c r="F5" s="7">
        <f t="shared" si="2"/>
        <v>30240</v>
      </c>
      <c r="G5" s="7">
        <f t="shared" si="2"/>
        <v>30240</v>
      </c>
      <c r="H5" s="7">
        <f t="shared" si="2"/>
        <v>30240</v>
      </c>
      <c r="I5" s="7">
        <f t="shared" si="2"/>
        <v>30240</v>
      </c>
      <c r="J5" s="7">
        <f t="shared" si="2"/>
        <v>30240</v>
      </c>
      <c r="K5" s="7">
        <f>ROUND((B3*0.6),0)</f>
        <v>21346</v>
      </c>
      <c r="L5" s="7">
        <f t="shared" ref="L5:M5" si="3">$K$5</f>
        <v>21346</v>
      </c>
      <c r="M5" s="7">
        <f t="shared" si="3"/>
        <v>21346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16</v>
      </c>
      <c r="B6" s="9">
        <f>'1.ชลบุรี'!B7+'2.พัทยา'!B7+'3.บ้านบึง'!B7+'4.พนัสนิคม'!B7+'5.ศรีราชา'!B7+'6.แหลมฉบัง'!B7+'7.บางปะกง'!B7+'8.ฉะเชิงเทรา'!B7+'9.บางคล้า'!B7+'10.พนมสารคาม'!B7+'12.บ้านฉาง'!B7+'13.ปากน้ำประแสร์'!B7+'14.จันทบุรี'!B7+'15.ขลุง'!B7+'16.ตราด'!B7+'17.คลองใหญ่'!B7+'18.สระแก้ว'!B7+'19.วัฒนานคร'!B7+'20.อรัญประเทศ'!B7+'21.ปราจีนบุรี'!B7+'22.กบินทร์บุรี'!B7</f>
        <v>52249.36788</v>
      </c>
      <c r="C6" s="9">
        <f>'1.ชลบุรี'!C7+'2.พัทยา'!C7+'3.บ้านบึง'!C7+'4.พนัสนิคม'!C7+'5.ศรีราชา'!C7+'6.แหลมฉบัง'!C7+'7.บางปะกง'!C7+'8.ฉะเชิงเทรา'!C7+'9.บางคล้า'!C7+'10.พนมสารคาม'!C7+'12.บ้านฉาง'!C7+'13.ปากน้ำประแสร์'!C7+'14.จันทบุรี'!C7+'15.ขลุง'!C7+'16.ตราด'!C7+'17.คลองใหญ่'!C7+'18.สระแก้ว'!C7+'19.วัฒนานคร'!C7+'20.อรัญประเทศ'!C7+'21.ปราจีนบุรี'!C7+'22.กบินทร์บุรี'!C7</f>
        <v>52249.36788</v>
      </c>
      <c r="D6" s="9">
        <f>'1.ชลบุรี'!D7+'2.พัทยา'!D7+'3.บ้านบึง'!D7+'4.พนัสนิคม'!D7+'5.ศรีราชา'!D7+'6.แหลมฉบัง'!D7+'7.บางปะกง'!D7+'8.ฉะเชิงเทรา'!D7+'9.บางคล้า'!D7+'10.พนมสารคาม'!D7+'12.บ้านฉาง'!D7+'13.ปากน้ำประแสร์'!D7+'14.จันทบุรี'!D7+'15.ขลุง'!D7+'16.ตราด'!D7+'17.คลองใหญ่'!D7+'18.สระแก้ว'!D7+'19.วัฒนานคร'!D7+'20.อรัญประเทศ'!D7+'21.ปราจีนบุรี'!D7+'22.กบินทร์บุรี'!D7</f>
        <v>52249.36788</v>
      </c>
      <c r="E6" s="9">
        <f>'1.ชลบุรี'!E7+'2.พัทยา'!E7+'3.บ้านบึง'!E7+'4.พนัสนิคม'!E7+'5.ศรีราชา'!E7+'6.แหลมฉบัง'!E7+'7.บางปะกง'!E7+'8.ฉะเชิงเทรา'!E7+'9.บางคล้า'!E7+'10.พนมสารคาม'!E7+'12.บ้านฉาง'!E7+'13.ปากน้ำประแสร์'!E7+'14.จันทบุรี'!E7+'15.ขลุง'!E7+'16.ตราด'!E7+'17.คลองใหญ่'!E7+'18.สระแก้ว'!E7+'19.วัฒนานคร'!E7+'20.อรัญประเทศ'!E7+'21.ปราจีนบุรี'!E7+'22.กบินทร์บุรี'!E7</f>
        <v>52249.36788</v>
      </c>
      <c r="F6" s="9">
        <f>'1.ชลบุรี'!F7+'2.พัทยา'!F7+'3.บ้านบึง'!F7+'4.พนัสนิคม'!F7+'5.ศรีราชา'!F7+'6.แหลมฉบัง'!F7+'7.บางปะกง'!F7+'8.ฉะเชิงเทรา'!F7+'9.บางคล้า'!F7+'10.พนมสารคาม'!F7+'12.บ้านฉาง'!F7+'13.ปากน้ำประแสร์'!F7+'14.จันทบุรี'!F7+'15.ขลุง'!F7+'16.ตราด'!F7+'17.คลองใหญ่'!F7+'18.สระแก้ว'!F7+'19.วัฒนานคร'!F7+'20.อรัญประเทศ'!F7+'21.ปราจีนบุรี'!F7+'22.กบินทร์บุรี'!F7</f>
        <v>52249.36788</v>
      </c>
      <c r="G6" s="9">
        <f>'1.ชลบุรี'!G7+'2.พัทยา'!G7+'3.บ้านบึง'!G7+'4.พนัสนิคม'!G7+'5.ศรีราชา'!G7+'6.แหลมฉบัง'!G7+'7.บางปะกง'!G7+'8.ฉะเชิงเทรา'!G7+'9.บางคล้า'!G7+'10.พนมสารคาม'!G7+'12.บ้านฉาง'!G7+'13.ปากน้ำประแสร์'!G7+'14.จันทบุรี'!G7+'15.ขลุง'!G7+'16.ตราด'!G7+'17.คลองใหญ่'!G7+'18.สระแก้ว'!G7+'19.วัฒนานคร'!G7+'20.อรัญประเทศ'!G7+'21.ปราจีนบุรี'!G7+'22.กบินทร์บุรี'!G7</f>
        <v>52249.36788</v>
      </c>
      <c r="H6" s="9">
        <f>'1.ชลบุรี'!H7+'2.พัทยา'!H7+'3.บ้านบึง'!H7+'4.พนัสนิคม'!H7+'5.ศรีราชา'!H7+'6.แหลมฉบัง'!H7+'7.บางปะกง'!H7+'8.ฉะเชิงเทรา'!H7+'9.บางคล้า'!H7+'10.พนมสารคาม'!H7+'12.บ้านฉาง'!H7+'13.ปากน้ำประแสร์'!H7+'14.จันทบุรี'!H7+'15.ขลุง'!H7+'16.ตราด'!H7+'17.คลองใหญ่'!H7+'18.สระแก้ว'!H7+'19.วัฒนานคร'!H7+'20.อรัญประเทศ'!H7+'21.ปราจีนบุรี'!H7+'22.กบินทร์บุรี'!H7</f>
        <v>52249.36788</v>
      </c>
      <c r="I6" s="9">
        <f>'1.ชลบุรี'!I7+'2.พัทยา'!I7+'3.บ้านบึง'!I7+'4.พนัสนิคม'!I7+'5.ศรีราชา'!I7+'6.แหลมฉบัง'!I7+'7.บางปะกง'!I7+'8.ฉะเชิงเทรา'!I7+'9.บางคล้า'!I7+'10.พนมสารคาม'!I7+'12.บ้านฉาง'!I7+'13.ปากน้ำประแสร์'!I7+'14.จันทบุรี'!I7+'15.ขลุง'!I7+'16.ตราด'!I7+'17.คลองใหญ่'!I7+'18.สระแก้ว'!I7+'19.วัฒนานคร'!I7+'20.อรัญประเทศ'!I7+'21.ปราจีนบุรี'!I7+'22.กบินทร์บุรี'!I7</f>
        <v>52249.36788</v>
      </c>
      <c r="J6" s="9">
        <f>'1.ชลบุรี'!J7+'2.พัทยา'!J7+'3.บ้านบึง'!J7+'4.พนัสนิคม'!J7+'5.ศรีราชา'!J7+'6.แหลมฉบัง'!J7+'7.บางปะกง'!J7+'8.ฉะเชิงเทรา'!J7+'9.บางคล้า'!J7+'10.พนมสารคาม'!J7+'12.บ้านฉาง'!J7+'13.ปากน้ำประแสร์'!J7+'14.จันทบุรี'!J7+'15.ขลุง'!J7+'16.ตราด'!J7+'17.คลองใหญ่'!J7+'18.สระแก้ว'!J7+'19.วัฒนานคร'!J7+'20.อรัญประเทศ'!J7+'21.ปราจีนบุรี'!J7+'22.กบินทร์บุรี'!J7</f>
        <v>52249.36788</v>
      </c>
      <c r="K6" s="9">
        <f>'1.ชลบุรี'!K7+'2.พัทยา'!K7+'3.บ้านบึง'!K7+'4.พนัสนิคม'!K7+'5.ศรีราชา'!K7+'6.แหลมฉบัง'!K7+'7.บางปะกง'!K7+'8.ฉะเชิงเทรา'!K7+'9.บางคล้า'!K7+'10.พนมสารคาม'!K7+'12.บ้านฉาง'!K7+'13.ปากน้ำประแสร์'!K7+'14.จันทบุรี'!K7+'15.ขลุง'!K7+'16.ตราด'!K7+'17.คลองใหญ่'!K7+'18.สระแก้ว'!K7+'19.วัฒนานคร'!K7+'20.อรัญประเทศ'!K7+'21.ปราจีนบุรี'!K7+'22.กบินทร์บุรี'!K7</f>
        <v>52249.36788</v>
      </c>
      <c r="L6" s="9">
        <f>'1.ชลบุรี'!L7+'2.พัทยา'!L7+'3.บ้านบึง'!L7+'4.พนัสนิคม'!L7+'5.ศรีราชา'!L7+'6.แหลมฉบัง'!L7+'7.บางปะกง'!L7+'8.ฉะเชิงเทรา'!L7+'9.บางคล้า'!L7+'10.พนมสารคาม'!L7+'12.บ้านฉาง'!L7+'13.ปากน้ำประแสร์'!L7+'14.จันทบุรี'!L7+'15.ขลุง'!L7+'16.ตราด'!L7+'17.คลองใหญ่'!L7+'18.สระแก้ว'!L7+'19.วัฒนานคร'!L7+'20.อรัญประเทศ'!L7+'21.ปราจีนบุรี'!L7+'22.กบินทร์บุรี'!L7</f>
        <v>52249.36788</v>
      </c>
      <c r="M6" s="9">
        <f>'1.ชลบุรี'!M7+'2.พัทยา'!M7+'3.บ้านบึง'!M7+'4.พนัสนิคม'!M7+'5.ศรีราชา'!M7+'6.แหลมฉบัง'!M7+'7.บางปะกง'!M7+'8.ฉะเชิงเทรา'!M7+'9.บางคล้า'!M7+'10.พนมสารคาม'!M7+'12.บ้านฉาง'!M7+'13.ปากน้ำประแสร์'!M7+'14.จันทบุรี'!M7+'15.ขลุง'!M7+'16.ตราด'!M7+'17.คลองใหญ่'!M7+'18.สระแก้ว'!M7+'19.วัฒนานคร'!M7+'20.อรัญประเทศ'!M7+'21.ปราจีนบุรี'!M7+'22.กบินทร์บุรี'!M7</f>
        <v>52249.36788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1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2"/>
      <c r="C1" s="12"/>
      <c r="D1" s="12"/>
      <c r="E1" s="12"/>
      <c r="F1" s="13" t="s">
        <v>17</v>
      </c>
      <c r="K1" s="12"/>
      <c r="L1" s="12"/>
      <c r="M1" s="12"/>
      <c r="N1" s="12"/>
      <c r="O1" s="12"/>
      <c r="P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14"/>
      <c r="B27" s="14"/>
      <c r="C27" s="14"/>
      <c r="D27" s="14"/>
      <c r="E27" s="14"/>
      <c r="F27" s="15" t="s">
        <v>18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6"/>
      <c r="D77" s="16"/>
      <c r="E77" s="16"/>
      <c r="F77" s="17" t="s">
        <v>19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</sheetData>
  <mergeCells count="3">
    <mergeCell ref="F1:J1"/>
    <mergeCell ref="F27:J27"/>
    <mergeCell ref="F77:J7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16" max="16" width="20.63"/>
  </cols>
  <sheetData>
    <row r="1">
      <c r="A1" s="18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8" t="s">
        <v>21</v>
      </c>
      <c r="R1" s="18" t="s">
        <v>22</v>
      </c>
      <c r="S1" s="18" t="s">
        <v>23</v>
      </c>
      <c r="T1" s="18" t="s">
        <v>24</v>
      </c>
      <c r="U1" s="18" t="s">
        <v>25</v>
      </c>
      <c r="V1" s="18" t="s">
        <v>26</v>
      </c>
      <c r="W1" s="4"/>
      <c r="X1" s="4"/>
      <c r="Y1" s="4"/>
      <c r="Z1" s="4"/>
    </row>
    <row r="2">
      <c r="A2" s="1" t="s">
        <v>27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W3" s="4"/>
      <c r="X3" s="4"/>
      <c r="Y3" s="4"/>
      <c r="Z3" s="4"/>
    </row>
    <row r="4">
      <c r="A4" s="6" t="s">
        <v>13</v>
      </c>
      <c r="B4" s="7">
        <f t="shared" ref="B4:G4" si="1">B37</f>
        <v>5478</v>
      </c>
      <c r="C4" s="7">
        <f t="shared" si="1"/>
        <v>5364</v>
      </c>
      <c r="D4" s="7">
        <f t="shared" si="1"/>
        <v>5395</v>
      </c>
      <c r="E4" s="7">
        <f t="shared" si="1"/>
        <v>5577</v>
      </c>
      <c r="F4" s="7">
        <f t="shared" si="1"/>
        <v>5582</v>
      </c>
      <c r="G4" s="7">
        <f t="shared" si="1"/>
        <v>5433</v>
      </c>
      <c r="H4" s="7"/>
      <c r="I4" s="7"/>
      <c r="J4" s="7"/>
      <c r="K4" s="7"/>
      <c r="L4" s="7"/>
      <c r="M4" s="7"/>
      <c r="N4" s="4"/>
      <c r="O4" s="4"/>
      <c r="W4" s="19"/>
      <c r="X4" s="19"/>
      <c r="Y4" s="19"/>
      <c r="Z4" s="4"/>
    </row>
    <row r="5">
      <c r="A5" s="6" t="s">
        <v>14</v>
      </c>
      <c r="B5" s="7">
        <f>ROUND((B4*0.4),0)</f>
        <v>2191</v>
      </c>
      <c r="C5" s="7">
        <f t="shared" ref="C5:M5" si="2">$B$5</f>
        <v>2191</v>
      </c>
      <c r="D5" s="7">
        <f t="shared" si="2"/>
        <v>2191</v>
      </c>
      <c r="E5" s="7">
        <f t="shared" si="2"/>
        <v>2191</v>
      </c>
      <c r="F5" s="7">
        <f t="shared" si="2"/>
        <v>2191</v>
      </c>
      <c r="G5" s="7">
        <f t="shared" si="2"/>
        <v>2191</v>
      </c>
      <c r="H5" s="7">
        <f t="shared" si="2"/>
        <v>2191</v>
      </c>
      <c r="I5" s="7">
        <f t="shared" si="2"/>
        <v>2191</v>
      </c>
      <c r="J5" s="7">
        <f t="shared" si="2"/>
        <v>2191</v>
      </c>
      <c r="K5" s="7">
        <f t="shared" si="2"/>
        <v>2191</v>
      </c>
      <c r="L5" s="7">
        <f t="shared" si="2"/>
        <v>2191</v>
      </c>
      <c r="M5" s="7">
        <f t="shared" si="2"/>
        <v>2191</v>
      </c>
      <c r="N5" s="4"/>
      <c r="O5" s="4"/>
      <c r="W5" s="19"/>
      <c r="X5" s="19"/>
      <c r="Y5" s="19"/>
      <c r="Z5" s="4"/>
    </row>
    <row r="6">
      <c r="A6" s="6" t="s">
        <v>15</v>
      </c>
      <c r="B6" s="7">
        <f>ROUND((B4*0.85),0)</f>
        <v>4656</v>
      </c>
      <c r="C6" s="7">
        <f t="shared" ref="C6:J6" si="3">$B$6</f>
        <v>4656</v>
      </c>
      <c r="D6" s="7">
        <f t="shared" si="3"/>
        <v>4656</v>
      </c>
      <c r="E6" s="7">
        <f t="shared" si="3"/>
        <v>4656</v>
      </c>
      <c r="F6" s="7">
        <f t="shared" si="3"/>
        <v>4656</v>
      </c>
      <c r="G6" s="7">
        <f t="shared" si="3"/>
        <v>4656</v>
      </c>
      <c r="H6" s="7">
        <f t="shared" si="3"/>
        <v>4656</v>
      </c>
      <c r="I6" s="7">
        <f t="shared" si="3"/>
        <v>4656</v>
      </c>
      <c r="J6" s="7">
        <f t="shared" si="3"/>
        <v>4656</v>
      </c>
      <c r="K6" s="7">
        <f>ROUND((B4*0.6),0)</f>
        <v>3287</v>
      </c>
      <c r="L6" s="7">
        <f t="shared" ref="L6:M6" si="4">$K$6</f>
        <v>3287</v>
      </c>
      <c r="M6" s="7">
        <f t="shared" si="4"/>
        <v>3287</v>
      </c>
      <c r="N6" s="4"/>
      <c r="O6" s="4"/>
      <c r="W6" s="19"/>
      <c r="X6" s="19"/>
      <c r="Y6" s="19"/>
      <c r="Z6" s="4"/>
    </row>
    <row r="7">
      <c r="A7" s="8" t="s">
        <v>16</v>
      </c>
      <c r="B7" s="9">
        <v>6785.0</v>
      </c>
      <c r="C7" s="9">
        <v>6785.0</v>
      </c>
      <c r="D7" s="9">
        <v>6785.0</v>
      </c>
      <c r="E7" s="9">
        <v>6785.0</v>
      </c>
      <c r="F7" s="9">
        <v>6785.0</v>
      </c>
      <c r="G7" s="9">
        <v>6785.0</v>
      </c>
      <c r="H7" s="9">
        <v>6785.0</v>
      </c>
      <c r="I7" s="9">
        <v>6785.0</v>
      </c>
      <c r="J7" s="9">
        <v>6785.0</v>
      </c>
      <c r="K7" s="9">
        <v>6785.0</v>
      </c>
      <c r="L7" s="9">
        <v>6785.0</v>
      </c>
      <c r="M7" s="9">
        <v>6785.0</v>
      </c>
      <c r="N7" s="4"/>
      <c r="O7" s="4"/>
      <c r="W7" s="19"/>
      <c r="X7" s="19"/>
      <c r="Y7" s="19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W9" s="4"/>
      <c r="X9" s="4"/>
      <c r="Y9" s="4"/>
      <c r="Z9" s="4"/>
    </row>
    <row r="10">
      <c r="A10" s="18" t="s">
        <v>28</v>
      </c>
      <c r="B10" s="20">
        <v>577.0</v>
      </c>
      <c r="C10" s="20">
        <v>554.0</v>
      </c>
      <c r="D10" s="20">
        <v>535.0</v>
      </c>
      <c r="E10" s="20">
        <v>607.0</v>
      </c>
      <c r="F10" s="20">
        <v>613.0</v>
      </c>
      <c r="G10" s="18">
        <v>569.0</v>
      </c>
      <c r="H10" s="4"/>
      <c r="I10" s="4"/>
      <c r="J10" s="4"/>
      <c r="K10" s="4"/>
      <c r="L10" s="4"/>
      <c r="M10" s="4"/>
      <c r="N10" s="4"/>
      <c r="O10" s="4"/>
      <c r="W10" s="4"/>
      <c r="X10" s="4"/>
      <c r="Y10" s="4"/>
      <c r="Z10" s="4"/>
    </row>
    <row r="11">
      <c r="A11" s="18" t="s">
        <v>29</v>
      </c>
      <c r="B11" s="20">
        <v>1845.0</v>
      </c>
      <c r="C11" s="20">
        <v>2057.0</v>
      </c>
      <c r="D11" s="20">
        <v>2397.0</v>
      </c>
      <c r="E11" s="20">
        <v>2248.0</v>
      </c>
      <c r="F11" s="20">
        <v>2248.0</v>
      </c>
      <c r="G11" s="18">
        <v>2363.0</v>
      </c>
      <c r="H11" s="4"/>
      <c r="I11" s="4"/>
      <c r="J11" s="4"/>
      <c r="K11" s="4"/>
      <c r="L11" s="4"/>
      <c r="M11" s="4"/>
      <c r="N11" s="4"/>
      <c r="O11" s="4"/>
      <c r="W11" s="4"/>
      <c r="X11" s="4"/>
      <c r="Y11" s="4"/>
      <c r="Z11" s="4"/>
    </row>
    <row r="12">
      <c r="A12" s="21" t="s">
        <v>30</v>
      </c>
      <c r="B12" s="22">
        <v>-21.0</v>
      </c>
      <c r="C12" s="22">
        <v>-44.0</v>
      </c>
      <c r="D12" s="22">
        <v>-20.0</v>
      </c>
      <c r="E12" s="22">
        <v>-20.0</v>
      </c>
      <c r="F12" s="22">
        <v>-37.0</v>
      </c>
      <c r="G12" s="23">
        <v>-42.0</v>
      </c>
      <c r="H12" s="4"/>
      <c r="I12" s="4"/>
      <c r="J12" s="4"/>
      <c r="K12" s="4"/>
      <c r="L12" s="4"/>
      <c r="M12" s="4"/>
      <c r="N12" s="4"/>
      <c r="O12" s="4"/>
      <c r="W12" s="4"/>
      <c r="X12" s="4"/>
      <c r="Y12" s="4"/>
      <c r="Z12" s="4"/>
    </row>
    <row r="13">
      <c r="A13" s="21" t="s">
        <v>31</v>
      </c>
      <c r="B13" s="22">
        <v>-8.0</v>
      </c>
      <c r="C13" s="22">
        <v>-9.0</v>
      </c>
      <c r="D13" s="22">
        <v>-24.0</v>
      </c>
      <c r="E13" s="22">
        <v>-13.0</v>
      </c>
      <c r="F13" s="22">
        <v>-14.0</v>
      </c>
      <c r="G13" s="24">
        <v>-12.0</v>
      </c>
      <c r="H13" s="4"/>
      <c r="I13" s="4"/>
      <c r="J13" s="4"/>
      <c r="K13" s="4"/>
      <c r="L13" s="4"/>
      <c r="M13" s="4"/>
      <c r="N13" s="4"/>
      <c r="O13" s="4"/>
      <c r="W13" s="19"/>
      <c r="X13" s="19"/>
      <c r="Y13" s="19"/>
      <c r="Z13" s="4"/>
    </row>
    <row r="14">
      <c r="A14" s="21" t="s">
        <v>32</v>
      </c>
      <c r="B14" s="22">
        <v>-6.0</v>
      </c>
      <c r="C14" s="22">
        <v>-7.0</v>
      </c>
      <c r="D14" s="22">
        <v>-9.0</v>
      </c>
      <c r="E14" s="22">
        <v>-7.0</v>
      </c>
      <c r="F14" s="22">
        <v>-18.0</v>
      </c>
      <c r="G14" s="24">
        <v>-193.0</v>
      </c>
      <c r="H14" s="4"/>
      <c r="I14" s="4"/>
      <c r="J14" s="4"/>
      <c r="K14" s="4"/>
      <c r="L14" s="4"/>
      <c r="M14" s="4"/>
      <c r="N14" s="4"/>
      <c r="O14" s="4"/>
      <c r="W14" s="4"/>
      <c r="X14" s="4"/>
      <c r="Y14" s="4"/>
      <c r="Z14" s="4"/>
    </row>
    <row r="15">
      <c r="A15" s="21" t="s">
        <v>33</v>
      </c>
      <c r="B15" s="22">
        <v>-465.0</v>
      </c>
      <c r="C15" s="22">
        <v>-541.0</v>
      </c>
      <c r="D15" s="22">
        <v>-800.0</v>
      </c>
      <c r="E15" s="22">
        <v>-722.0</v>
      </c>
      <c r="F15" s="22">
        <v>-750.0</v>
      </c>
      <c r="G15" s="24">
        <v>-679.0</v>
      </c>
      <c r="H15" s="4"/>
      <c r="I15" s="4"/>
      <c r="J15" s="4"/>
      <c r="K15" s="4"/>
      <c r="L15" s="4"/>
      <c r="M15" s="4"/>
      <c r="N15" s="4"/>
      <c r="O15" s="4"/>
      <c r="W15" s="4"/>
      <c r="X15" s="4"/>
      <c r="Y15" s="4"/>
      <c r="Z15" s="4"/>
    </row>
    <row r="16">
      <c r="A16" s="18" t="s">
        <v>34</v>
      </c>
      <c r="B16" s="25"/>
      <c r="C16" s="25"/>
      <c r="D16" s="25"/>
      <c r="E16" s="25"/>
      <c r="F16" s="25"/>
      <c r="G16" s="4"/>
      <c r="H16" s="4"/>
      <c r="I16" s="4"/>
      <c r="J16" s="4"/>
      <c r="K16" s="4"/>
      <c r="L16" s="4"/>
      <c r="M16" s="4"/>
      <c r="N16" s="4"/>
      <c r="O16" s="4"/>
      <c r="W16" s="4"/>
      <c r="X16" s="4"/>
      <c r="Y16" s="4"/>
      <c r="Z16" s="4"/>
    </row>
    <row r="17">
      <c r="A17" s="18" t="s">
        <v>35</v>
      </c>
      <c r="B17" s="20">
        <v>519.0</v>
      </c>
      <c r="C17" s="20">
        <v>485.0</v>
      </c>
      <c r="D17" s="20">
        <v>510.0</v>
      </c>
      <c r="E17" s="20">
        <v>435.0</v>
      </c>
      <c r="F17" s="20">
        <v>768.0</v>
      </c>
      <c r="G17" s="18">
        <v>504.0</v>
      </c>
      <c r="H17" s="4"/>
      <c r="I17" s="4"/>
      <c r="J17" s="4"/>
      <c r="K17" s="4"/>
      <c r="L17" s="4"/>
      <c r="M17" s="4"/>
      <c r="N17" s="4"/>
      <c r="O17" s="4"/>
      <c r="W17" s="4"/>
      <c r="X17" s="4"/>
      <c r="Y17" s="4"/>
      <c r="Z17" s="4"/>
    </row>
    <row r="18">
      <c r="A18" s="18" t="s">
        <v>36</v>
      </c>
      <c r="B18" s="20">
        <v>42.0</v>
      </c>
      <c r="C18" s="20">
        <v>44.0</v>
      </c>
      <c r="D18" s="20">
        <v>41.0</v>
      </c>
      <c r="E18" s="20">
        <v>43.0</v>
      </c>
      <c r="F18" s="20">
        <v>41.0</v>
      </c>
      <c r="G18" s="18">
        <v>47.0</v>
      </c>
      <c r="H18" s="4"/>
      <c r="I18" s="4"/>
      <c r="J18" s="4"/>
      <c r="K18" s="4"/>
      <c r="L18" s="4"/>
      <c r="M18" s="4"/>
      <c r="N18" s="4"/>
      <c r="O18" s="4"/>
      <c r="W18" s="4"/>
      <c r="X18" s="4"/>
      <c r="Y18" s="4"/>
      <c r="Z18" s="4"/>
    </row>
    <row r="19">
      <c r="A19" s="18" t="s">
        <v>37</v>
      </c>
      <c r="B19" s="20">
        <v>343.0</v>
      </c>
      <c r="C19" s="20">
        <v>330.0</v>
      </c>
      <c r="D19" s="20">
        <v>341.0</v>
      </c>
      <c r="E19" s="20">
        <v>383.0</v>
      </c>
      <c r="F19" s="20">
        <v>336.0</v>
      </c>
      <c r="G19" s="18">
        <v>353.0</v>
      </c>
      <c r="H19" s="4"/>
      <c r="I19" s="4"/>
      <c r="J19" s="4"/>
      <c r="K19" s="4"/>
      <c r="L19" s="4"/>
      <c r="M19" s="4"/>
      <c r="N19" s="4"/>
      <c r="O19" s="4"/>
      <c r="W19" s="4"/>
      <c r="X19" s="4"/>
      <c r="Y19" s="4"/>
      <c r="Z19" s="4"/>
    </row>
    <row r="20">
      <c r="A20" s="18" t="s">
        <v>38</v>
      </c>
      <c r="B20" s="20">
        <v>411.0</v>
      </c>
      <c r="C20" s="20">
        <v>436.0</v>
      </c>
      <c r="D20" s="20">
        <v>369.0</v>
      </c>
      <c r="E20" s="20">
        <v>409.0</v>
      </c>
      <c r="F20" s="20">
        <v>359.0</v>
      </c>
      <c r="G20" s="18">
        <v>375.0</v>
      </c>
      <c r="H20" s="4"/>
      <c r="I20" s="4"/>
      <c r="J20" s="4"/>
      <c r="K20" s="4"/>
      <c r="L20" s="4"/>
      <c r="M20" s="4"/>
      <c r="N20" s="4"/>
      <c r="O20" s="4"/>
      <c r="W20" s="4"/>
      <c r="X20" s="4"/>
      <c r="Y20" s="4"/>
      <c r="Z20" s="4"/>
    </row>
    <row r="21">
      <c r="A21" s="21" t="s">
        <v>39</v>
      </c>
      <c r="B21" s="22">
        <v>-23.0</v>
      </c>
      <c r="C21" s="22">
        <v>-59.0</v>
      </c>
      <c r="D21" s="22">
        <v>-50.0</v>
      </c>
      <c r="E21" s="22">
        <v>-39.0</v>
      </c>
      <c r="F21" s="22">
        <v>-33.0</v>
      </c>
      <c r="G21" s="24">
        <v>-38.0</v>
      </c>
      <c r="H21" s="4"/>
      <c r="I21" s="4"/>
      <c r="J21" s="4"/>
      <c r="K21" s="4"/>
      <c r="L21" s="4"/>
      <c r="M21" s="4"/>
      <c r="N21" s="4"/>
      <c r="O21" s="4"/>
      <c r="W21" s="4"/>
      <c r="X21" s="4"/>
      <c r="Y21" s="4"/>
      <c r="Z21" s="4"/>
    </row>
    <row r="22">
      <c r="A22" s="18" t="s">
        <v>40</v>
      </c>
      <c r="B22" s="20">
        <v>183.0</v>
      </c>
      <c r="C22" s="20">
        <v>138.0</v>
      </c>
      <c r="D22" s="20">
        <v>147.0</v>
      </c>
      <c r="E22" s="20">
        <v>160.0</v>
      </c>
      <c r="F22" s="20">
        <v>141.0</v>
      </c>
      <c r="G22" s="18">
        <v>156.0</v>
      </c>
      <c r="H22" s="4"/>
      <c r="I22" s="4"/>
      <c r="J22" s="4"/>
      <c r="K22" s="4"/>
      <c r="L22" s="4"/>
      <c r="M22" s="4"/>
      <c r="N22" s="4"/>
      <c r="O22" s="4"/>
      <c r="W22" s="4"/>
      <c r="X22" s="4"/>
      <c r="Y22" s="4"/>
      <c r="Z22" s="4"/>
    </row>
    <row r="23">
      <c r="A23" s="18" t="s">
        <v>41</v>
      </c>
      <c r="B23" s="20">
        <v>1.0</v>
      </c>
      <c r="C23" s="20">
        <v>4.0</v>
      </c>
      <c r="D23" s="20">
        <v>6.0</v>
      </c>
      <c r="E23" s="20">
        <v>1.0</v>
      </c>
      <c r="F23" s="20">
        <v>2.0</v>
      </c>
      <c r="G23" s="18">
        <v>11.0</v>
      </c>
      <c r="H23" s="4"/>
      <c r="I23" s="4"/>
      <c r="J23" s="4"/>
      <c r="K23" s="4"/>
      <c r="L23" s="4"/>
      <c r="M23" s="4"/>
      <c r="N23" s="4"/>
      <c r="O23" s="4"/>
      <c r="W23" s="4"/>
      <c r="X23" s="4"/>
      <c r="Y23" s="4"/>
      <c r="Z23" s="4"/>
    </row>
    <row r="24">
      <c r="A24" s="18" t="s">
        <v>42</v>
      </c>
      <c r="B24" s="20">
        <v>90.0</v>
      </c>
      <c r="C24" s="20">
        <v>101.0</v>
      </c>
      <c r="D24" s="20">
        <v>130.0</v>
      </c>
      <c r="E24" s="20">
        <v>102.0</v>
      </c>
      <c r="F24" s="20">
        <v>93.0</v>
      </c>
      <c r="G24" s="18">
        <v>99.0</v>
      </c>
      <c r="H24" s="4"/>
      <c r="I24" s="4"/>
      <c r="J24" s="4"/>
      <c r="K24" s="4"/>
      <c r="L24" s="4"/>
      <c r="M24" s="4"/>
      <c r="N24" s="4"/>
      <c r="O24" s="4"/>
      <c r="W24" s="4"/>
      <c r="X24" s="4"/>
      <c r="Y24" s="4"/>
      <c r="Z24" s="4"/>
    </row>
    <row r="25">
      <c r="A25" s="18" t="s">
        <v>43</v>
      </c>
      <c r="B25" s="20">
        <v>161.0</v>
      </c>
      <c r="C25" s="20">
        <v>148.0</v>
      </c>
      <c r="D25" s="20">
        <v>158.0</v>
      </c>
      <c r="E25" s="20">
        <v>167.0</v>
      </c>
      <c r="F25" s="20">
        <v>143.0</v>
      </c>
      <c r="G25" s="18">
        <v>141.0</v>
      </c>
      <c r="H25" s="4"/>
      <c r="I25" s="4"/>
      <c r="J25" s="4"/>
      <c r="K25" s="4"/>
      <c r="L25" s="4"/>
      <c r="M25" s="4"/>
      <c r="N25" s="4"/>
      <c r="O25" s="4"/>
      <c r="W25" s="4"/>
      <c r="X25" s="4"/>
      <c r="Y25" s="4"/>
      <c r="Z25" s="4"/>
    </row>
    <row r="26">
      <c r="A26" s="18" t="s">
        <v>44</v>
      </c>
      <c r="B26" s="20">
        <v>222.0</v>
      </c>
      <c r="C26" s="20">
        <v>188.0</v>
      </c>
      <c r="D26" s="20">
        <v>211.0</v>
      </c>
      <c r="E26" s="20">
        <v>192.0</v>
      </c>
      <c r="F26" s="20">
        <v>216.0</v>
      </c>
      <c r="G26" s="26">
        <v>206.0</v>
      </c>
      <c r="H26" s="4"/>
      <c r="I26" s="4"/>
      <c r="J26" s="4"/>
      <c r="K26" s="4"/>
      <c r="L26" s="4"/>
      <c r="M26" s="4"/>
      <c r="N26" s="4"/>
      <c r="O26" s="4"/>
      <c r="W26" s="4"/>
      <c r="X26" s="4"/>
      <c r="Y26" s="4"/>
      <c r="Z26" s="4"/>
    </row>
    <row r="27">
      <c r="A27" s="18" t="s">
        <v>45</v>
      </c>
      <c r="B27" s="20">
        <v>239.0</v>
      </c>
      <c r="C27" s="20">
        <v>254.0</v>
      </c>
      <c r="D27" s="20">
        <v>225.0</v>
      </c>
      <c r="E27" s="20">
        <v>242.0</v>
      </c>
      <c r="F27" s="20">
        <v>219.0</v>
      </c>
      <c r="G27" s="18">
        <v>251.0</v>
      </c>
      <c r="H27" s="4"/>
      <c r="I27" s="4"/>
      <c r="J27" s="4"/>
      <c r="K27" s="4"/>
      <c r="L27" s="4"/>
      <c r="M27" s="4"/>
      <c r="N27" s="4"/>
      <c r="O27" s="4"/>
      <c r="W27" s="4"/>
      <c r="X27" s="4"/>
      <c r="Y27" s="4"/>
      <c r="Z27" s="4"/>
    </row>
    <row r="28">
      <c r="A28" s="27" t="s">
        <v>46</v>
      </c>
      <c r="B28" s="20">
        <v>22.0</v>
      </c>
      <c r="C28" s="20">
        <v>29.0</v>
      </c>
      <c r="D28" s="20">
        <v>23.0</v>
      </c>
      <c r="E28" s="20">
        <v>44.0</v>
      </c>
      <c r="F28" s="20">
        <v>49.0</v>
      </c>
      <c r="G28" s="18">
        <v>68.0</v>
      </c>
      <c r="H28" s="4"/>
      <c r="I28" s="4"/>
      <c r="J28" s="4"/>
      <c r="K28" s="4"/>
      <c r="L28" s="4"/>
      <c r="M28" s="4"/>
      <c r="N28" s="4"/>
      <c r="O28" s="4"/>
      <c r="W28" s="4"/>
      <c r="X28" s="4"/>
      <c r="Y28" s="4"/>
      <c r="Z28" s="4"/>
    </row>
    <row r="29">
      <c r="A29" s="18" t="s">
        <v>47</v>
      </c>
      <c r="B29" s="20">
        <v>159.0</v>
      </c>
      <c r="C29" s="20">
        <v>175.0</v>
      </c>
      <c r="D29" s="20">
        <v>165.0</v>
      </c>
      <c r="E29" s="20">
        <v>190.0</v>
      </c>
      <c r="F29" s="20">
        <v>166.0</v>
      </c>
      <c r="G29" s="18">
        <v>184.0</v>
      </c>
      <c r="H29" s="4"/>
      <c r="I29" s="4"/>
      <c r="J29" s="4"/>
      <c r="K29" s="4"/>
      <c r="L29" s="4"/>
      <c r="M29" s="4"/>
      <c r="N29" s="4"/>
      <c r="O29" s="4"/>
      <c r="W29" s="4"/>
      <c r="X29" s="4"/>
      <c r="Y29" s="4"/>
      <c r="Z29" s="4"/>
    </row>
    <row r="30">
      <c r="A30" s="18" t="s">
        <v>48</v>
      </c>
      <c r="B30" s="28">
        <v>230.0</v>
      </c>
      <c r="C30" s="28">
        <v>241.0</v>
      </c>
      <c r="D30" s="20">
        <v>230.0</v>
      </c>
      <c r="E30" s="20">
        <v>251.0</v>
      </c>
      <c r="F30" s="20">
        <v>201.0</v>
      </c>
      <c r="G30" s="18">
        <v>224.0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 t="s">
        <v>49</v>
      </c>
      <c r="B31" s="20">
        <v>99.0</v>
      </c>
      <c r="C31" s="20">
        <v>57.0</v>
      </c>
      <c r="D31" s="20">
        <v>54.0</v>
      </c>
      <c r="E31" s="20">
        <v>77.0</v>
      </c>
      <c r="F31" s="20">
        <v>48.0</v>
      </c>
      <c r="G31" s="18">
        <v>53.0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8" t="s">
        <v>50</v>
      </c>
      <c r="B32" s="28">
        <v>95.0</v>
      </c>
      <c r="C32" s="28">
        <v>95.0</v>
      </c>
      <c r="D32" s="20">
        <v>107.0</v>
      </c>
      <c r="E32" s="20">
        <v>91.0</v>
      </c>
      <c r="F32" s="20">
        <v>88.0</v>
      </c>
      <c r="G32" s="18">
        <v>90.0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8" t="s">
        <v>51</v>
      </c>
      <c r="B33" s="20">
        <v>54.0</v>
      </c>
      <c r="C33" s="20">
        <v>48.0</v>
      </c>
      <c r="D33" s="20">
        <v>34.0</v>
      </c>
      <c r="E33" s="20">
        <v>20.0</v>
      </c>
      <c r="F33" s="20">
        <v>25.0</v>
      </c>
      <c r="G33" s="18">
        <v>29.0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8" t="s">
        <v>52</v>
      </c>
      <c r="B34" s="20">
        <v>132.0</v>
      </c>
      <c r="C34" s="20">
        <v>122.0</v>
      </c>
      <c r="D34" s="20">
        <v>99.0</v>
      </c>
      <c r="E34" s="20">
        <v>103.0</v>
      </c>
      <c r="F34" s="20">
        <v>108.0</v>
      </c>
      <c r="G34" s="18">
        <v>98.0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8" t="s">
        <v>53</v>
      </c>
      <c r="B35" s="20">
        <v>436.0</v>
      </c>
      <c r="C35" s="20">
        <v>361.0</v>
      </c>
      <c r="D35" s="20">
        <v>351.0</v>
      </c>
      <c r="E35" s="20">
        <v>300.0</v>
      </c>
      <c r="F35" s="20">
        <v>248.0</v>
      </c>
      <c r="G35" s="18">
        <v>264.0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8" t="s">
        <v>54</v>
      </c>
      <c r="B36" s="20">
        <v>141.0</v>
      </c>
      <c r="C36" s="20">
        <v>157.0</v>
      </c>
      <c r="D36" s="20">
        <v>165.0</v>
      </c>
      <c r="E36" s="20">
        <v>313.0</v>
      </c>
      <c r="F36" s="20">
        <v>322.0</v>
      </c>
      <c r="G36" s="18">
        <v>312.0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20">
        <f t="shared" ref="B37:G37" si="5">SUM(B10:B36)</f>
        <v>5478</v>
      </c>
      <c r="C37" s="20">
        <f t="shared" si="5"/>
        <v>5364</v>
      </c>
      <c r="D37" s="20">
        <f t="shared" si="5"/>
        <v>5395</v>
      </c>
      <c r="E37" s="20">
        <f t="shared" si="5"/>
        <v>5577</v>
      </c>
      <c r="F37" s="20">
        <f t="shared" si="5"/>
        <v>5582</v>
      </c>
      <c r="G37" s="20">
        <f t="shared" si="5"/>
        <v>5433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29" t="s">
        <v>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M4" si="1">B33</f>
        <v>5666</v>
      </c>
      <c r="C4" s="7">
        <f t="shared" si="1"/>
        <v>5305</v>
      </c>
      <c r="D4" s="7">
        <f t="shared" si="1"/>
        <v>5620</v>
      </c>
      <c r="E4" s="7">
        <f t="shared" si="1"/>
        <v>5399</v>
      </c>
      <c r="F4" s="7">
        <f t="shared" si="1"/>
        <v>5573</v>
      </c>
      <c r="G4" s="7">
        <f t="shared" si="1"/>
        <v>5630</v>
      </c>
      <c r="H4" s="7">
        <f t="shared" si="1"/>
        <v>0</v>
      </c>
      <c r="I4" s="7">
        <f t="shared" si="1"/>
        <v>0</v>
      </c>
      <c r="J4" s="7">
        <f t="shared" si="1"/>
        <v>0</v>
      </c>
      <c r="K4" s="7">
        <f t="shared" si="1"/>
        <v>0</v>
      </c>
      <c r="L4" s="7">
        <f t="shared" si="1"/>
        <v>0</v>
      </c>
      <c r="M4" s="7">
        <f t="shared" si="1"/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2266.4</v>
      </c>
      <c r="C5" s="7">
        <f t="shared" ref="C5:M5" si="2">$B$5</f>
        <v>2266.4</v>
      </c>
      <c r="D5" s="7">
        <f t="shared" si="2"/>
        <v>2266.4</v>
      </c>
      <c r="E5" s="7">
        <f t="shared" si="2"/>
        <v>2266.4</v>
      </c>
      <c r="F5" s="7">
        <f t="shared" si="2"/>
        <v>2266.4</v>
      </c>
      <c r="G5" s="7">
        <f t="shared" si="2"/>
        <v>2266.4</v>
      </c>
      <c r="H5" s="7">
        <f t="shared" si="2"/>
        <v>2266.4</v>
      </c>
      <c r="I5" s="7">
        <f t="shared" si="2"/>
        <v>2266.4</v>
      </c>
      <c r="J5" s="7">
        <f t="shared" si="2"/>
        <v>2266.4</v>
      </c>
      <c r="K5" s="7">
        <f t="shared" si="2"/>
        <v>2266.4</v>
      </c>
      <c r="L5" s="7">
        <f t="shared" si="2"/>
        <v>2266.4</v>
      </c>
      <c r="M5" s="7">
        <f t="shared" si="2"/>
        <v>2266.4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4816</v>
      </c>
      <c r="C6" s="7">
        <f t="shared" ref="C6:J6" si="3">$B$6</f>
        <v>4816</v>
      </c>
      <c r="D6" s="7">
        <f t="shared" si="3"/>
        <v>4816</v>
      </c>
      <c r="E6" s="7">
        <f t="shared" si="3"/>
        <v>4816</v>
      </c>
      <c r="F6" s="7">
        <f t="shared" si="3"/>
        <v>4816</v>
      </c>
      <c r="G6" s="7">
        <f t="shared" si="3"/>
        <v>4816</v>
      </c>
      <c r="H6" s="7">
        <f t="shared" si="3"/>
        <v>4816</v>
      </c>
      <c r="I6" s="7">
        <f t="shared" si="3"/>
        <v>4816</v>
      </c>
      <c r="J6" s="7">
        <f t="shared" si="3"/>
        <v>4816</v>
      </c>
      <c r="K6" s="7">
        <f>ROUND((B4*0.6),0)</f>
        <v>3400</v>
      </c>
      <c r="L6" s="7">
        <f t="shared" ref="L6:M6" si="4">$K$6</f>
        <v>3400</v>
      </c>
      <c r="M6" s="7">
        <f t="shared" si="4"/>
        <v>3400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31">
        <v>8472.239866</v>
      </c>
      <c r="C7" s="31">
        <f t="shared" ref="C7:M7" si="5">B7</f>
        <v>8472.239866</v>
      </c>
      <c r="D7" s="31">
        <f t="shared" si="5"/>
        <v>8472.239866</v>
      </c>
      <c r="E7" s="31">
        <f t="shared" si="5"/>
        <v>8472.239866</v>
      </c>
      <c r="F7" s="31">
        <f t="shared" si="5"/>
        <v>8472.239866</v>
      </c>
      <c r="G7" s="31">
        <f t="shared" si="5"/>
        <v>8472.239866</v>
      </c>
      <c r="H7" s="31">
        <f t="shared" si="5"/>
        <v>8472.239866</v>
      </c>
      <c r="I7" s="31">
        <f t="shared" si="5"/>
        <v>8472.239866</v>
      </c>
      <c r="J7" s="31">
        <f t="shared" si="5"/>
        <v>8472.239866</v>
      </c>
      <c r="K7" s="31">
        <f t="shared" si="5"/>
        <v>8472.239866</v>
      </c>
      <c r="L7" s="31">
        <f t="shared" si="5"/>
        <v>8472.239866</v>
      </c>
      <c r="M7" s="31">
        <f t="shared" si="5"/>
        <v>8472.239866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2" t="s">
        <v>57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58</v>
      </c>
      <c r="B11" s="8">
        <v>1438.0</v>
      </c>
      <c r="C11" s="8">
        <v>1307.0</v>
      </c>
      <c r="D11" s="8">
        <v>1269.0</v>
      </c>
      <c r="E11" s="8">
        <v>1326.0</v>
      </c>
      <c r="F11" s="8">
        <v>1438.0</v>
      </c>
      <c r="G11" s="8">
        <v>1308.0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4" t="s">
        <v>59</v>
      </c>
      <c r="B12" s="34">
        <v>-640.0</v>
      </c>
      <c r="C12" s="34">
        <v>-628.0</v>
      </c>
      <c r="D12" s="34">
        <v>-676.0</v>
      </c>
      <c r="E12" s="34">
        <v>-673.0</v>
      </c>
      <c r="F12" s="34">
        <v>-666.0</v>
      </c>
      <c r="G12" s="34">
        <v>-580.0</v>
      </c>
      <c r="H12" s="35"/>
      <c r="I12" s="35"/>
      <c r="J12" s="35"/>
      <c r="K12" s="35"/>
      <c r="L12" s="35"/>
      <c r="M12" s="3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60</v>
      </c>
      <c r="B13" s="8">
        <v>490.0</v>
      </c>
      <c r="C13" s="8">
        <v>411.0</v>
      </c>
      <c r="D13" s="8">
        <v>389.0</v>
      </c>
      <c r="E13" s="8">
        <v>389.0</v>
      </c>
      <c r="F13" s="8">
        <v>411.0</v>
      </c>
      <c r="G13" s="8">
        <v>359.0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61</v>
      </c>
      <c r="B14" s="8">
        <v>28.0</v>
      </c>
      <c r="C14" s="8">
        <v>28.0</v>
      </c>
      <c r="D14" s="36">
        <v>28.0</v>
      </c>
      <c r="E14" s="36">
        <v>28.0</v>
      </c>
      <c r="F14" s="36">
        <v>28.0</v>
      </c>
      <c r="G14" s="8">
        <v>23.0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62</v>
      </c>
      <c r="B15" s="8">
        <v>600.0</v>
      </c>
      <c r="C15" s="8">
        <v>417.0</v>
      </c>
      <c r="D15" s="8">
        <v>591.0</v>
      </c>
      <c r="E15" s="8">
        <v>579.0</v>
      </c>
      <c r="F15" s="8">
        <v>448.0</v>
      </c>
      <c r="G15" s="8">
        <v>650.0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63</v>
      </c>
      <c r="B16" s="8">
        <v>786.0</v>
      </c>
      <c r="C16" s="8">
        <v>795.0</v>
      </c>
      <c r="D16" s="8">
        <v>753.0</v>
      </c>
      <c r="E16" s="8">
        <v>639.0</v>
      </c>
      <c r="F16" s="8">
        <v>687.0</v>
      </c>
      <c r="G16" s="8">
        <v>550.0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4" t="s">
        <v>64</v>
      </c>
      <c r="B17" s="34">
        <v>-215.0</v>
      </c>
      <c r="C17" s="34">
        <v>-224.0</v>
      </c>
      <c r="D17" s="34">
        <v>-202.0</v>
      </c>
      <c r="E17" s="36">
        <v>-202.0</v>
      </c>
      <c r="F17" s="36">
        <v>-202.0</v>
      </c>
      <c r="G17" s="34">
        <v>-160.0</v>
      </c>
      <c r="H17" s="35"/>
      <c r="I17" s="35"/>
      <c r="J17" s="35"/>
      <c r="K17" s="35"/>
      <c r="L17" s="35"/>
      <c r="M17" s="3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65</v>
      </c>
      <c r="B18" s="8">
        <v>367.0</v>
      </c>
      <c r="C18" s="8">
        <v>260.0</v>
      </c>
      <c r="D18" s="8">
        <v>426.0</v>
      </c>
      <c r="E18" s="8">
        <v>361.0</v>
      </c>
      <c r="F18" s="8">
        <v>444.0</v>
      </c>
      <c r="G18" s="8">
        <v>350.0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66</v>
      </c>
      <c r="B19" s="8">
        <v>593.0</v>
      </c>
      <c r="C19" s="8">
        <v>580.0</v>
      </c>
      <c r="D19" s="8">
        <v>610.0</v>
      </c>
      <c r="E19" s="8">
        <v>599.0</v>
      </c>
      <c r="F19" s="8">
        <v>613.0</v>
      </c>
      <c r="G19" s="8">
        <v>650.0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67</v>
      </c>
      <c r="B20" s="8">
        <v>30.0</v>
      </c>
      <c r="C20" s="8">
        <v>38.0</v>
      </c>
      <c r="D20" s="36">
        <v>38.0</v>
      </c>
      <c r="E20" s="36">
        <v>38.0</v>
      </c>
      <c r="F20" s="36">
        <v>38.0</v>
      </c>
      <c r="G20" s="36">
        <v>38.0</v>
      </c>
      <c r="H20" s="33"/>
      <c r="I20" s="33"/>
      <c r="J20" s="33"/>
      <c r="K20" s="37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68</v>
      </c>
      <c r="B21" s="8">
        <v>20.0</v>
      </c>
      <c r="C21" s="8">
        <v>50.0</v>
      </c>
      <c r="D21" s="8">
        <v>43.0</v>
      </c>
      <c r="E21" s="8">
        <v>34.0</v>
      </c>
      <c r="F21" s="8">
        <v>33.0</v>
      </c>
      <c r="G21" s="8">
        <v>38.0</v>
      </c>
      <c r="H21" s="33"/>
      <c r="I21" s="33"/>
      <c r="J21" s="33"/>
      <c r="K21" s="33"/>
      <c r="L21" s="33"/>
      <c r="M21" s="3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69</v>
      </c>
      <c r="B22" s="8">
        <v>31.0</v>
      </c>
      <c r="C22" s="8">
        <v>92.0</v>
      </c>
      <c r="D22" s="8">
        <v>83.0</v>
      </c>
      <c r="E22" s="8">
        <v>87.0</v>
      </c>
      <c r="F22" s="8">
        <v>81.0</v>
      </c>
      <c r="G22" s="8">
        <v>76.0</v>
      </c>
      <c r="H22" s="33"/>
      <c r="I22" s="33"/>
      <c r="J22" s="33"/>
      <c r="K22" s="33"/>
      <c r="L22" s="33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70</v>
      </c>
      <c r="B23" s="8">
        <v>85.0</v>
      </c>
      <c r="C23" s="8">
        <v>101.0</v>
      </c>
      <c r="D23" s="8">
        <v>158.0</v>
      </c>
      <c r="E23" s="8">
        <v>112.0</v>
      </c>
      <c r="F23" s="8">
        <v>115.0</v>
      </c>
      <c r="G23" s="8">
        <v>135.0</v>
      </c>
      <c r="H23" s="33"/>
      <c r="I23" s="33"/>
      <c r="J23" s="33"/>
      <c r="K23" s="33"/>
      <c r="L23" s="33"/>
      <c r="M23" s="3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71</v>
      </c>
      <c r="B24" s="8">
        <v>97.0</v>
      </c>
      <c r="C24" s="8">
        <v>164.0</v>
      </c>
      <c r="D24" s="8">
        <v>150.0</v>
      </c>
      <c r="E24" s="8">
        <v>139.0</v>
      </c>
      <c r="F24" s="8">
        <v>170.0</v>
      </c>
      <c r="G24" s="8">
        <v>160.0</v>
      </c>
      <c r="H24" s="33"/>
      <c r="I24" s="33"/>
      <c r="J24" s="33"/>
      <c r="K24" s="33"/>
      <c r="L24" s="33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72</v>
      </c>
      <c r="B25" s="8">
        <v>627.0</v>
      </c>
      <c r="C25" s="8">
        <v>536.0</v>
      </c>
      <c r="D25" s="8">
        <v>365.0</v>
      </c>
      <c r="E25" s="8">
        <v>376.0</v>
      </c>
      <c r="F25" s="8">
        <v>365.0</v>
      </c>
      <c r="G25" s="8">
        <v>450.0</v>
      </c>
      <c r="H25" s="33"/>
      <c r="I25" s="33"/>
      <c r="J25" s="33"/>
      <c r="K25" s="33"/>
      <c r="L25" s="33"/>
      <c r="M25" s="3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8" t="s">
        <v>73</v>
      </c>
      <c r="B26" s="8">
        <v>431.0</v>
      </c>
      <c r="C26" s="8">
        <v>460.0</v>
      </c>
      <c r="D26" s="8">
        <v>502.0</v>
      </c>
      <c r="E26" s="8">
        <v>417.0</v>
      </c>
      <c r="F26" s="8">
        <v>445.0</v>
      </c>
      <c r="G26" s="8">
        <v>470.0</v>
      </c>
      <c r="H26" s="33"/>
      <c r="I26" s="33"/>
      <c r="J26" s="33"/>
      <c r="K26" s="33"/>
      <c r="L26" s="33"/>
      <c r="M26" s="3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74</v>
      </c>
      <c r="B27" s="39">
        <v>238.0</v>
      </c>
      <c r="C27" s="40">
        <v>238.0</v>
      </c>
      <c r="D27" s="39">
        <v>238.0</v>
      </c>
      <c r="E27" s="39">
        <v>238.0</v>
      </c>
      <c r="F27" s="39">
        <v>238.0</v>
      </c>
      <c r="G27" s="39">
        <v>238.0</v>
      </c>
      <c r="H27" s="33"/>
      <c r="I27" s="33"/>
      <c r="J27" s="33"/>
      <c r="K27" s="33"/>
      <c r="L27" s="33"/>
      <c r="M27" s="3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75</v>
      </c>
      <c r="B28" s="8">
        <v>402.0</v>
      </c>
      <c r="C28" s="8">
        <v>425.0</v>
      </c>
      <c r="D28" s="8">
        <v>574.0</v>
      </c>
      <c r="E28" s="8">
        <v>606.0</v>
      </c>
      <c r="F28" s="8">
        <v>624.0</v>
      </c>
      <c r="G28" s="8">
        <v>600.0</v>
      </c>
      <c r="H28" s="33"/>
      <c r="I28" s="33"/>
      <c r="J28" s="33"/>
      <c r="K28" s="33"/>
      <c r="L28" s="33"/>
      <c r="M28" s="3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76</v>
      </c>
      <c r="B29" s="8">
        <v>145.0</v>
      </c>
      <c r="C29" s="8">
        <v>144.0</v>
      </c>
      <c r="D29" s="8">
        <v>180.0</v>
      </c>
      <c r="E29" s="8">
        <v>174.0</v>
      </c>
      <c r="F29" s="8">
        <v>153.0</v>
      </c>
      <c r="G29" s="8">
        <v>160.0</v>
      </c>
      <c r="H29" s="33"/>
      <c r="I29" s="33"/>
      <c r="J29" s="33"/>
      <c r="K29" s="33"/>
      <c r="L29" s="33"/>
      <c r="M29" s="3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77</v>
      </c>
      <c r="B30" s="8">
        <v>70.0</v>
      </c>
      <c r="C30" s="8">
        <v>28.0</v>
      </c>
      <c r="D30" s="8">
        <v>50.0</v>
      </c>
      <c r="E30" s="8">
        <v>64.0</v>
      </c>
      <c r="F30" s="8">
        <v>63.0</v>
      </c>
      <c r="G30" s="8">
        <v>40.0</v>
      </c>
      <c r="H30" s="33"/>
      <c r="I30" s="33"/>
      <c r="J30" s="33"/>
      <c r="K30" s="33"/>
      <c r="L30" s="33"/>
      <c r="M30" s="3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78</v>
      </c>
      <c r="B31" s="8">
        <v>12.0</v>
      </c>
      <c r="C31" s="8">
        <v>45.0</v>
      </c>
      <c r="D31" s="8">
        <v>15.0</v>
      </c>
      <c r="E31" s="8">
        <v>20.0</v>
      </c>
      <c r="F31" s="8">
        <v>17.0</v>
      </c>
      <c r="G31" s="8">
        <v>45.0</v>
      </c>
      <c r="H31" s="33"/>
      <c r="I31" s="33"/>
      <c r="J31" s="33"/>
      <c r="K31" s="33"/>
      <c r="L31" s="33"/>
      <c r="M31" s="33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79</v>
      </c>
      <c r="B32" s="8">
        <v>31.0</v>
      </c>
      <c r="C32" s="8">
        <v>38.0</v>
      </c>
      <c r="D32" s="8">
        <v>36.0</v>
      </c>
      <c r="E32" s="8">
        <v>48.0</v>
      </c>
      <c r="F32" s="8">
        <v>30.0</v>
      </c>
      <c r="G32" s="8">
        <v>30.0</v>
      </c>
      <c r="H32" s="33"/>
      <c r="I32" s="33"/>
      <c r="J32" s="33"/>
      <c r="K32" s="33"/>
      <c r="L32" s="33"/>
      <c r="M32" s="33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1" t="s">
        <v>80</v>
      </c>
      <c r="B33" s="42">
        <f t="shared" ref="B33:M33" si="6">SUM(B11:B32)</f>
        <v>5666</v>
      </c>
      <c r="C33" s="42">
        <f t="shared" si="6"/>
        <v>5305</v>
      </c>
      <c r="D33" s="42">
        <f t="shared" si="6"/>
        <v>5620</v>
      </c>
      <c r="E33" s="42">
        <f t="shared" si="6"/>
        <v>5399</v>
      </c>
      <c r="F33" s="42">
        <f t="shared" si="6"/>
        <v>5573</v>
      </c>
      <c r="G33" s="42">
        <f t="shared" si="6"/>
        <v>5630</v>
      </c>
      <c r="H33" s="42">
        <f t="shared" si="6"/>
        <v>0</v>
      </c>
      <c r="I33" s="42">
        <f t="shared" si="6"/>
        <v>0</v>
      </c>
      <c r="J33" s="42">
        <f t="shared" si="6"/>
        <v>0</v>
      </c>
      <c r="K33" s="42">
        <f t="shared" si="6"/>
        <v>0</v>
      </c>
      <c r="L33" s="42">
        <f t="shared" si="6"/>
        <v>0</v>
      </c>
      <c r="M33" s="42">
        <f t="shared" si="6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8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18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2">
    <mergeCell ref="A2:M2"/>
    <mergeCell ref="A8:M9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82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v>1686.28</v>
      </c>
      <c r="C4" s="7">
        <v>1789.28</v>
      </c>
      <c r="D4" s="7">
        <v>1826.91</v>
      </c>
      <c r="E4" s="7">
        <v>1698.28</v>
      </c>
      <c r="F4" s="7">
        <v>1775.96</v>
      </c>
      <c r="G4" s="7">
        <v>1904.05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674.512</v>
      </c>
      <c r="C5" s="7">
        <f t="shared" ref="C5:M5" si="1">$B$5</f>
        <v>674.512</v>
      </c>
      <c r="D5" s="7">
        <f t="shared" si="1"/>
        <v>674.512</v>
      </c>
      <c r="E5" s="7">
        <f t="shared" si="1"/>
        <v>674.512</v>
      </c>
      <c r="F5" s="7">
        <f t="shared" si="1"/>
        <v>674.512</v>
      </c>
      <c r="G5" s="7">
        <f t="shared" si="1"/>
        <v>674.512</v>
      </c>
      <c r="H5" s="7">
        <f t="shared" si="1"/>
        <v>674.512</v>
      </c>
      <c r="I5" s="7">
        <f t="shared" si="1"/>
        <v>674.512</v>
      </c>
      <c r="J5" s="7">
        <f t="shared" si="1"/>
        <v>674.512</v>
      </c>
      <c r="K5" s="7">
        <f t="shared" si="1"/>
        <v>674.512</v>
      </c>
      <c r="L5" s="7">
        <f t="shared" si="1"/>
        <v>674.512</v>
      </c>
      <c r="M5" s="7">
        <f t="shared" si="1"/>
        <v>674.512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1433</v>
      </c>
      <c r="C6" s="7">
        <f t="shared" ref="C6:J6" si="2">$B$6</f>
        <v>1433</v>
      </c>
      <c r="D6" s="7">
        <f t="shared" si="2"/>
        <v>1433</v>
      </c>
      <c r="E6" s="7">
        <f t="shared" si="2"/>
        <v>1433</v>
      </c>
      <c r="F6" s="7">
        <f t="shared" si="2"/>
        <v>1433</v>
      </c>
      <c r="G6" s="7">
        <f t="shared" si="2"/>
        <v>1433</v>
      </c>
      <c r="H6" s="7">
        <f t="shared" si="2"/>
        <v>1433</v>
      </c>
      <c r="I6" s="7">
        <f t="shared" si="2"/>
        <v>1433</v>
      </c>
      <c r="J6" s="7">
        <f t="shared" si="2"/>
        <v>1433</v>
      </c>
      <c r="K6" s="7">
        <f>ROUND((B4*0.6),0)</f>
        <v>1012</v>
      </c>
      <c r="L6" s="7">
        <f t="shared" ref="L6:M6" si="3">$K$6</f>
        <v>1012</v>
      </c>
      <c r="M6" s="7">
        <f t="shared" si="3"/>
        <v>1012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2624.0</v>
      </c>
      <c r="C7" s="8">
        <v>2624.0</v>
      </c>
      <c r="D7" s="8">
        <v>2624.0</v>
      </c>
      <c r="E7" s="8">
        <v>2624.0</v>
      </c>
      <c r="F7" s="8">
        <v>2624.0</v>
      </c>
      <c r="G7" s="8">
        <v>2624.0</v>
      </c>
      <c r="H7" s="8">
        <v>2624.0</v>
      </c>
      <c r="I7" s="8">
        <v>2624.0</v>
      </c>
      <c r="J7" s="8">
        <v>2624.0</v>
      </c>
      <c r="K7" s="8">
        <v>2624.0</v>
      </c>
      <c r="L7" s="8">
        <v>2624.0</v>
      </c>
      <c r="M7" s="8">
        <v>2624.0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2" t="s">
        <v>83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/>
      <c r="B10" s="18"/>
      <c r="C10" s="18"/>
      <c r="D10" s="18"/>
      <c r="E10" s="18"/>
      <c r="F10" s="1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60</v>
      </c>
      <c r="B11" s="8">
        <v>764.34</v>
      </c>
      <c r="C11" s="8">
        <v>863.12</v>
      </c>
      <c r="D11" s="8">
        <v>817.32</v>
      </c>
      <c r="E11" s="8">
        <v>880.45</v>
      </c>
      <c r="F11" s="8">
        <v>771.33</v>
      </c>
      <c r="G11" s="8">
        <v>878.66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4" t="s">
        <v>84</v>
      </c>
      <c r="B12" s="34">
        <v>267.4</v>
      </c>
      <c r="C12" s="34">
        <v>291.88</v>
      </c>
      <c r="D12" s="34">
        <v>240.87</v>
      </c>
      <c r="E12" s="34">
        <v>296.38</v>
      </c>
      <c r="F12" s="34">
        <v>109.04</v>
      </c>
      <c r="G12" s="34">
        <v>282.73</v>
      </c>
      <c r="H12" s="35"/>
      <c r="I12" s="35"/>
      <c r="J12" s="35"/>
      <c r="K12" s="35"/>
      <c r="L12" s="35"/>
      <c r="M12" s="3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85</v>
      </c>
      <c r="B13" s="8">
        <v>100.52</v>
      </c>
      <c r="C13" s="8">
        <v>120.55</v>
      </c>
      <c r="D13" s="8">
        <v>118.37</v>
      </c>
      <c r="E13" s="8">
        <v>97.31</v>
      </c>
      <c r="F13" s="8">
        <v>107.78</v>
      </c>
      <c r="G13" s="8">
        <v>173.83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86</v>
      </c>
      <c r="B14" s="8">
        <v>199.31</v>
      </c>
      <c r="C14" s="8">
        <v>228.46</v>
      </c>
      <c r="D14" s="8">
        <v>189.55</v>
      </c>
      <c r="E14" s="8">
        <v>203.72</v>
      </c>
      <c r="F14" s="8">
        <v>228.91</v>
      </c>
      <c r="G14" s="8">
        <v>265.26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87</v>
      </c>
      <c r="B15" s="8">
        <v>265.96</v>
      </c>
      <c r="C15" s="8">
        <v>280.84</v>
      </c>
      <c r="D15" s="8">
        <v>300.59</v>
      </c>
      <c r="E15" s="8">
        <v>266.56</v>
      </c>
      <c r="F15" s="8">
        <v>266.56</v>
      </c>
      <c r="G15" s="8">
        <v>266.56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88</v>
      </c>
      <c r="B16" s="8">
        <v>104.26</v>
      </c>
      <c r="C16" s="8">
        <v>114.55</v>
      </c>
      <c r="D16" s="8">
        <v>156.16</v>
      </c>
      <c r="E16" s="8">
        <v>89.86</v>
      </c>
      <c r="F16" s="8">
        <v>70.17</v>
      </c>
      <c r="G16" s="8">
        <v>123.85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89</v>
      </c>
      <c r="B17" s="8">
        <v>37.0</v>
      </c>
      <c r="C17" s="8">
        <v>37.0</v>
      </c>
      <c r="D17" s="8">
        <v>37.0</v>
      </c>
      <c r="E17" s="8">
        <v>37.0</v>
      </c>
      <c r="F17" s="8">
        <v>37.0</v>
      </c>
      <c r="G17" s="8">
        <v>37.0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90</v>
      </c>
      <c r="B18" s="8">
        <v>5.81</v>
      </c>
      <c r="C18" s="8">
        <v>5.63</v>
      </c>
      <c r="D18" s="8">
        <v>9.73</v>
      </c>
      <c r="E18" s="8">
        <v>8.57</v>
      </c>
      <c r="F18" s="8">
        <v>18.3</v>
      </c>
      <c r="G18" s="8">
        <v>63.15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91</v>
      </c>
      <c r="B19" s="8">
        <v>26.55</v>
      </c>
      <c r="C19" s="8">
        <v>19.53</v>
      </c>
      <c r="D19" s="8">
        <v>23.32</v>
      </c>
      <c r="E19" s="8">
        <v>26.15</v>
      </c>
      <c r="F19" s="8">
        <v>22.73</v>
      </c>
      <c r="G19" s="8">
        <v>17.55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92</v>
      </c>
      <c r="B20" s="8">
        <v>205.2</v>
      </c>
      <c r="C20" s="8">
        <v>196.8</v>
      </c>
      <c r="D20" s="8">
        <v>162.6</v>
      </c>
      <c r="E20" s="8">
        <v>153.0</v>
      </c>
      <c r="F20" s="8">
        <v>162.54</v>
      </c>
      <c r="G20" s="8">
        <v>132.96</v>
      </c>
      <c r="H20" s="33"/>
      <c r="I20" s="33"/>
      <c r="J20" s="33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93</v>
      </c>
      <c r="B21" s="8">
        <v>189.0</v>
      </c>
      <c r="C21" s="8">
        <v>177.0</v>
      </c>
      <c r="D21" s="8">
        <v>198.6</v>
      </c>
      <c r="E21" s="8">
        <v>171.0</v>
      </c>
      <c r="F21" s="8">
        <v>158.69</v>
      </c>
      <c r="G21" s="8">
        <v>143.36</v>
      </c>
      <c r="H21" s="33"/>
      <c r="I21" s="33"/>
      <c r="J21" s="33"/>
      <c r="K21" s="33"/>
      <c r="L21" s="33"/>
      <c r="M21" s="3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94</v>
      </c>
      <c r="B22" s="8">
        <v>55.73</v>
      </c>
      <c r="C22" s="8">
        <v>37.68</v>
      </c>
      <c r="D22" s="8">
        <v>54.54</v>
      </c>
      <c r="E22" s="8">
        <v>61.05</v>
      </c>
      <c r="F22" s="8">
        <v>40.99</v>
      </c>
      <c r="G22" s="8">
        <v>84.6</v>
      </c>
      <c r="H22" s="33"/>
      <c r="I22" s="33"/>
      <c r="J22" s="33"/>
      <c r="K22" s="33"/>
      <c r="L22" s="33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8"/>
      <c r="B23" s="18"/>
      <c r="C23" s="18"/>
      <c r="D23" s="18"/>
      <c r="E23" s="18"/>
      <c r="F23" s="1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8"/>
      <c r="B24" s="18"/>
      <c r="C24" s="1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3"/>
      <c r="B25" s="18"/>
      <c r="C25" s="1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8"/>
      <c r="B26" s="18"/>
      <c r="C26" s="1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8"/>
      <c r="B27" s="18"/>
      <c r="C27" s="1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8"/>
      <c r="B28" s="18"/>
      <c r="C28" s="1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8"/>
      <c r="B29" s="18"/>
      <c r="C29" s="1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8"/>
      <c r="B30" s="18"/>
      <c r="C30" s="1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/>
      <c r="B31" s="18"/>
      <c r="C31" s="1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2">
    <mergeCell ref="A2:M2"/>
    <mergeCell ref="A8:M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B31</f>
        <v>1678</v>
      </c>
      <c r="C4" s="7">
        <f t="shared" si="1"/>
        <v>1615</v>
      </c>
      <c r="D4" s="7">
        <f t="shared" si="1"/>
        <v>1451</v>
      </c>
      <c r="E4" s="7">
        <f t="shared" si="1"/>
        <v>1482</v>
      </c>
      <c r="F4" s="7">
        <f t="shared" si="1"/>
        <v>1491</v>
      </c>
      <c r="G4" s="7">
        <f t="shared" si="1"/>
        <v>1519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671.2</v>
      </c>
      <c r="C5" s="7">
        <f t="shared" ref="C5:M5" si="2">$B$5</f>
        <v>671.2</v>
      </c>
      <c r="D5" s="7">
        <f t="shared" si="2"/>
        <v>671.2</v>
      </c>
      <c r="E5" s="7">
        <f t="shared" si="2"/>
        <v>671.2</v>
      </c>
      <c r="F5" s="7">
        <f t="shared" si="2"/>
        <v>671.2</v>
      </c>
      <c r="G5" s="7">
        <f t="shared" si="2"/>
        <v>671.2</v>
      </c>
      <c r="H5" s="7">
        <f t="shared" si="2"/>
        <v>671.2</v>
      </c>
      <c r="I5" s="7">
        <f t="shared" si="2"/>
        <v>671.2</v>
      </c>
      <c r="J5" s="7">
        <f t="shared" si="2"/>
        <v>671.2</v>
      </c>
      <c r="K5" s="7">
        <f t="shared" si="2"/>
        <v>671.2</v>
      </c>
      <c r="L5" s="7">
        <f t="shared" si="2"/>
        <v>671.2</v>
      </c>
      <c r="M5" s="7">
        <f t="shared" si="2"/>
        <v>671.2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1426</v>
      </c>
      <c r="C6" s="7">
        <f t="shared" ref="C6:J6" si="3">$B$6</f>
        <v>1426</v>
      </c>
      <c r="D6" s="7">
        <f t="shared" si="3"/>
        <v>1426</v>
      </c>
      <c r="E6" s="7">
        <f t="shared" si="3"/>
        <v>1426</v>
      </c>
      <c r="F6" s="7">
        <f t="shared" si="3"/>
        <v>1426</v>
      </c>
      <c r="G6" s="7">
        <f t="shared" si="3"/>
        <v>1426</v>
      </c>
      <c r="H6" s="7">
        <f t="shared" si="3"/>
        <v>1426</v>
      </c>
      <c r="I6" s="7">
        <f t="shared" si="3"/>
        <v>1426</v>
      </c>
      <c r="J6" s="7">
        <f t="shared" si="3"/>
        <v>1426</v>
      </c>
      <c r="K6" s="7">
        <f>ROUND((B4*0.6),0)</f>
        <v>1007</v>
      </c>
      <c r="L6" s="7">
        <f t="shared" ref="L6:M6" si="4">$K$6</f>
        <v>1007</v>
      </c>
      <c r="M6" s="7">
        <f t="shared" si="4"/>
        <v>1007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3195.0</v>
      </c>
      <c r="C7" s="8">
        <v>3195.0</v>
      </c>
      <c r="D7" s="8">
        <v>3195.0</v>
      </c>
      <c r="E7" s="8">
        <v>3195.0</v>
      </c>
      <c r="F7" s="8">
        <v>3195.0</v>
      </c>
      <c r="G7" s="8">
        <v>3195.0</v>
      </c>
      <c r="H7" s="8">
        <v>3195.0</v>
      </c>
      <c r="I7" s="8">
        <v>3195.0</v>
      </c>
      <c r="J7" s="8">
        <v>3195.0</v>
      </c>
      <c r="K7" s="8">
        <v>3195.0</v>
      </c>
      <c r="L7" s="8">
        <v>3195.0</v>
      </c>
      <c r="M7" s="8">
        <v>3195.0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97</v>
      </c>
      <c r="B9" s="8">
        <v>2.0</v>
      </c>
      <c r="C9" s="8">
        <v>3.0</v>
      </c>
      <c r="D9" s="8">
        <v>1.0</v>
      </c>
      <c r="E9" s="8">
        <v>3.0</v>
      </c>
      <c r="F9" s="8">
        <v>1.0</v>
      </c>
      <c r="G9" s="8">
        <v>2.0</v>
      </c>
      <c r="H9" s="33"/>
      <c r="I9" s="33"/>
      <c r="J9" s="33"/>
      <c r="K9" s="33"/>
      <c r="L9" s="33"/>
      <c r="M9" s="3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98</v>
      </c>
      <c r="B10" s="8">
        <v>197.0</v>
      </c>
      <c r="C10" s="8">
        <v>191.0</v>
      </c>
      <c r="D10" s="8">
        <v>198.0</v>
      </c>
      <c r="E10" s="8">
        <v>198.0</v>
      </c>
      <c r="F10" s="8">
        <v>227.0</v>
      </c>
      <c r="G10" s="8">
        <v>193.0</v>
      </c>
      <c r="H10" s="33"/>
      <c r="I10" s="33"/>
      <c r="J10" s="33"/>
      <c r="K10" s="33"/>
      <c r="L10" s="33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29</v>
      </c>
      <c r="B11" s="8">
        <v>88.0</v>
      </c>
      <c r="C11" s="8">
        <v>91.0</v>
      </c>
      <c r="D11" s="8">
        <v>37.0</v>
      </c>
      <c r="E11" s="8">
        <v>28.0</v>
      </c>
      <c r="F11" s="8">
        <v>29.0</v>
      </c>
      <c r="G11" s="8">
        <v>29.0</v>
      </c>
      <c r="H11" s="33"/>
      <c r="I11" s="33"/>
      <c r="J11" s="33"/>
      <c r="K11" s="33"/>
      <c r="L11" s="33"/>
      <c r="M11" s="42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63</v>
      </c>
      <c r="B12" s="8">
        <v>29.0</v>
      </c>
      <c r="C12" s="8">
        <v>30.0</v>
      </c>
      <c r="D12" s="8">
        <v>32.0</v>
      </c>
      <c r="E12" s="8">
        <v>41.0</v>
      </c>
      <c r="F12" s="8">
        <v>28.0</v>
      </c>
      <c r="G12" s="8">
        <v>23.0</v>
      </c>
      <c r="H12" s="33"/>
      <c r="I12" s="33"/>
      <c r="J12" s="33"/>
      <c r="K12" s="33"/>
      <c r="L12" s="33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99</v>
      </c>
      <c r="B13" s="8">
        <v>34.0</v>
      </c>
      <c r="C13" s="8">
        <v>48.0</v>
      </c>
      <c r="D13" s="8">
        <v>32.0</v>
      </c>
      <c r="E13" s="8">
        <v>20.0</v>
      </c>
      <c r="F13" s="8">
        <v>33.0</v>
      </c>
      <c r="G13" s="8">
        <v>29.0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100</v>
      </c>
      <c r="B14" s="8">
        <v>45.0</v>
      </c>
      <c r="C14" s="8">
        <v>55.0</v>
      </c>
      <c r="D14" s="8">
        <v>55.0</v>
      </c>
      <c r="E14" s="8">
        <v>55.0</v>
      </c>
      <c r="F14" s="8">
        <v>55.0</v>
      </c>
      <c r="G14" s="8">
        <v>55.0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65</v>
      </c>
      <c r="B15" s="8">
        <v>290.0</v>
      </c>
      <c r="C15" s="8">
        <v>265.0</v>
      </c>
      <c r="D15" s="8">
        <v>250.0</v>
      </c>
      <c r="E15" s="8">
        <v>345.0</v>
      </c>
      <c r="F15" s="8">
        <v>252.0</v>
      </c>
      <c r="G15" s="8">
        <v>325.0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66</v>
      </c>
      <c r="B16" s="8">
        <v>87.0</v>
      </c>
      <c r="C16" s="8">
        <v>75.0</v>
      </c>
      <c r="D16" s="8">
        <v>56.0</v>
      </c>
      <c r="E16" s="8">
        <v>33.0</v>
      </c>
      <c r="F16" s="8">
        <v>40.0</v>
      </c>
      <c r="G16" s="8">
        <v>36.0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67</v>
      </c>
      <c r="B17" s="8">
        <v>1.0</v>
      </c>
      <c r="C17" s="8">
        <v>1.0</v>
      </c>
      <c r="D17" s="8">
        <v>9.0</v>
      </c>
      <c r="E17" s="8">
        <v>2.0</v>
      </c>
      <c r="F17" s="8">
        <v>1.0</v>
      </c>
      <c r="G17" s="8">
        <v>1.0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68</v>
      </c>
      <c r="B18" s="8">
        <v>118.0</v>
      </c>
      <c r="C18" s="8">
        <v>67.0</v>
      </c>
      <c r="D18" s="8">
        <v>75.0</v>
      </c>
      <c r="E18" s="8">
        <v>73.0</v>
      </c>
      <c r="F18" s="8">
        <v>65.0</v>
      </c>
      <c r="G18" s="8">
        <v>68.0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101</v>
      </c>
      <c r="B19" s="44">
        <f>63-19</f>
        <v>44</v>
      </c>
      <c r="C19" s="44">
        <f>109-52</f>
        <v>57</v>
      </c>
      <c r="D19" s="45">
        <f>109-53</f>
        <v>56</v>
      </c>
      <c r="E19" s="45">
        <f>103-51</f>
        <v>52</v>
      </c>
      <c r="F19" s="45">
        <f>120-64</f>
        <v>56</v>
      </c>
      <c r="G19" s="45">
        <f>98-50</f>
        <v>48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6" t="s">
        <v>102</v>
      </c>
      <c r="B20" s="47"/>
      <c r="C20" s="47"/>
      <c r="D20" s="47"/>
      <c r="E20" s="47"/>
      <c r="F20" s="47"/>
      <c r="G20" s="47"/>
      <c r="H20" s="33"/>
      <c r="I20" s="33"/>
      <c r="J20" s="33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103</v>
      </c>
      <c r="B21" s="8">
        <v>26.0</v>
      </c>
      <c r="C21" s="8">
        <v>28.0</v>
      </c>
      <c r="D21" s="8">
        <v>26.0</v>
      </c>
      <c r="E21" s="8">
        <v>21.0</v>
      </c>
      <c r="F21" s="8">
        <v>32.0</v>
      </c>
      <c r="G21" s="8">
        <v>28.0</v>
      </c>
      <c r="H21" s="33"/>
      <c r="I21" s="33"/>
      <c r="J21" s="33"/>
      <c r="K21" s="33"/>
      <c r="L21" s="33"/>
      <c r="M21" s="3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104</v>
      </c>
      <c r="B22" s="8">
        <v>11.0</v>
      </c>
      <c r="C22" s="8">
        <v>15.0</v>
      </c>
      <c r="D22" s="8">
        <v>10.0</v>
      </c>
      <c r="E22" s="8">
        <v>14.0</v>
      </c>
      <c r="F22" s="8">
        <v>10.0</v>
      </c>
      <c r="G22" s="8">
        <v>10.0</v>
      </c>
      <c r="H22" s="33"/>
      <c r="I22" s="33"/>
      <c r="J22" s="33"/>
      <c r="K22" s="33"/>
      <c r="L22" s="33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105</v>
      </c>
      <c r="B23" s="8">
        <v>185.0</v>
      </c>
      <c r="C23" s="8">
        <v>184.0</v>
      </c>
      <c r="D23" s="8">
        <v>187.0</v>
      </c>
      <c r="E23" s="8">
        <v>183.0</v>
      </c>
      <c r="F23" s="8">
        <v>181.0</v>
      </c>
      <c r="G23" s="8">
        <v>189.0</v>
      </c>
      <c r="H23" s="33"/>
      <c r="I23" s="33"/>
      <c r="J23" s="33"/>
      <c r="K23" s="33"/>
      <c r="L23" s="33"/>
      <c r="M23" s="3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76</v>
      </c>
      <c r="B24" s="8">
        <v>223.0</v>
      </c>
      <c r="C24" s="8">
        <v>227.0</v>
      </c>
      <c r="D24" s="8">
        <v>220.0</v>
      </c>
      <c r="E24" s="8">
        <v>219.0</v>
      </c>
      <c r="F24" s="8">
        <v>228.0</v>
      </c>
      <c r="G24" s="8">
        <v>231.0</v>
      </c>
      <c r="H24" s="33"/>
      <c r="I24" s="33"/>
      <c r="J24" s="33"/>
      <c r="K24" s="33"/>
      <c r="L24" s="33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106</v>
      </c>
      <c r="B25" s="8">
        <v>72.0</v>
      </c>
      <c r="C25" s="8">
        <v>84.0</v>
      </c>
      <c r="D25" s="8">
        <v>60.0</v>
      </c>
      <c r="E25" s="8">
        <v>60.0</v>
      </c>
      <c r="F25" s="8">
        <v>90.0</v>
      </c>
      <c r="G25" s="8">
        <v>96.0</v>
      </c>
      <c r="H25" s="33"/>
      <c r="I25" s="33"/>
      <c r="J25" s="33"/>
      <c r="K25" s="33"/>
      <c r="L25" s="33"/>
      <c r="M25" s="3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107</v>
      </c>
      <c r="B26" s="8">
        <v>157.0</v>
      </c>
      <c r="C26" s="8">
        <v>154.0</v>
      </c>
      <c r="D26" s="8">
        <v>101.0</v>
      </c>
      <c r="E26" s="8">
        <v>101.0</v>
      </c>
      <c r="F26" s="8">
        <v>115.0</v>
      </c>
      <c r="G26" s="8">
        <v>100.0</v>
      </c>
      <c r="H26" s="33"/>
      <c r="I26" s="33"/>
      <c r="J26" s="33"/>
      <c r="K26" s="33"/>
      <c r="L26" s="33"/>
      <c r="M26" s="3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108</v>
      </c>
      <c r="B27" s="8">
        <v>3.0</v>
      </c>
      <c r="C27" s="8">
        <v>3.0</v>
      </c>
      <c r="D27" s="8">
        <v>7.0</v>
      </c>
      <c r="E27" s="8">
        <v>7.0</v>
      </c>
      <c r="F27" s="8">
        <v>5.0</v>
      </c>
      <c r="G27" s="8">
        <v>7.0</v>
      </c>
      <c r="H27" s="33"/>
      <c r="I27" s="33"/>
      <c r="J27" s="33"/>
      <c r="K27" s="33"/>
      <c r="L27" s="33"/>
      <c r="M27" s="33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109</v>
      </c>
      <c r="B28" s="8">
        <v>36.0</v>
      </c>
      <c r="C28" s="8">
        <v>15.0</v>
      </c>
      <c r="D28" s="8">
        <v>14.0</v>
      </c>
      <c r="E28" s="8">
        <v>4.0</v>
      </c>
      <c r="F28" s="8">
        <v>13.0</v>
      </c>
      <c r="G28" s="8">
        <v>13.0</v>
      </c>
      <c r="H28" s="33"/>
      <c r="I28" s="33"/>
      <c r="J28" s="33"/>
      <c r="K28" s="33"/>
      <c r="L28" s="33"/>
      <c r="M28" s="33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110</v>
      </c>
      <c r="B29" s="8">
        <v>30.0</v>
      </c>
      <c r="C29" s="8">
        <v>22.0</v>
      </c>
      <c r="D29" s="8">
        <v>25.0</v>
      </c>
      <c r="E29" s="8">
        <v>23.0</v>
      </c>
      <c r="F29" s="8">
        <v>25.0</v>
      </c>
      <c r="G29" s="8">
        <v>30.0</v>
      </c>
      <c r="H29" s="33"/>
      <c r="I29" s="33"/>
      <c r="J29" s="33"/>
      <c r="K29" s="33"/>
      <c r="L29" s="33"/>
      <c r="M29" s="33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111</v>
      </c>
      <c r="B30" s="8"/>
      <c r="C30" s="8"/>
      <c r="D30" s="8"/>
      <c r="E30" s="8"/>
      <c r="F30" s="8">
        <v>5.0</v>
      </c>
      <c r="G30" s="8">
        <v>6.0</v>
      </c>
      <c r="H30" s="33"/>
      <c r="I30" s="33"/>
      <c r="J30" s="33"/>
      <c r="K30" s="33"/>
      <c r="L30" s="33"/>
      <c r="M30" s="3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 t="s">
        <v>112</v>
      </c>
      <c r="B31" s="4">
        <f t="shared" ref="B31:M31" si="5">sum(B9:B30)</f>
        <v>1678</v>
      </c>
      <c r="C31" s="4">
        <f t="shared" si="5"/>
        <v>1615</v>
      </c>
      <c r="D31" s="4">
        <f t="shared" si="5"/>
        <v>1451</v>
      </c>
      <c r="E31" s="4">
        <f t="shared" si="5"/>
        <v>1482</v>
      </c>
      <c r="F31" s="4">
        <f t="shared" si="5"/>
        <v>1491</v>
      </c>
      <c r="G31" s="4">
        <f t="shared" si="5"/>
        <v>1519</v>
      </c>
      <c r="H31" s="4">
        <f t="shared" si="5"/>
        <v>0</v>
      </c>
      <c r="I31" s="4">
        <f t="shared" si="5"/>
        <v>0</v>
      </c>
      <c r="J31" s="4">
        <f t="shared" si="5"/>
        <v>0</v>
      </c>
      <c r="K31" s="4">
        <f t="shared" si="5"/>
        <v>0</v>
      </c>
      <c r="L31" s="4">
        <f t="shared" si="5"/>
        <v>0</v>
      </c>
      <c r="M31" s="4">
        <f t="shared" si="5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7">
    <mergeCell ref="A2:M2"/>
    <mergeCell ref="B19:B20"/>
    <mergeCell ref="C19:C20"/>
    <mergeCell ref="D19:D20"/>
    <mergeCell ref="E19:E20"/>
    <mergeCell ref="F19:F20"/>
    <mergeCell ref="G19:G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v>2848.81</v>
      </c>
      <c r="C4" s="7">
        <v>2915.5</v>
      </c>
      <c r="D4" s="7">
        <v>2852.76</v>
      </c>
      <c r="E4" s="7">
        <v>2847.15</v>
      </c>
      <c r="F4" s="7">
        <v>2836.74</v>
      </c>
      <c r="G4" s="7">
        <v>2978.85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1139.524</v>
      </c>
      <c r="C5" s="7">
        <f t="shared" ref="C5:M5" si="1">$B$5</f>
        <v>1139.524</v>
      </c>
      <c r="D5" s="7">
        <f t="shared" si="1"/>
        <v>1139.524</v>
      </c>
      <c r="E5" s="7">
        <f t="shared" si="1"/>
        <v>1139.524</v>
      </c>
      <c r="F5" s="7">
        <f t="shared" si="1"/>
        <v>1139.524</v>
      </c>
      <c r="G5" s="7">
        <f t="shared" si="1"/>
        <v>1139.524</v>
      </c>
      <c r="H5" s="7">
        <f t="shared" si="1"/>
        <v>1139.524</v>
      </c>
      <c r="I5" s="7">
        <f t="shared" si="1"/>
        <v>1139.524</v>
      </c>
      <c r="J5" s="7">
        <f t="shared" si="1"/>
        <v>1139.524</v>
      </c>
      <c r="K5" s="7">
        <f t="shared" si="1"/>
        <v>1139.524</v>
      </c>
      <c r="L5" s="7">
        <f t="shared" si="1"/>
        <v>1139.524</v>
      </c>
      <c r="M5" s="7">
        <f t="shared" si="1"/>
        <v>1139.524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2421</v>
      </c>
      <c r="C6" s="7">
        <f t="shared" ref="C6:J6" si="2">$B$6</f>
        <v>2421</v>
      </c>
      <c r="D6" s="7">
        <f t="shared" si="2"/>
        <v>2421</v>
      </c>
      <c r="E6" s="7">
        <f t="shared" si="2"/>
        <v>2421</v>
      </c>
      <c r="F6" s="7">
        <f t="shared" si="2"/>
        <v>2421</v>
      </c>
      <c r="G6" s="7">
        <f t="shared" si="2"/>
        <v>2421</v>
      </c>
      <c r="H6" s="7">
        <f t="shared" si="2"/>
        <v>2421</v>
      </c>
      <c r="I6" s="7">
        <f t="shared" si="2"/>
        <v>2421</v>
      </c>
      <c r="J6" s="7">
        <f t="shared" si="2"/>
        <v>2421</v>
      </c>
      <c r="K6" s="7">
        <f>ROUND((B4*0.6),0)</f>
        <v>1709</v>
      </c>
      <c r="L6" s="7">
        <f t="shared" ref="L6:M6" si="3">$K$6</f>
        <v>1709</v>
      </c>
      <c r="M6" s="7">
        <f t="shared" si="3"/>
        <v>1709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3538.0</v>
      </c>
      <c r="C7" s="8">
        <v>3538.0</v>
      </c>
      <c r="D7" s="8">
        <v>3538.0</v>
      </c>
      <c r="E7" s="8">
        <v>3538.0</v>
      </c>
      <c r="F7" s="8">
        <v>3538.0</v>
      </c>
      <c r="G7" s="8">
        <v>3538.0</v>
      </c>
      <c r="H7" s="8">
        <v>3538.0</v>
      </c>
      <c r="I7" s="8">
        <v>3538.0</v>
      </c>
      <c r="J7" s="8">
        <v>3538.0</v>
      </c>
      <c r="K7" s="8">
        <v>3538.0</v>
      </c>
      <c r="L7" s="8">
        <v>3538.0</v>
      </c>
      <c r="M7" s="8">
        <v>3538.0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2" t="s">
        <v>114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/>
      <c r="B10" s="18"/>
      <c r="C10" s="18"/>
      <c r="D10" s="18"/>
      <c r="E10" s="18"/>
      <c r="F10" s="1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115</v>
      </c>
      <c r="B11" s="8">
        <v>90.09</v>
      </c>
      <c r="C11" s="8">
        <v>90.09</v>
      </c>
      <c r="D11" s="8">
        <v>90.09</v>
      </c>
      <c r="E11" s="8">
        <v>90.09</v>
      </c>
      <c r="F11" s="8">
        <v>90.09</v>
      </c>
      <c r="G11" s="8">
        <v>90.09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8" t="s">
        <v>58</v>
      </c>
      <c r="B12" s="48">
        <v>5.34</v>
      </c>
      <c r="C12" s="48">
        <v>5.34</v>
      </c>
      <c r="D12" s="48">
        <v>6.21</v>
      </c>
      <c r="E12" s="48">
        <v>5.36</v>
      </c>
      <c r="F12" s="48">
        <v>6.11</v>
      </c>
      <c r="G12" s="48">
        <v>6.48</v>
      </c>
      <c r="H12" s="49"/>
      <c r="I12" s="49"/>
      <c r="J12" s="49"/>
      <c r="K12" s="49"/>
      <c r="L12" s="49"/>
      <c r="M12" s="49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60</v>
      </c>
      <c r="B13" s="8">
        <v>90.33</v>
      </c>
      <c r="C13" s="8">
        <v>90.33</v>
      </c>
      <c r="D13" s="8">
        <v>90.33</v>
      </c>
      <c r="E13" s="8">
        <v>90.33</v>
      </c>
      <c r="F13" s="8">
        <v>90.33</v>
      </c>
      <c r="G13" s="8">
        <v>51.85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85</v>
      </c>
      <c r="B14" s="8">
        <v>5.0</v>
      </c>
      <c r="C14" s="8">
        <v>5.0</v>
      </c>
      <c r="D14" s="8">
        <v>5.0</v>
      </c>
      <c r="E14" s="8">
        <v>5.0</v>
      </c>
      <c r="F14" s="8">
        <v>5.0</v>
      </c>
      <c r="G14" s="8">
        <v>5.0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86</v>
      </c>
      <c r="B15" s="8">
        <v>150.0</v>
      </c>
      <c r="C15" s="8">
        <v>150.0</v>
      </c>
      <c r="D15" s="8">
        <v>150.0</v>
      </c>
      <c r="E15" s="8">
        <v>150.0</v>
      </c>
      <c r="F15" s="8">
        <v>150.0</v>
      </c>
      <c r="G15" s="8">
        <v>150.0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87</v>
      </c>
      <c r="B16" s="8">
        <v>330.17</v>
      </c>
      <c r="C16" s="8">
        <v>421.32</v>
      </c>
      <c r="D16" s="8">
        <v>559.75</v>
      </c>
      <c r="E16" s="8">
        <v>362.91</v>
      </c>
      <c r="F16" s="8">
        <v>352.78</v>
      </c>
      <c r="G16" s="8">
        <v>496.0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88</v>
      </c>
      <c r="B17" s="8">
        <v>43.0</v>
      </c>
      <c r="C17" s="8">
        <v>43.0</v>
      </c>
      <c r="D17" s="8">
        <v>43.0</v>
      </c>
      <c r="E17" s="8">
        <v>43.0</v>
      </c>
      <c r="F17" s="8">
        <v>43.0</v>
      </c>
      <c r="G17" s="8">
        <v>118.0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116</v>
      </c>
      <c r="B18" s="8">
        <v>171.16</v>
      </c>
      <c r="C18" s="8">
        <v>196.24</v>
      </c>
      <c r="D18" s="8">
        <v>160.39</v>
      </c>
      <c r="E18" s="8">
        <v>210.61</v>
      </c>
      <c r="F18" s="8">
        <v>195.21</v>
      </c>
      <c r="G18" s="8">
        <v>241.0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89</v>
      </c>
      <c r="B19" s="50">
        <v>1981.33</v>
      </c>
      <c r="C19" s="50">
        <v>1954.79</v>
      </c>
      <c r="D19" s="50">
        <v>1803.18</v>
      </c>
      <c r="E19" s="50">
        <v>1964.02</v>
      </c>
      <c r="F19" s="50">
        <v>1981.51</v>
      </c>
      <c r="G19" s="50">
        <v>1914.19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90</v>
      </c>
      <c r="B20" s="8">
        <v>151.84</v>
      </c>
      <c r="C20" s="8">
        <v>151.84</v>
      </c>
      <c r="D20" s="8">
        <v>151.84</v>
      </c>
      <c r="E20" s="8">
        <v>151.84</v>
      </c>
      <c r="F20" s="8">
        <v>151.84</v>
      </c>
      <c r="G20" s="8">
        <v>191.49</v>
      </c>
      <c r="H20" s="33"/>
      <c r="I20" s="33"/>
      <c r="J20" s="33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4" t="s">
        <v>92</v>
      </c>
      <c r="B21" s="34">
        <v>42.6</v>
      </c>
      <c r="C21" s="34">
        <v>45.85</v>
      </c>
      <c r="D21" s="34">
        <v>38.5</v>
      </c>
      <c r="E21" s="34">
        <v>43.63</v>
      </c>
      <c r="F21" s="34">
        <v>46.15</v>
      </c>
      <c r="G21" s="34">
        <v>45.54</v>
      </c>
      <c r="H21" s="35"/>
      <c r="I21" s="35"/>
      <c r="J21" s="35"/>
      <c r="K21" s="35"/>
      <c r="L21" s="35"/>
      <c r="M21" s="35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4" t="s">
        <v>117</v>
      </c>
      <c r="B22" s="34">
        <v>43.45</v>
      </c>
      <c r="C22" s="34">
        <v>63.24</v>
      </c>
      <c r="D22" s="34">
        <v>85.13</v>
      </c>
      <c r="E22" s="34">
        <v>98.98</v>
      </c>
      <c r="F22" s="34">
        <v>85.18</v>
      </c>
      <c r="G22" s="34">
        <v>141.57</v>
      </c>
      <c r="H22" s="35"/>
      <c r="I22" s="35"/>
      <c r="J22" s="35"/>
      <c r="K22" s="35"/>
      <c r="L22" s="35"/>
      <c r="M22" s="35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4" t="s">
        <v>118</v>
      </c>
      <c r="B23" s="34">
        <v>83.4</v>
      </c>
      <c r="C23" s="34">
        <v>83.4</v>
      </c>
      <c r="D23" s="34">
        <v>83.4</v>
      </c>
      <c r="E23" s="34">
        <v>83.4</v>
      </c>
      <c r="F23" s="34">
        <v>97.8</v>
      </c>
      <c r="G23" s="34">
        <v>98.14</v>
      </c>
      <c r="H23" s="35"/>
      <c r="I23" s="35"/>
      <c r="J23" s="35"/>
      <c r="K23" s="35"/>
      <c r="L23" s="35"/>
      <c r="M23" s="35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2">
    <mergeCell ref="A2:M2"/>
    <mergeCell ref="A8:M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</cols>
  <sheetData>
    <row r="1">
      <c r="A1" s="18" t="s">
        <v>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B25</f>
        <v>2235.95</v>
      </c>
      <c r="C4" s="7">
        <f t="shared" si="1"/>
        <v>2181.63</v>
      </c>
      <c r="D4" s="7">
        <f t="shared" si="1"/>
        <v>2190.61</v>
      </c>
      <c r="E4" s="7">
        <f t="shared" si="1"/>
        <v>2233.01</v>
      </c>
      <c r="F4" s="7">
        <f t="shared" si="1"/>
        <v>2144.55</v>
      </c>
      <c r="G4" s="7">
        <f t="shared" si="1"/>
        <v>2080.3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894.38</v>
      </c>
      <c r="C5" s="7">
        <f t="shared" ref="C5:M5" si="2">$B$5</f>
        <v>894.38</v>
      </c>
      <c r="D5" s="7">
        <f t="shared" si="2"/>
        <v>894.38</v>
      </c>
      <c r="E5" s="7">
        <f t="shared" si="2"/>
        <v>894.38</v>
      </c>
      <c r="F5" s="7">
        <f t="shared" si="2"/>
        <v>894.38</v>
      </c>
      <c r="G5" s="7">
        <f t="shared" si="2"/>
        <v>894.38</v>
      </c>
      <c r="H5" s="7">
        <f t="shared" si="2"/>
        <v>894.38</v>
      </c>
      <c r="I5" s="7">
        <f t="shared" si="2"/>
        <v>894.38</v>
      </c>
      <c r="J5" s="7">
        <f t="shared" si="2"/>
        <v>894.38</v>
      </c>
      <c r="K5" s="7">
        <f t="shared" si="2"/>
        <v>894.38</v>
      </c>
      <c r="L5" s="7">
        <f t="shared" si="2"/>
        <v>894.38</v>
      </c>
      <c r="M5" s="7">
        <f t="shared" si="2"/>
        <v>894.38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1901</v>
      </c>
      <c r="C6" s="7">
        <f t="shared" ref="C6:J6" si="3">$B$6</f>
        <v>1901</v>
      </c>
      <c r="D6" s="7">
        <f t="shared" si="3"/>
        <v>1901</v>
      </c>
      <c r="E6" s="7">
        <f t="shared" si="3"/>
        <v>1901</v>
      </c>
      <c r="F6" s="7">
        <f t="shared" si="3"/>
        <v>1901</v>
      </c>
      <c r="G6" s="7">
        <f t="shared" si="3"/>
        <v>1901</v>
      </c>
      <c r="H6" s="7">
        <f t="shared" si="3"/>
        <v>1901</v>
      </c>
      <c r="I6" s="7">
        <f t="shared" si="3"/>
        <v>1901</v>
      </c>
      <c r="J6" s="7">
        <f t="shared" si="3"/>
        <v>1901</v>
      </c>
      <c r="K6" s="7">
        <f>ROUND((B4*0.6),0)</f>
        <v>1342</v>
      </c>
      <c r="L6" s="7">
        <f t="shared" ref="L6:M6" si="4">$K$6</f>
        <v>1342</v>
      </c>
      <c r="M6" s="7">
        <f t="shared" si="4"/>
        <v>1342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3813.0</v>
      </c>
      <c r="C7" s="8">
        <f t="shared" ref="C7:M7" si="5">B7</f>
        <v>3813</v>
      </c>
      <c r="D7" s="8">
        <f t="shared" si="5"/>
        <v>3813</v>
      </c>
      <c r="E7" s="8">
        <f t="shared" si="5"/>
        <v>3813</v>
      </c>
      <c r="F7" s="8">
        <f t="shared" si="5"/>
        <v>3813</v>
      </c>
      <c r="G7" s="8">
        <f t="shared" si="5"/>
        <v>3813</v>
      </c>
      <c r="H7" s="8">
        <f t="shared" si="5"/>
        <v>3813</v>
      </c>
      <c r="I7" s="8">
        <f t="shared" si="5"/>
        <v>3813</v>
      </c>
      <c r="J7" s="8">
        <f t="shared" si="5"/>
        <v>3813</v>
      </c>
      <c r="K7" s="8">
        <f t="shared" si="5"/>
        <v>3813</v>
      </c>
      <c r="L7" s="8">
        <f t="shared" si="5"/>
        <v>3813</v>
      </c>
      <c r="M7" s="8">
        <f t="shared" si="5"/>
        <v>3813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121</v>
      </c>
      <c r="B9" s="18" t="s">
        <v>122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123</v>
      </c>
      <c r="B11" s="18">
        <v>450.0</v>
      </c>
      <c r="C11" s="18">
        <v>320.0</v>
      </c>
      <c r="D11" s="18">
        <v>450.0</v>
      </c>
      <c r="E11" s="4">
        <f>479.09</f>
        <v>479.09</v>
      </c>
      <c r="F11" s="18">
        <v>450.0</v>
      </c>
      <c r="G11" s="18">
        <v>429.57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124</v>
      </c>
      <c r="B12" s="4">
        <f>383.75</f>
        <v>383.75</v>
      </c>
      <c r="C12" s="4">
        <f>402.53</f>
        <v>402.53</v>
      </c>
      <c r="D12" s="18">
        <v>340.0</v>
      </c>
      <c r="E12" s="4">
        <f>380.08</f>
        <v>380.08</v>
      </c>
      <c r="F12" s="4">
        <f>311.38</f>
        <v>311.38</v>
      </c>
      <c r="G12" s="18">
        <v>323.67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125</v>
      </c>
      <c r="B13" s="18">
        <v>340.0</v>
      </c>
      <c r="C13" s="4">
        <f>313.86</f>
        <v>313.86</v>
      </c>
      <c r="D13" s="4">
        <f>334</f>
        <v>334</v>
      </c>
      <c r="E13" s="4">
        <f>301.42</f>
        <v>301.42</v>
      </c>
      <c r="F13" s="4">
        <f>335.23</f>
        <v>335.23</v>
      </c>
      <c r="G13" s="18">
        <v>216.72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98</v>
      </c>
      <c r="B14" s="4">
        <f>154.58</f>
        <v>154.58</v>
      </c>
      <c r="C14" s="4">
        <f>123.12</f>
        <v>123.12</v>
      </c>
      <c r="D14" s="4">
        <f>119.35</f>
        <v>119.35</v>
      </c>
      <c r="E14" s="4">
        <f>122.81</f>
        <v>122.81</v>
      </c>
      <c r="F14" s="4">
        <f>110.17</f>
        <v>110.17</v>
      </c>
      <c r="G14" s="18">
        <v>166.51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29</v>
      </c>
      <c r="B15" s="4">
        <f>5.12</f>
        <v>5.12</v>
      </c>
      <c r="C15" s="4">
        <f>4.17</f>
        <v>4.17</v>
      </c>
      <c r="D15" s="4">
        <f>8.68</f>
        <v>8.68</v>
      </c>
      <c r="E15" s="4">
        <f>14.58</f>
        <v>14.58</v>
      </c>
      <c r="F15" s="4">
        <f>5.11</f>
        <v>5.11</v>
      </c>
      <c r="G15" s="18">
        <v>13.55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34</v>
      </c>
      <c r="B16" s="4">
        <f>37.02</f>
        <v>37.02</v>
      </c>
      <c r="C16" s="4">
        <f>34.85</f>
        <v>34.85</v>
      </c>
      <c r="D16" s="18">
        <v>32.0</v>
      </c>
      <c r="E16" s="4">
        <f>36.69</f>
        <v>36.69</v>
      </c>
      <c r="F16" s="18">
        <v>22.14</v>
      </c>
      <c r="G16" s="18">
        <v>32.54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62</v>
      </c>
      <c r="B17" s="4">
        <f>54.6</f>
        <v>54.6</v>
      </c>
      <c r="C17" s="4">
        <f>63.6</f>
        <v>63.6</v>
      </c>
      <c r="D17" s="4">
        <f>66.1</f>
        <v>66.1</v>
      </c>
      <c r="E17" s="4">
        <f>75.2</f>
        <v>75.2</v>
      </c>
      <c r="F17" s="4">
        <f>74.6</f>
        <v>74.6</v>
      </c>
      <c r="G17" s="18">
        <v>60.8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63</v>
      </c>
      <c r="B18" s="4">
        <f>5.8</f>
        <v>5.8</v>
      </c>
      <c r="C18" s="4">
        <f>7.2</f>
        <v>7.2</v>
      </c>
      <c r="D18" s="4">
        <f t="shared" ref="D18:E18" si="6">5.8</f>
        <v>5.8</v>
      </c>
      <c r="E18" s="4">
        <f t="shared" si="6"/>
        <v>5.8</v>
      </c>
      <c r="F18" s="4">
        <f>5.9</f>
        <v>5.9</v>
      </c>
      <c r="G18" s="18">
        <v>6.25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99</v>
      </c>
      <c r="B19" s="4">
        <f t="shared" ref="B19:C19" si="7">48.64</f>
        <v>48.64</v>
      </c>
      <c r="C19" s="4">
        <f t="shared" si="7"/>
        <v>48.64</v>
      </c>
      <c r="D19" s="4">
        <f>26.9</f>
        <v>26.9</v>
      </c>
      <c r="E19" s="4">
        <f>1.05</f>
        <v>1.05</v>
      </c>
      <c r="F19" s="4">
        <f>23.91</f>
        <v>23.91</v>
      </c>
      <c r="G19" s="18">
        <v>24.02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 t="s">
        <v>100</v>
      </c>
      <c r="B20" s="4">
        <f>44.01</f>
        <v>44.01</v>
      </c>
      <c r="C20" s="4">
        <f>63.24</f>
        <v>63.24</v>
      </c>
      <c r="D20" s="4">
        <f>78.75</f>
        <v>78.75</v>
      </c>
      <c r="E20" s="4">
        <f>95.95</f>
        <v>95.95</v>
      </c>
      <c r="F20" s="4">
        <f>96.09</f>
        <v>96.09</v>
      </c>
      <c r="G20" s="18">
        <v>89.92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" t="s">
        <v>66</v>
      </c>
      <c r="B21" s="4">
        <f>35.97</f>
        <v>35.97</v>
      </c>
      <c r="C21" s="4">
        <f>44.85</f>
        <v>44.85</v>
      </c>
      <c r="D21" s="4">
        <f>67.28</f>
        <v>67.28</v>
      </c>
      <c r="E21" s="4">
        <f>65.14</f>
        <v>65.14</v>
      </c>
      <c r="F21" s="4">
        <f>65.89</f>
        <v>65.89</v>
      </c>
      <c r="G21" s="18">
        <v>89.89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8" t="s">
        <v>67</v>
      </c>
      <c r="B22" s="4">
        <f>197.23</f>
        <v>197.23</v>
      </c>
      <c r="C22" s="4">
        <f>250.07</f>
        <v>250.07</v>
      </c>
      <c r="D22" s="4">
        <f>218.55</f>
        <v>218.55</v>
      </c>
      <c r="E22" s="4">
        <f>210.13</f>
        <v>210.13</v>
      </c>
      <c r="F22" s="4">
        <f>207.68</f>
        <v>207.68</v>
      </c>
      <c r="G22" s="18">
        <v>204.24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8" t="s">
        <v>68</v>
      </c>
      <c r="B23" s="4">
        <f>229.45</f>
        <v>229.45</v>
      </c>
      <c r="C23" s="4">
        <f>234.8</f>
        <v>234.8</v>
      </c>
      <c r="D23" s="18">
        <v>215.0</v>
      </c>
      <c r="E23" s="4">
        <f>219.68</f>
        <v>219.68</v>
      </c>
      <c r="F23" s="4">
        <f>198.16</f>
        <v>198.16</v>
      </c>
      <c r="G23" s="18">
        <v>180.15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8" t="s">
        <v>101</v>
      </c>
      <c r="B24" s="4">
        <f>249.78</f>
        <v>249.78</v>
      </c>
      <c r="C24" s="4">
        <f>270.7</f>
        <v>270.7</v>
      </c>
      <c r="D24" s="4">
        <f>228.2</f>
        <v>228.2</v>
      </c>
      <c r="E24" s="4">
        <f>225.39</f>
        <v>225.39</v>
      </c>
      <c r="F24" s="4">
        <f>238.29</f>
        <v>238.29</v>
      </c>
      <c r="G24" s="18">
        <v>242.47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8" t="s">
        <v>126</v>
      </c>
      <c r="B25" s="4">
        <f t="shared" ref="B25:G25" si="8">SUM(B11:B24)</f>
        <v>2235.95</v>
      </c>
      <c r="C25" s="4">
        <f t="shared" si="8"/>
        <v>2181.63</v>
      </c>
      <c r="D25" s="4">
        <f t="shared" si="8"/>
        <v>2190.61</v>
      </c>
      <c r="E25" s="4">
        <f t="shared" si="8"/>
        <v>2233.01</v>
      </c>
      <c r="F25" s="4">
        <f t="shared" si="8"/>
        <v>2144.55</v>
      </c>
      <c r="G25" s="4">
        <f t="shared" si="8"/>
        <v>2080.3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1">
    <mergeCell ref="A2:M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16" max="16" width="57.63"/>
  </cols>
  <sheetData>
    <row r="1">
      <c r="A1" s="18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51"/>
      <c r="Q2" s="52" t="s">
        <v>129</v>
      </c>
      <c r="R2" s="52" t="s">
        <v>130</v>
      </c>
      <c r="S2" s="52" t="s">
        <v>131</v>
      </c>
      <c r="T2" s="52" t="s">
        <v>132</v>
      </c>
      <c r="U2" s="52" t="s">
        <v>133</v>
      </c>
      <c r="V2" s="53" t="s">
        <v>6</v>
      </c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54" t="s">
        <v>134</v>
      </c>
      <c r="Q3" s="55">
        <v>66.19</v>
      </c>
      <c r="R3" s="55">
        <v>69.99</v>
      </c>
      <c r="S3" s="55">
        <v>60.17</v>
      </c>
      <c r="T3" s="55">
        <v>64.85</v>
      </c>
      <c r="U3" s="55">
        <v>69.59</v>
      </c>
      <c r="V3" s="56">
        <v>65.8</v>
      </c>
      <c r="W3" s="4"/>
      <c r="X3" s="4"/>
      <c r="Y3" s="4"/>
      <c r="Z3" s="4"/>
    </row>
    <row r="4">
      <c r="A4" s="6" t="s">
        <v>13</v>
      </c>
      <c r="B4" s="7">
        <f t="shared" ref="B4:G4" si="1">Q16</f>
        <v>979.2</v>
      </c>
      <c r="C4" s="7">
        <f t="shared" si="1"/>
        <v>910.39</v>
      </c>
      <c r="D4" s="7">
        <f t="shared" si="1"/>
        <v>873.1</v>
      </c>
      <c r="E4" s="7">
        <f t="shared" si="1"/>
        <v>1057.24</v>
      </c>
      <c r="F4" s="7">
        <f t="shared" si="1"/>
        <v>1104.56</v>
      </c>
      <c r="G4" s="7">
        <f t="shared" si="1"/>
        <v>1079.13</v>
      </c>
      <c r="H4" s="7"/>
      <c r="I4" s="7"/>
      <c r="J4" s="7"/>
      <c r="K4" s="7"/>
      <c r="L4" s="7"/>
      <c r="M4" s="7"/>
      <c r="N4" s="4"/>
      <c r="O4" s="4"/>
      <c r="P4" s="57" t="s">
        <v>135</v>
      </c>
      <c r="Q4" s="55">
        <v>10.07</v>
      </c>
      <c r="R4" s="55">
        <v>9.55</v>
      </c>
      <c r="S4" s="55">
        <v>21.69</v>
      </c>
      <c r="T4" s="55">
        <v>20.21</v>
      </c>
      <c r="U4" s="55">
        <v>7.57</v>
      </c>
      <c r="V4" s="56">
        <v>10.12</v>
      </c>
      <c r="W4" s="4"/>
      <c r="X4" s="4"/>
      <c r="Y4" s="4"/>
      <c r="Z4" s="4"/>
    </row>
    <row r="5">
      <c r="A5" s="6" t="s">
        <v>14</v>
      </c>
      <c r="B5" s="7">
        <f>B4*0.4</f>
        <v>391.68</v>
      </c>
      <c r="C5" s="7">
        <f t="shared" ref="C5:M5" si="2">$B$5</f>
        <v>391.68</v>
      </c>
      <c r="D5" s="7">
        <f t="shared" si="2"/>
        <v>391.68</v>
      </c>
      <c r="E5" s="7">
        <f t="shared" si="2"/>
        <v>391.68</v>
      </c>
      <c r="F5" s="7">
        <f t="shared" si="2"/>
        <v>391.68</v>
      </c>
      <c r="G5" s="7">
        <f t="shared" si="2"/>
        <v>391.68</v>
      </c>
      <c r="H5" s="7">
        <f t="shared" si="2"/>
        <v>391.68</v>
      </c>
      <c r="I5" s="7">
        <f t="shared" si="2"/>
        <v>391.68</v>
      </c>
      <c r="J5" s="7">
        <f t="shared" si="2"/>
        <v>391.68</v>
      </c>
      <c r="K5" s="7">
        <f t="shared" si="2"/>
        <v>391.68</v>
      </c>
      <c r="L5" s="7">
        <f t="shared" si="2"/>
        <v>391.68</v>
      </c>
      <c r="M5" s="7">
        <f t="shared" si="2"/>
        <v>391.68</v>
      </c>
      <c r="N5" s="4"/>
      <c r="O5" s="4"/>
      <c r="P5" s="57" t="s">
        <v>136</v>
      </c>
      <c r="Q5" s="55">
        <v>126.79</v>
      </c>
      <c r="R5" s="55">
        <v>110.0</v>
      </c>
      <c r="S5" s="55">
        <v>106.83</v>
      </c>
      <c r="T5" s="55">
        <v>122.82</v>
      </c>
      <c r="U5" s="55">
        <v>129.15</v>
      </c>
      <c r="V5" s="56">
        <v>131.33</v>
      </c>
      <c r="W5" s="4"/>
      <c r="X5" s="4"/>
      <c r="Y5" s="4"/>
      <c r="Z5" s="4"/>
    </row>
    <row r="6">
      <c r="A6" s="6" t="s">
        <v>15</v>
      </c>
      <c r="B6" s="7">
        <f>ROUND((B4*0.85),0)</f>
        <v>832</v>
      </c>
      <c r="C6" s="7">
        <f t="shared" ref="C6:J6" si="3">$B$6</f>
        <v>832</v>
      </c>
      <c r="D6" s="7">
        <f t="shared" si="3"/>
        <v>832</v>
      </c>
      <c r="E6" s="7">
        <f t="shared" si="3"/>
        <v>832</v>
      </c>
      <c r="F6" s="7">
        <f t="shared" si="3"/>
        <v>832</v>
      </c>
      <c r="G6" s="7">
        <f t="shared" si="3"/>
        <v>832</v>
      </c>
      <c r="H6" s="7">
        <f t="shared" si="3"/>
        <v>832</v>
      </c>
      <c r="I6" s="7">
        <f t="shared" si="3"/>
        <v>832</v>
      </c>
      <c r="J6" s="7">
        <f t="shared" si="3"/>
        <v>832</v>
      </c>
      <c r="K6" s="7">
        <f>ROUND((B4*0.6),0)</f>
        <v>588</v>
      </c>
      <c r="L6" s="7">
        <f t="shared" ref="L6:M6" si="4">$K$6</f>
        <v>588</v>
      </c>
      <c r="M6" s="7">
        <f t="shared" si="4"/>
        <v>588</v>
      </c>
      <c r="N6" s="4"/>
      <c r="O6" s="4"/>
      <c r="P6" s="57" t="s">
        <v>137</v>
      </c>
      <c r="Q6" s="55">
        <v>121.68</v>
      </c>
      <c r="R6" s="55">
        <v>126.12</v>
      </c>
      <c r="S6" s="55">
        <v>112.76</v>
      </c>
      <c r="T6" s="55">
        <v>130.95</v>
      </c>
      <c r="U6" s="55">
        <v>129.57</v>
      </c>
      <c r="V6" s="56">
        <v>142.82</v>
      </c>
      <c r="W6" s="4"/>
      <c r="X6" s="4"/>
      <c r="Y6" s="4"/>
      <c r="Z6" s="4"/>
    </row>
    <row r="7">
      <c r="A7" s="8" t="s">
        <v>16</v>
      </c>
      <c r="B7" s="31">
        <v>1817.94</v>
      </c>
      <c r="C7" s="31">
        <v>1817.94</v>
      </c>
      <c r="D7" s="31">
        <v>1817.94</v>
      </c>
      <c r="E7" s="31">
        <v>1817.94</v>
      </c>
      <c r="F7" s="31">
        <v>1817.94</v>
      </c>
      <c r="G7" s="31">
        <v>1817.94</v>
      </c>
      <c r="H7" s="31">
        <v>1817.94</v>
      </c>
      <c r="I7" s="31">
        <v>1817.94</v>
      </c>
      <c r="J7" s="31">
        <v>1817.94</v>
      </c>
      <c r="K7" s="31">
        <v>1817.94</v>
      </c>
      <c r="L7" s="31">
        <v>1817.94</v>
      </c>
      <c r="M7" s="31">
        <v>1817.94</v>
      </c>
      <c r="N7" s="4"/>
      <c r="O7" s="4"/>
      <c r="P7" s="57" t="s">
        <v>138</v>
      </c>
      <c r="Q7" s="55">
        <v>76.57</v>
      </c>
      <c r="R7" s="55">
        <v>64.07</v>
      </c>
      <c r="S7" s="55">
        <v>59.23</v>
      </c>
      <c r="T7" s="55">
        <v>70.79</v>
      </c>
      <c r="U7" s="55">
        <v>57.21</v>
      </c>
      <c r="V7" s="56">
        <v>76.69</v>
      </c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7" t="s">
        <v>139</v>
      </c>
      <c r="Q8" s="55">
        <v>51.83</v>
      </c>
      <c r="R8" s="55">
        <v>61.62</v>
      </c>
      <c r="S8" s="55">
        <v>50.0</v>
      </c>
      <c r="T8" s="55">
        <v>51.58</v>
      </c>
      <c r="U8" s="55">
        <v>62.12</v>
      </c>
      <c r="V8" s="56">
        <v>49.03</v>
      </c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7" t="s">
        <v>140</v>
      </c>
      <c r="Q9" s="55">
        <v>67.88</v>
      </c>
      <c r="R9" s="55">
        <v>65.0</v>
      </c>
      <c r="S9" s="55">
        <v>42.5</v>
      </c>
      <c r="T9" s="55">
        <v>53.35</v>
      </c>
      <c r="U9" s="55">
        <v>72.26</v>
      </c>
      <c r="V9" s="56">
        <v>30.62</v>
      </c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7" t="s">
        <v>141</v>
      </c>
      <c r="Q10" s="55">
        <v>2.6</v>
      </c>
      <c r="R10" s="55">
        <v>4.58</v>
      </c>
      <c r="S10" s="55">
        <v>2.66</v>
      </c>
      <c r="T10" s="55">
        <v>8.97</v>
      </c>
      <c r="U10" s="55">
        <v>1.8</v>
      </c>
      <c r="V10" s="56">
        <v>4.16</v>
      </c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7" t="s">
        <v>142</v>
      </c>
      <c r="Q11" s="55">
        <v>21.32</v>
      </c>
      <c r="R11" s="55">
        <v>18.04</v>
      </c>
      <c r="S11" s="55">
        <v>19.0</v>
      </c>
      <c r="T11" s="55">
        <v>30.03</v>
      </c>
      <c r="U11" s="55">
        <v>14.78</v>
      </c>
      <c r="V11" s="56">
        <v>23.71</v>
      </c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7" t="s">
        <v>143</v>
      </c>
      <c r="Q12" s="55">
        <v>99.69</v>
      </c>
      <c r="R12" s="55">
        <v>98.0</v>
      </c>
      <c r="S12" s="55">
        <v>99.75</v>
      </c>
      <c r="T12" s="55">
        <v>149.59</v>
      </c>
      <c r="U12" s="55">
        <v>137.33</v>
      </c>
      <c r="V12" s="56">
        <v>126.89</v>
      </c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7" t="s">
        <v>144</v>
      </c>
      <c r="Q13" s="58">
        <v>45.75</v>
      </c>
      <c r="R13" s="58">
        <v>43.42</v>
      </c>
      <c r="S13" s="58">
        <v>41.19</v>
      </c>
      <c r="T13" s="58">
        <v>58.08</v>
      </c>
      <c r="U13" s="58">
        <v>60.72</v>
      </c>
      <c r="V13" s="56">
        <v>50.38</v>
      </c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8" t="s">
        <v>145</v>
      </c>
      <c r="Q14" s="8">
        <v>140.44</v>
      </c>
      <c r="R14" s="8">
        <v>120.0</v>
      </c>
      <c r="S14" s="8">
        <v>140.0</v>
      </c>
      <c r="T14" s="8">
        <v>147.05</v>
      </c>
      <c r="U14" s="8">
        <v>146.65</v>
      </c>
      <c r="V14" s="56">
        <v>134.13</v>
      </c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8" t="s">
        <v>146</v>
      </c>
      <c r="Q15" s="8">
        <v>148.39</v>
      </c>
      <c r="R15" s="8">
        <v>120.0</v>
      </c>
      <c r="S15" s="8">
        <v>117.32</v>
      </c>
      <c r="T15" s="8">
        <v>148.97</v>
      </c>
      <c r="U15" s="8">
        <v>215.81</v>
      </c>
      <c r="V15" s="56">
        <v>233.45</v>
      </c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33"/>
      <c r="Q16" s="55">
        <f t="shared" ref="Q16:V16" si="5">sum(Q3:Q15)</f>
        <v>979.2</v>
      </c>
      <c r="R16" s="55">
        <f t="shared" si="5"/>
        <v>910.39</v>
      </c>
      <c r="S16" s="55">
        <f t="shared" si="5"/>
        <v>873.1</v>
      </c>
      <c r="T16" s="55">
        <f t="shared" si="5"/>
        <v>1057.24</v>
      </c>
      <c r="U16" s="55">
        <f t="shared" si="5"/>
        <v>1104.56</v>
      </c>
      <c r="V16" s="59">
        <f t="shared" si="5"/>
        <v>1079.13</v>
      </c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60">
        <v>876.0</v>
      </c>
      <c r="C4" s="60">
        <v>862.0</v>
      </c>
      <c r="D4" s="60">
        <v>870.0</v>
      </c>
      <c r="E4" s="60">
        <v>921.0</v>
      </c>
      <c r="F4" s="60">
        <v>911.0</v>
      </c>
      <c r="G4" s="7">
        <f>G19</f>
        <v>945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350.4</v>
      </c>
      <c r="C5" s="7">
        <f t="shared" ref="C5:M5" si="1">$B$5</f>
        <v>350.4</v>
      </c>
      <c r="D5" s="7">
        <f t="shared" si="1"/>
        <v>350.4</v>
      </c>
      <c r="E5" s="7">
        <f t="shared" si="1"/>
        <v>350.4</v>
      </c>
      <c r="F5" s="7">
        <f t="shared" si="1"/>
        <v>350.4</v>
      </c>
      <c r="G5" s="7">
        <f t="shared" si="1"/>
        <v>350.4</v>
      </c>
      <c r="H5" s="7">
        <f t="shared" si="1"/>
        <v>350.4</v>
      </c>
      <c r="I5" s="7">
        <f t="shared" si="1"/>
        <v>350.4</v>
      </c>
      <c r="J5" s="7">
        <f t="shared" si="1"/>
        <v>350.4</v>
      </c>
      <c r="K5" s="7">
        <f t="shared" si="1"/>
        <v>350.4</v>
      </c>
      <c r="L5" s="7">
        <f t="shared" si="1"/>
        <v>350.4</v>
      </c>
      <c r="M5" s="7">
        <f t="shared" si="1"/>
        <v>350.4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745</v>
      </c>
      <c r="C6" s="7">
        <f t="shared" ref="C6:J6" si="2">$B$6</f>
        <v>745</v>
      </c>
      <c r="D6" s="7">
        <f t="shared" si="2"/>
        <v>745</v>
      </c>
      <c r="E6" s="7">
        <f t="shared" si="2"/>
        <v>745</v>
      </c>
      <c r="F6" s="7">
        <f t="shared" si="2"/>
        <v>745</v>
      </c>
      <c r="G6" s="7">
        <f t="shared" si="2"/>
        <v>745</v>
      </c>
      <c r="H6" s="7">
        <f t="shared" si="2"/>
        <v>745</v>
      </c>
      <c r="I6" s="7">
        <f t="shared" si="2"/>
        <v>745</v>
      </c>
      <c r="J6" s="7">
        <f t="shared" si="2"/>
        <v>745</v>
      </c>
      <c r="K6" s="7">
        <f>ROUND((B4*0.6),0)</f>
        <v>526</v>
      </c>
      <c r="L6" s="7">
        <f t="shared" ref="L6:M6" si="3">$K$6</f>
        <v>526</v>
      </c>
      <c r="M6" s="7">
        <f t="shared" si="3"/>
        <v>526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1418.0</v>
      </c>
      <c r="C7" s="8">
        <v>1418.0</v>
      </c>
      <c r="D7" s="8">
        <v>1418.0</v>
      </c>
      <c r="E7" s="8">
        <v>1418.0</v>
      </c>
      <c r="F7" s="8">
        <v>1418.0</v>
      </c>
      <c r="G7" s="8">
        <v>1418.0</v>
      </c>
      <c r="H7" s="8">
        <v>1418.0</v>
      </c>
      <c r="I7" s="8">
        <v>1418.0</v>
      </c>
      <c r="J7" s="8">
        <v>1418.0</v>
      </c>
      <c r="K7" s="8">
        <v>1418.0</v>
      </c>
      <c r="L7" s="8">
        <v>1418.0</v>
      </c>
      <c r="M7" s="8">
        <v>1418.0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121</v>
      </c>
      <c r="B8" s="18" t="s">
        <v>148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123</v>
      </c>
      <c r="B10" s="18">
        <v>90.0</v>
      </c>
      <c r="C10" s="18">
        <v>104.0</v>
      </c>
      <c r="D10" s="18">
        <v>98.0</v>
      </c>
      <c r="E10" s="18">
        <v>102.0</v>
      </c>
      <c r="F10" s="18">
        <v>96.0</v>
      </c>
      <c r="G10" s="18">
        <v>100.0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124</v>
      </c>
      <c r="B11" s="18">
        <v>32.0</v>
      </c>
      <c r="C11" s="18">
        <v>32.0</v>
      </c>
      <c r="D11" s="18">
        <v>32.0</v>
      </c>
      <c r="E11" s="18">
        <v>33.0</v>
      </c>
      <c r="F11" s="18">
        <v>33.0</v>
      </c>
      <c r="G11" s="18">
        <v>34.0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1" t="s">
        <v>149</v>
      </c>
      <c r="B12" s="18">
        <v>3.0</v>
      </c>
      <c r="C12" s="18">
        <v>5.0</v>
      </c>
      <c r="D12" s="18">
        <v>5.0</v>
      </c>
      <c r="E12" s="18">
        <v>7.0</v>
      </c>
      <c r="F12" s="18">
        <v>3.0</v>
      </c>
      <c r="G12" s="18">
        <v>1.0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125</v>
      </c>
      <c r="B13" s="18">
        <v>183.0</v>
      </c>
      <c r="C13" s="18">
        <v>174.0</v>
      </c>
      <c r="D13" s="18">
        <v>181.0</v>
      </c>
      <c r="E13" s="18">
        <v>180.0</v>
      </c>
      <c r="F13" s="18">
        <v>180.0</v>
      </c>
      <c r="G13" s="18">
        <v>199.0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98</v>
      </c>
      <c r="B14" s="18">
        <v>122.0</v>
      </c>
      <c r="C14" s="18">
        <v>120.0</v>
      </c>
      <c r="D14" s="18">
        <v>128.0</v>
      </c>
      <c r="E14" s="18">
        <v>133.0</v>
      </c>
      <c r="F14" s="18">
        <v>120.0</v>
      </c>
      <c r="G14" s="18">
        <v>120.0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1" t="s">
        <v>150</v>
      </c>
      <c r="B15" s="1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29</v>
      </c>
      <c r="B16" s="18">
        <v>6.0</v>
      </c>
      <c r="C16" s="18">
        <v>12.0</v>
      </c>
      <c r="D16" s="18">
        <v>6.0</v>
      </c>
      <c r="E16" s="18">
        <v>12.0</v>
      </c>
      <c r="F16" s="18">
        <v>12.0</v>
      </c>
      <c r="G16" s="18">
        <v>18.0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62</v>
      </c>
      <c r="B17" s="18">
        <v>446.0</v>
      </c>
      <c r="C17" s="18">
        <v>425.0</v>
      </c>
      <c r="D17" s="18">
        <v>430.0</v>
      </c>
      <c r="E17" s="18">
        <v>468.0</v>
      </c>
      <c r="F17" s="18">
        <v>473.0</v>
      </c>
      <c r="G17" s="18">
        <v>475.0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1" t="s">
        <v>151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/>
      <c r="B19" s="4">
        <f t="shared" ref="B19:G19" si="4">B10+B11-B12+B13+B14+B16+B17</f>
        <v>876</v>
      </c>
      <c r="C19" s="4">
        <f t="shared" si="4"/>
        <v>862</v>
      </c>
      <c r="D19" s="4">
        <f t="shared" si="4"/>
        <v>870</v>
      </c>
      <c r="E19" s="4">
        <f t="shared" si="4"/>
        <v>921</v>
      </c>
      <c r="F19" s="4">
        <f t="shared" si="4"/>
        <v>911</v>
      </c>
      <c r="G19" s="4">
        <f t="shared" si="4"/>
        <v>945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1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2:M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B25</f>
        <v>2330</v>
      </c>
      <c r="C4" s="7">
        <f t="shared" si="1"/>
        <v>2254</v>
      </c>
      <c r="D4" s="7">
        <f t="shared" si="1"/>
        <v>2160</v>
      </c>
      <c r="E4" s="7">
        <f t="shared" si="1"/>
        <v>2172</v>
      </c>
      <c r="F4" s="7">
        <f t="shared" si="1"/>
        <v>2213</v>
      </c>
      <c r="G4" s="7">
        <f t="shared" si="1"/>
        <v>2105</v>
      </c>
      <c r="H4" s="7"/>
      <c r="I4" s="7"/>
      <c r="J4" s="7"/>
      <c r="K4" s="7"/>
      <c r="L4" s="7"/>
      <c r="M4" s="7"/>
      <c r="N4" s="4"/>
      <c r="O4" s="18"/>
      <c r="P4" s="18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932</v>
      </c>
      <c r="C5" s="7">
        <f t="shared" ref="C5:M5" si="2">$B$5</f>
        <v>932</v>
      </c>
      <c r="D5" s="7">
        <f t="shared" si="2"/>
        <v>932</v>
      </c>
      <c r="E5" s="7">
        <f t="shared" si="2"/>
        <v>932</v>
      </c>
      <c r="F5" s="7">
        <f t="shared" si="2"/>
        <v>932</v>
      </c>
      <c r="G5" s="7">
        <f t="shared" si="2"/>
        <v>932</v>
      </c>
      <c r="H5" s="7">
        <f t="shared" si="2"/>
        <v>932</v>
      </c>
      <c r="I5" s="7">
        <f t="shared" si="2"/>
        <v>932</v>
      </c>
      <c r="J5" s="7">
        <f t="shared" si="2"/>
        <v>932</v>
      </c>
      <c r="K5" s="7">
        <f t="shared" si="2"/>
        <v>932</v>
      </c>
      <c r="L5" s="7">
        <f t="shared" si="2"/>
        <v>932</v>
      </c>
      <c r="M5" s="7">
        <f t="shared" si="2"/>
        <v>932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1981</v>
      </c>
      <c r="C6" s="7">
        <f t="shared" ref="C6:J6" si="3">$B$6</f>
        <v>1981</v>
      </c>
      <c r="D6" s="7">
        <f t="shared" si="3"/>
        <v>1981</v>
      </c>
      <c r="E6" s="7">
        <f t="shared" si="3"/>
        <v>1981</v>
      </c>
      <c r="F6" s="7">
        <f t="shared" si="3"/>
        <v>1981</v>
      </c>
      <c r="G6" s="7">
        <f t="shared" si="3"/>
        <v>1981</v>
      </c>
      <c r="H6" s="7">
        <f t="shared" si="3"/>
        <v>1981</v>
      </c>
      <c r="I6" s="7">
        <f t="shared" si="3"/>
        <v>1981</v>
      </c>
      <c r="J6" s="7">
        <f t="shared" si="3"/>
        <v>1981</v>
      </c>
      <c r="K6" s="7">
        <f>ROUND((B4*0.6),0)</f>
        <v>1398</v>
      </c>
      <c r="L6" s="7">
        <f t="shared" ref="L6:M6" si="4">$K$6</f>
        <v>1398</v>
      </c>
      <c r="M6" s="7">
        <f t="shared" si="4"/>
        <v>1398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3796.0</v>
      </c>
      <c r="C7" s="8">
        <v>3796.0</v>
      </c>
      <c r="D7" s="8">
        <v>3796.0</v>
      </c>
      <c r="E7" s="8">
        <v>3796.0</v>
      </c>
      <c r="F7" s="8">
        <v>3796.0</v>
      </c>
      <c r="G7" s="8">
        <v>3796.0</v>
      </c>
      <c r="H7" s="8">
        <v>3796.0</v>
      </c>
      <c r="I7" s="8">
        <v>3796.0</v>
      </c>
      <c r="J7" s="8">
        <v>3796.0</v>
      </c>
      <c r="K7" s="8">
        <v>3796.0</v>
      </c>
      <c r="L7" s="8">
        <v>3796.0</v>
      </c>
      <c r="M7" s="8">
        <v>3796.0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121</v>
      </c>
      <c r="B8" s="18" t="s">
        <v>154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1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123</v>
      </c>
      <c r="B10" s="8">
        <v>303.0</v>
      </c>
      <c r="C10" s="8">
        <v>325.0</v>
      </c>
      <c r="D10" s="8">
        <v>273.0</v>
      </c>
      <c r="E10" s="8">
        <v>283.0</v>
      </c>
      <c r="F10" s="8">
        <v>337.0</v>
      </c>
      <c r="G10" s="8">
        <v>319.0</v>
      </c>
      <c r="H10" s="33"/>
      <c r="I10" s="33"/>
      <c r="J10" s="33"/>
      <c r="K10" s="33"/>
      <c r="L10" s="33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124</v>
      </c>
      <c r="B11" s="8">
        <v>36.0</v>
      </c>
      <c r="C11" s="8">
        <v>36.0</v>
      </c>
      <c r="D11" s="8">
        <v>36.0</v>
      </c>
      <c r="E11" s="8">
        <v>36.0</v>
      </c>
      <c r="F11" s="8">
        <v>36.0</v>
      </c>
      <c r="G11" s="8">
        <v>36.0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125</v>
      </c>
      <c r="B12" s="8">
        <v>136.0</v>
      </c>
      <c r="C12" s="8">
        <v>114.0</v>
      </c>
      <c r="D12" s="8">
        <v>12.0</v>
      </c>
      <c r="E12" s="8">
        <v>30.0</v>
      </c>
      <c r="F12" s="8">
        <v>29.0</v>
      </c>
      <c r="G12" s="8">
        <v>31.0</v>
      </c>
      <c r="H12" s="33"/>
      <c r="I12" s="33"/>
      <c r="J12" s="33"/>
      <c r="K12" s="33"/>
      <c r="L12" s="33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98</v>
      </c>
      <c r="B13" s="8">
        <v>245.0</v>
      </c>
      <c r="C13" s="8">
        <v>199.0</v>
      </c>
      <c r="D13" s="8">
        <v>296.0</v>
      </c>
      <c r="E13" s="8">
        <v>266.0</v>
      </c>
      <c r="F13" s="8">
        <v>262.0</v>
      </c>
      <c r="G13" s="8">
        <v>236.0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29</v>
      </c>
      <c r="B14" s="8">
        <v>216.0</v>
      </c>
      <c r="C14" s="8">
        <v>192.0</v>
      </c>
      <c r="D14" s="8">
        <v>205.0</v>
      </c>
      <c r="E14" s="8">
        <v>198.0</v>
      </c>
      <c r="F14" s="8">
        <v>193.0</v>
      </c>
      <c r="G14" s="8">
        <v>222.0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62</v>
      </c>
      <c r="B15" s="8">
        <v>84.0</v>
      </c>
      <c r="C15" s="8">
        <v>84.0</v>
      </c>
      <c r="D15" s="8">
        <v>84.0</v>
      </c>
      <c r="E15" s="8">
        <v>84.0</v>
      </c>
      <c r="F15" s="8">
        <v>84.0</v>
      </c>
      <c r="G15" s="8">
        <v>84.0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63</v>
      </c>
      <c r="B16" s="8">
        <v>116.0</v>
      </c>
      <c r="C16" s="8">
        <v>126.0</v>
      </c>
      <c r="D16" s="8">
        <v>123.0</v>
      </c>
      <c r="E16" s="8">
        <v>113.0</v>
      </c>
      <c r="F16" s="8">
        <v>113.0</v>
      </c>
      <c r="G16" s="8">
        <v>121.0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99</v>
      </c>
      <c r="B17" s="8">
        <v>68.0</v>
      </c>
      <c r="C17" s="8">
        <v>50.0</v>
      </c>
      <c r="D17" s="8">
        <v>58.0</v>
      </c>
      <c r="E17" s="8">
        <v>52.0</v>
      </c>
      <c r="F17" s="8">
        <v>52.0</v>
      </c>
      <c r="G17" s="8">
        <v>57.0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65</v>
      </c>
      <c r="B18" s="8">
        <v>222.0</v>
      </c>
      <c r="C18" s="8">
        <v>206.0</v>
      </c>
      <c r="D18" s="8">
        <v>307.0</v>
      </c>
      <c r="E18" s="8">
        <v>225.0</v>
      </c>
      <c r="F18" s="8">
        <v>199.0</v>
      </c>
      <c r="G18" s="8">
        <v>214.0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103</v>
      </c>
      <c r="B19" s="8">
        <v>77.0</v>
      </c>
      <c r="C19" s="8">
        <v>46.0</v>
      </c>
      <c r="D19" s="8">
        <v>79.0</v>
      </c>
      <c r="E19" s="8">
        <v>45.0</v>
      </c>
      <c r="F19" s="8">
        <v>59.0</v>
      </c>
      <c r="G19" s="8">
        <v>45.0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155</v>
      </c>
      <c r="B20" s="8">
        <v>50.0</v>
      </c>
      <c r="C20" s="8">
        <v>49.0</v>
      </c>
      <c r="D20" s="8">
        <v>31.0</v>
      </c>
      <c r="E20" s="8">
        <v>30.0</v>
      </c>
      <c r="F20" s="8">
        <v>26.0</v>
      </c>
      <c r="G20" s="8">
        <v>20.0</v>
      </c>
      <c r="H20" s="33"/>
      <c r="I20" s="33"/>
      <c r="J20" s="33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156</v>
      </c>
      <c r="B21" s="8">
        <v>173.0</v>
      </c>
      <c r="C21" s="8">
        <v>180.0</v>
      </c>
      <c r="D21" s="8">
        <v>146.0</v>
      </c>
      <c r="E21" s="8">
        <v>194.0</v>
      </c>
      <c r="F21" s="8">
        <v>189.0</v>
      </c>
      <c r="G21" s="8">
        <v>189.0</v>
      </c>
      <c r="H21" s="33"/>
      <c r="I21" s="33"/>
      <c r="J21" s="33"/>
      <c r="K21" s="33"/>
      <c r="L21" s="33"/>
      <c r="M21" s="3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75</v>
      </c>
      <c r="B22" s="8">
        <v>302.0</v>
      </c>
      <c r="C22" s="8">
        <v>302.0</v>
      </c>
      <c r="D22" s="8">
        <v>185.0</v>
      </c>
      <c r="E22" s="8">
        <v>315.0</v>
      </c>
      <c r="F22" s="8">
        <v>222.0</v>
      </c>
      <c r="G22" s="8">
        <v>205.0</v>
      </c>
      <c r="H22" s="33"/>
      <c r="I22" s="33"/>
      <c r="J22" s="33"/>
      <c r="K22" s="33"/>
      <c r="L22" s="33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157</v>
      </c>
      <c r="B23" s="8">
        <v>302.0</v>
      </c>
      <c r="C23" s="8">
        <v>345.0</v>
      </c>
      <c r="D23" s="8">
        <v>325.0</v>
      </c>
      <c r="E23" s="8">
        <v>301.0</v>
      </c>
      <c r="F23" s="8">
        <v>412.0</v>
      </c>
      <c r="G23" s="8">
        <v>326.0</v>
      </c>
      <c r="H23" s="33"/>
      <c r="I23" s="33"/>
      <c r="J23" s="33"/>
      <c r="K23" s="33"/>
      <c r="L23" s="33"/>
      <c r="M23" s="3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112</v>
      </c>
      <c r="B25" s="33">
        <f t="shared" ref="B25:G25" si="5">SUM(B10:B23)</f>
        <v>2330</v>
      </c>
      <c r="C25" s="33">
        <f t="shared" si="5"/>
        <v>2254</v>
      </c>
      <c r="D25" s="33">
        <f t="shared" si="5"/>
        <v>2160</v>
      </c>
      <c r="E25" s="33">
        <f t="shared" si="5"/>
        <v>2172</v>
      </c>
      <c r="F25" s="33">
        <f t="shared" si="5"/>
        <v>2213</v>
      </c>
      <c r="G25" s="33">
        <f t="shared" si="5"/>
        <v>2105</v>
      </c>
      <c r="H25" s="33"/>
      <c r="I25" s="33"/>
      <c r="J25" s="33"/>
      <c r="K25" s="33"/>
      <c r="L25" s="33"/>
      <c r="M25" s="3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M4" si="1">B20</f>
        <v>674</v>
      </c>
      <c r="C4" s="7">
        <f t="shared" si="1"/>
        <v>605</v>
      </c>
      <c r="D4" s="7">
        <f t="shared" si="1"/>
        <v>655</v>
      </c>
      <c r="E4" s="7">
        <f t="shared" si="1"/>
        <v>603</v>
      </c>
      <c r="F4" s="7">
        <f t="shared" si="1"/>
        <v>700</v>
      </c>
      <c r="G4" s="7">
        <f t="shared" si="1"/>
        <v>692</v>
      </c>
      <c r="H4" s="7">
        <f t="shared" si="1"/>
        <v>0</v>
      </c>
      <c r="I4" s="7">
        <f t="shared" si="1"/>
        <v>0</v>
      </c>
      <c r="J4" s="7">
        <f t="shared" si="1"/>
        <v>0</v>
      </c>
      <c r="K4" s="7">
        <f t="shared" si="1"/>
        <v>0</v>
      </c>
      <c r="L4" s="7">
        <f t="shared" si="1"/>
        <v>0</v>
      </c>
      <c r="M4" s="7">
        <f t="shared" si="1"/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269.6</v>
      </c>
      <c r="C5" s="7">
        <f t="shared" ref="C5:M5" si="2">$B$5</f>
        <v>269.6</v>
      </c>
      <c r="D5" s="7">
        <f t="shared" si="2"/>
        <v>269.6</v>
      </c>
      <c r="E5" s="7">
        <f t="shared" si="2"/>
        <v>269.6</v>
      </c>
      <c r="F5" s="7">
        <f t="shared" si="2"/>
        <v>269.6</v>
      </c>
      <c r="G5" s="7">
        <f t="shared" si="2"/>
        <v>269.6</v>
      </c>
      <c r="H5" s="7">
        <f t="shared" si="2"/>
        <v>269.6</v>
      </c>
      <c r="I5" s="7">
        <f t="shared" si="2"/>
        <v>269.6</v>
      </c>
      <c r="J5" s="7">
        <f t="shared" si="2"/>
        <v>269.6</v>
      </c>
      <c r="K5" s="7">
        <f t="shared" si="2"/>
        <v>269.6</v>
      </c>
      <c r="L5" s="7">
        <f t="shared" si="2"/>
        <v>269.6</v>
      </c>
      <c r="M5" s="7">
        <f t="shared" si="2"/>
        <v>269.6</v>
      </c>
      <c r="N5" s="62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573</v>
      </c>
      <c r="C6" s="7">
        <f t="shared" ref="C6:J6" si="3">$B$6</f>
        <v>573</v>
      </c>
      <c r="D6" s="7">
        <f t="shared" si="3"/>
        <v>573</v>
      </c>
      <c r="E6" s="7">
        <f t="shared" si="3"/>
        <v>573</v>
      </c>
      <c r="F6" s="7">
        <f t="shared" si="3"/>
        <v>573</v>
      </c>
      <c r="G6" s="7">
        <f t="shared" si="3"/>
        <v>573</v>
      </c>
      <c r="H6" s="7">
        <f t="shared" si="3"/>
        <v>573</v>
      </c>
      <c r="I6" s="7">
        <f t="shared" si="3"/>
        <v>573</v>
      </c>
      <c r="J6" s="7">
        <f t="shared" si="3"/>
        <v>573</v>
      </c>
      <c r="K6" s="7">
        <f>ROUND((B4*0.6),0)</f>
        <v>404</v>
      </c>
      <c r="L6" s="7">
        <f t="shared" ref="L6:M6" si="4">$K$6</f>
        <v>404</v>
      </c>
      <c r="M6" s="7">
        <f t="shared" si="4"/>
        <v>404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1062.0</v>
      </c>
      <c r="C7" s="8">
        <v>1062.0</v>
      </c>
      <c r="D7" s="8">
        <v>1062.0</v>
      </c>
      <c r="E7" s="8">
        <v>1062.0</v>
      </c>
      <c r="F7" s="8">
        <v>1062.0</v>
      </c>
      <c r="G7" s="8">
        <v>1062.0</v>
      </c>
      <c r="H7" s="8">
        <v>1062.0</v>
      </c>
      <c r="I7" s="8">
        <v>1062.0</v>
      </c>
      <c r="J7" s="8">
        <v>1062.0</v>
      </c>
      <c r="K7" s="8">
        <v>1062.0</v>
      </c>
      <c r="L7" s="8">
        <v>1062.0</v>
      </c>
      <c r="M7" s="8">
        <v>1062.0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123</v>
      </c>
      <c r="B9" s="8">
        <v>175.0</v>
      </c>
      <c r="C9" s="8">
        <v>168.0</v>
      </c>
      <c r="D9" s="8">
        <v>184.0</v>
      </c>
      <c r="E9" s="8">
        <v>189.0</v>
      </c>
      <c r="F9" s="8">
        <v>184.0</v>
      </c>
      <c r="G9" s="8">
        <v>181.0</v>
      </c>
      <c r="H9" s="33"/>
      <c r="I9" s="33"/>
      <c r="J9" s="33"/>
      <c r="K9" s="33"/>
      <c r="L9" s="33"/>
      <c r="M9" s="3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124</v>
      </c>
      <c r="B10" s="8">
        <v>64.0</v>
      </c>
      <c r="C10" s="8">
        <v>64.0</v>
      </c>
      <c r="D10" s="8">
        <v>61.0</v>
      </c>
      <c r="E10" s="8">
        <v>60.0</v>
      </c>
      <c r="F10" s="8">
        <v>58.0</v>
      </c>
      <c r="G10" s="8">
        <v>97.0</v>
      </c>
      <c r="H10" s="33"/>
      <c r="I10" s="33"/>
      <c r="J10" s="33"/>
      <c r="K10" s="33"/>
      <c r="L10" s="33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98</v>
      </c>
      <c r="B11" s="8">
        <v>39.0</v>
      </c>
      <c r="C11" s="8">
        <v>57.0</v>
      </c>
      <c r="D11" s="8">
        <v>44.0</v>
      </c>
      <c r="E11" s="8">
        <v>38.0</v>
      </c>
      <c r="F11" s="8">
        <v>41.0</v>
      </c>
      <c r="G11" s="8">
        <v>49.0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29</v>
      </c>
      <c r="B12" s="8">
        <v>100.0</v>
      </c>
      <c r="C12" s="8">
        <v>44.0</v>
      </c>
      <c r="D12" s="8">
        <v>94.0</v>
      </c>
      <c r="E12" s="8">
        <v>40.0</v>
      </c>
      <c r="F12" s="8">
        <v>87.0</v>
      </c>
      <c r="G12" s="8">
        <v>84.0</v>
      </c>
      <c r="H12" s="33"/>
      <c r="I12" s="33"/>
      <c r="J12" s="33"/>
      <c r="K12" s="33"/>
      <c r="L12" s="33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62</v>
      </c>
      <c r="B13" s="8">
        <v>11.0</v>
      </c>
      <c r="C13" s="8">
        <v>11.0</v>
      </c>
      <c r="D13" s="8">
        <v>10.0</v>
      </c>
      <c r="E13" s="8">
        <v>7.0</v>
      </c>
      <c r="F13" s="8">
        <v>6.0</v>
      </c>
      <c r="G13" s="8">
        <v>7.0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63</v>
      </c>
      <c r="B14" s="8"/>
      <c r="C14" s="8"/>
      <c r="D14" s="33"/>
      <c r="E14" s="33"/>
      <c r="F14" s="8"/>
      <c r="G14" s="33"/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99</v>
      </c>
      <c r="B15" s="8"/>
      <c r="C15" s="8"/>
      <c r="D15" s="33"/>
      <c r="E15" s="33"/>
      <c r="F15" s="8"/>
      <c r="G15" s="33"/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100</v>
      </c>
      <c r="B16" s="8">
        <v>52.0</v>
      </c>
      <c r="C16" s="8">
        <v>65.0</v>
      </c>
      <c r="D16" s="8">
        <v>66.0</v>
      </c>
      <c r="E16" s="8">
        <v>56.0</v>
      </c>
      <c r="F16" s="8">
        <v>49.0</v>
      </c>
      <c r="G16" s="8">
        <v>60.0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65</v>
      </c>
      <c r="B17" s="8">
        <v>211.0</v>
      </c>
      <c r="C17" s="8">
        <v>190.0</v>
      </c>
      <c r="D17" s="8">
        <v>193.0</v>
      </c>
      <c r="E17" s="8">
        <v>177.0</v>
      </c>
      <c r="F17" s="8">
        <v>188.0</v>
      </c>
      <c r="G17" s="8">
        <v>191.0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66</v>
      </c>
      <c r="B18" s="8">
        <v>22.0</v>
      </c>
      <c r="C18" s="8">
        <v>6.0</v>
      </c>
      <c r="D18" s="8">
        <v>3.0</v>
      </c>
      <c r="E18" s="8">
        <v>36.0</v>
      </c>
      <c r="F18" s="8">
        <v>87.0</v>
      </c>
      <c r="G18" s="8">
        <v>23.0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112</v>
      </c>
      <c r="B20" s="33">
        <f t="shared" ref="B20:M20" si="5">sum(B9:B18)</f>
        <v>674</v>
      </c>
      <c r="C20" s="33">
        <f t="shared" si="5"/>
        <v>605</v>
      </c>
      <c r="D20" s="33">
        <f t="shared" si="5"/>
        <v>655</v>
      </c>
      <c r="E20" s="33">
        <f t="shared" si="5"/>
        <v>603</v>
      </c>
      <c r="F20" s="33">
        <f t="shared" si="5"/>
        <v>700</v>
      </c>
      <c r="G20" s="33">
        <f t="shared" si="5"/>
        <v>692</v>
      </c>
      <c r="H20" s="33">
        <f t="shared" si="5"/>
        <v>0</v>
      </c>
      <c r="I20" s="33">
        <f t="shared" si="5"/>
        <v>0</v>
      </c>
      <c r="J20" s="33">
        <f t="shared" si="5"/>
        <v>0</v>
      </c>
      <c r="K20" s="33">
        <f t="shared" si="5"/>
        <v>0</v>
      </c>
      <c r="L20" s="33">
        <f t="shared" si="5"/>
        <v>0</v>
      </c>
      <c r="M20" s="33">
        <f t="shared" si="5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62">
        <f>B4*0.5</f>
        <v>0</v>
      </c>
      <c r="C5" s="62">
        <f t="shared" ref="C5:M5" si="1">$B$5</f>
        <v>0</v>
      </c>
      <c r="D5" s="62">
        <f t="shared" si="1"/>
        <v>0</v>
      </c>
      <c r="E5" s="62">
        <f t="shared" si="1"/>
        <v>0</v>
      </c>
      <c r="F5" s="62">
        <f t="shared" si="1"/>
        <v>0</v>
      </c>
      <c r="G5" s="62">
        <f t="shared" si="1"/>
        <v>0</v>
      </c>
      <c r="H5" s="62">
        <f t="shared" si="1"/>
        <v>0</v>
      </c>
      <c r="I5" s="62">
        <f t="shared" si="1"/>
        <v>0</v>
      </c>
      <c r="J5" s="62">
        <f t="shared" si="1"/>
        <v>0</v>
      </c>
      <c r="K5" s="62">
        <f t="shared" si="1"/>
        <v>0</v>
      </c>
      <c r="L5" s="62">
        <f t="shared" si="1"/>
        <v>0</v>
      </c>
      <c r="M5" s="62">
        <f t="shared" si="1"/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62">
        <f>ROUND((B4*0.85),0)</f>
        <v>0</v>
      </c>
      <c r="C6" s="62">
        <f t="shared" ref="C6:J6" si="2">$B$6</f>
        <v>0</v>
      </c>
      <c r="D6" s="62">
        <f t="shared" si="2"/>
        <v>0</v>
      </c>
      <c r="E6" s="62">
        <f t="shared" si="2"/>
        <v>0</v>
      </c>
      <c r="F6" s="62">
        <f t="shared" si="2"/>
        <v>0</v>
      </c>
      <c r="G6" s="62">
        <f t="shared" si="2"/>
        <v>0</v>
      </c>
      <c r="H6" s="62">
        <f t="shared" si="2"/>
        <v>0</v>
      </c>
      <c r="I6" s="62">
        <f t="shared" si="2"/>
        <v>0</v>
      </c>
      <c r="J6" s="62">
        <f t="shared" si="2"/>
        <v>0</v>
      </c>
      <c r="K6" s="62">
        <f>ROUND((B4*0.6),0)</f>
        <v>0</v>
      </c>
      <c r="L6" s="62">
        <f t="shared" ref="L6:M6" si="3">$K$6</f>
        <v>0</v>
      </c>
      <c r="M6" s="62">
        <f t="shared" si="3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152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161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B26</f>
        <v>2528</v>
      </c>
      <c r="C4" s="7">
        <f t="shared" si="1"/>
        <v>2459</v>
      </c>
      <c r="D4" s="7">
        <f t="shared" si="1"/>
        <v>2353</v>
      </c>
      <c r="E4" s="7">
        <f t="shared" si="1"/>
        <v>2610</v>
      </c>
      <c r="F4" s="7">
        <f t="shared" si="1"/>
        <v>2497</v>
      </c>
      <c r="G4" s="7">
        <f t="shared" si="1"/>
        <v>2518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1011.2</v>
      </c>
      <c r="C5" s="7">
        <f t="shared" ref="C5:M5" si="2">$B$5</f>
        <v>1011.2</v>
      </c>
      <c r="D5" s="7">
        <f t="shared" si="2"/>
        <v>1011.2</v>
      </c>
      <c r="E5" s="7">
        <f t="shared" si="2"/>
        <v>1011.2</v>
      </c>
      <c r="F5" s="7">
        <f t="shared" si="2"/>
        <v>1011.2</v>
      </c>
      <c r="G5" s="7">
        <f t="shared" si="2"/>
        <v>1011.2</v>
      </c>
      <c r="H5" s="7">
        <f t="shared" si="2"/>
        <v>1011.2</v>
      </c>
      <c r="I5" s="7">
        <f t="shared" si="2"/>
        <v>1011.2</v>
      </c>
      <c r="J5" s="7">
        <f t="shared" si="2"/>
        <v>1011.2</v>
      </c>
      <c r="K5" s="7">
        <f t="shared" si="2"/>
        <v>1011.2</v>
      </c>
      <c r="L5" s="7">
        <f t="shared" si="2"/>
        <v>1011.2</v>
      </c>
      <c r="M5" s="7">
        <f t="shared" si="2"/>
        <v>1011.2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2149</v>
      </c>
      <c r="C6" s="7">
        <f t="shared" ref="C6:J6" si="3">$B$6</f>
        <v>2149</v>
      </c>
      <c r="D6" s="7">
        <f t="shared" si="3"/>
        <v>2149</v>
      </c>
      <c r="E6" s="7">
        <f t="shared" si="3"/>
        <v>2149</v>
      </c>
      <c r="F6" s="7">
        <f t="shared" si="3"/>
        <v>2149</v>
      </c>
      <c r="G6" s="7">
        <f t="shared" si="3"/>
        <v>2149</v>
      </c>
      <c r="H6" s="7">
        <f t="shared" si="3"/>
        <v>2149</v>
      </c>
      <c r="I6" s="7">
        <f t="shared" si="3"/>
        <v>2149</v>
      </c>
      <c r="J6" s="7">
        <f t="shared" si="3"/>
        <v>2149</v>
      </c>
      <c r="K6" s="7">
        <f>ROUND((B4*0.6),0)</f>
        <v>1517</v>
      </c>
      <c r="L6" s="7">
        <f t="shared" ref="L6:M6" si="4">$K$6</f>
        <v>1517</v>
      </c>
      <c r="M6" s="7">
        <f t="shared" si="4"/>
        <v>1517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4359.0</v>
      </c>
      <c r="C7" s="8">
        <v>4359.0</v>
      </c>
      <c r="D7" s="8">
        <v>4359.0</v>
      </c>
      <c r="E7" s="8">
        <v>4359.0</v>
      </c>
      <c r="F7" s="8">
        <v>4359.0</v>
      </c>
      <c r="G7" s="8">
        <v>4359.0</v>
      </c>
      <c r="H7" s="8">
        <v>4359.0</v>
      </c>
      <c r="I7" s="8">
        <v>4359.0</v>
      </c>
      <c r="J7" s="8">
        <v>4359.0</v>
      </c>
      <c r="K7" s="8">
        <v>4359.0</v>
      </c>
      <c r="L7" s="8">
        <v>4359.0</v>
      </c>
      <c r="M7" s="8">
        <v>4359.0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123</v>
      </c>
      <c r="B9" s="8">
        <v>132.0</v>
      </c>
      <c r="C9" s="8">
        <v>132.0</v>
      </c>
      <c r="D9" s="8">
        <v>138.0</v>
      </c>
      <c r="E9" s="8">
        <v>133.0</v>
      </c>
      <c r="F9" s="8">
        <v>140.0</v>
      </c>
      <c r="G9" s="8">
        <v>117.0</v>
      </c>
      <c r="H9" s="33"/>
      <c r="I9" s="33"/>
      <c r="J9" s="33"/>
      <c r="K9" s="33"/>
      <c r="L9" s="33"/>
      <c r="M9" s="33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124</v>
      </c>
      <c r="B10" s="8">
        <v>1.0</v>
      </c>
      <c r="C10" s="8">
        <v>1.0</v>
      </c>
      <c r="D10" s="8">
        <v>1.0</v>
      </c>
      <c r="E10" s="8">
        <v>1.0</v>
      </c>
      <c r="F10" s="8">
        <v>1.0</v>
      </c>
      <c r="G10" s="8">
        <v>3.0</v>
      </c>
      <c r="H10" s="33"/>
      <c r="I10" s="33"/>
      <c r="J10" s="33"/>
      <c r="K10" s="33"/>
      <c r="L10" s="33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125</v>
      </c>
      <c r="B11" s="8">
        <v>88.0</v>
      </c>
      <c r="C11" s="8">
        <v>114.0</v>
      </c>
      <c r="D11" s="8">
        <v>90.0</v>
      </c>
      <c r="E11" s="8">
        <v>114.0</v>
      </c>
      <c r="F11" s="8">
        <v>108.0</v>
      </c>
      <c r="G11" s="8">
        <v>110.0</v>
      </c>
      <c r="H11" s="33"/>
      <c r="I11" s="33"/>
      <c r="J11" s="33"/>
      <c r="K11" s="33"/>
      <c r="L11" s="33"/>
      <c r="M11" s="3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98</v>
      </c>
      <c r="B12" s="8">
        <v>258.0</v>
      </c>
      <c r="C12" s="8">
        <v>206.0</v>
      </c>
      <c r="D12" s="8">
        <v>209.0</v>
      </c>
      <c r="E12" s="8">
        <v>374.0</v>
      </c>
      <c r="F12" s="8">
        <v>280.0</v>
      </c>
      <c r="G12" s="8">
        <v>200.0</v>
      </c>
      <c r="H12" s="33"/>
      <c r="I12" s="33"/>
      <c r="J12" s="33"/>
      <c r="K12" s="33"/>
      <c r="L12" s="33"/>
      <c r="M12" s="33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29</v>
      </c>
      <c r="B13" s="8">
        <v>73.0</v>
      </c>
      <c r="C13" s="8">
        <v>61.0</v>
      </c>
      <c r="D13" s="8">
        <v>64.0</v>
      </c>
      <c r="E13" s="8">
        <v>64.0</v>
      </c>
      <c r="F13" s="8">
        <v>31.0</v>
      </c>
      <c r="G13" s="8">
        <v>4.0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34</v>
      </c>
      <c r="B14" s="8">
        <v>62.0</v>
      </c>
      <c r="C14" s="8">
        <v>46.0</v>
      </c>
      <c r="D14" s="8">
        <v>44.0</v>
      </c>
      <c r="E14" s="8">
        <v>45.0</v>
      </c>
      <c r="F14" s="8">
        <v>45.0</v>
      </c>
      <c r="G14" s="8">
        <v>102.0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62</v>
      </c>
      <c r="B15" s="8">
        <v>210.0</v>
      </c>
      <c r="C15" s="8">
        <v>210.0</v>
      </c>
      <c r="D15" s="8">
        <v>210.0</v>
      </c>
      <c r="E15" s="8">
        <v>210.0</v>
      </c>
      <c r="F15" s="8">
        <v>210.0</v>
      </c>
      <c r="G15" s="8">
        <v>210.0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63</v>
      </c>
      <c r="B16" s="8">
        <v>262.0</v>
      </c>
      <c r="C16" s="8">
        <v>262.0</v>
      </c>
      <c r="D16" s="8">
        <v>203.0</v>
      </c>
      <c r="E16" s="8">
        <v>214.0</v>
      </c>
      <c r="F16" s="8">
        <v>244.0</v>
      </c>
      <c r="G16" s="8">
        <v>287.0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99</v>
      </c>
      <c r="B17" s="8">
        <v>381.0</v>
      </c>
      <c r="C17" s="8">
        <v>450.0</v>
      </c>
      <c r="D17" s="8">
        <v>375.0</v>
      </c>
      <c r="E17" s="8">
        <v>421.0</v>
      </c>
      <c r="F17" s="8">
        <v>394.0</v>
      </c>
      <c r="G17" s="8">
        <v>400.0</v>
      </c>
      <c r="H17" s="33"/>
      <c r="I17" s="33"/>
      <c r="J17" s="33"/>
      <c r="K17" s="33"/>
      <c r="L17" s="33"/>
      <c r="M17" s="33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100</v>
      </c>
      <c r="B18" s="8">
        <v>212.0</v>
      </c>
      <c r="C18" s="8">
        <v>257.0</v>
      </c>
      <c r="D18" s="8">
        <v>224.0</v>
      </c>
      <c r="E18" s="8">
        <v>212.0</v>
      </c>
      <c r="F18" s="8">
        <v>257.0</v>
      </c>
      <c r="G18" s="8">
        <v>225.0</v>
      </c>
      <c r="H18" s="33"/>
      <c r="I18" s="33"/>
      <c r="J18" s="33"/>
      <c r="K18" s="33"/>
      <c r="L18" s="33"/>
      <c r="M18" s="33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65</v>
      </c>
      <c r="B19" s="8">
        <v>51.0</v>
      </c>
      <c r="C19" s="8">
        <v>47.0</v>
      </c>
      <c r="D19" s="8">
        <v>35.0</v>
      </c>
      <c r="E19" s="8">
        <v>31.0</v>
      </c>
      <c r="F19" s="8">
        <v>12.0</v>
      </c>
      <c r="G19" s="8">
        <v>38.0</v>
      </c>
      <c r="H19" s="33"/>
      <c r="I19" s="33"/>
      <c r="J19" s="33"/>
      <c r="K19" s="33"/>
      <c r="L19" s="33"/>
      <c r="M19" s="33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66</v>
      </c>
      <c r="B20" s="8">
        <v>333.0</v>
      </c>
      <c r="C20" s="8">
        <v>252.0</v>
      </c>
      <c r="D20" s="8">
        <v>255.0</v>
      </c>
      <c r="E20" s="8">
        <v>296.0</v>
      </c>
      <c r="F20" s="8">
        <v>276.0</v>
      </c>
      <c r="G20" s="8">
        <v>307.0</v>
      </c>
      <c r="H20" s="33"/>
      <c r="I20" s="33"/>
      <c r="J20" s="33"/>
      <c r="K20" s="33"/>
      <c r="L20" s="33"/>
      <c r="M20" s="33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162</v>
      </c>
      <c r="B21" s="8">
        <v>96.0</v>
      </c>
      <c r="C21" s="8">
        <v>84.0</v>
      </c>
      <c r="D21" s="8">
        <v>120.0</v>
      </c>
      <c r="E21" s="8">
        <v>90.0</v>
      </c>
      <c r="F21" s="8">
        <v>92.0</v>
      </c>
      <c r="G21" s="8">
        <v>109.0</v>
      </c>
      <c r="H21" s="33"/>
      <c r="I21" s="33"/>
      <c r="J21" s="33"/>
      <c r="K21" s="33"/>
      <c r="L21" s="33"/>
      <c r="M21" s="33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68</v>
      </c>
      <c r="B22" s="8">
        <v>330.0</v>
      </c>
      <c r="C22" s="8">
        <v>330.0</v>
      </c>
      <c r="D22" s="8">
        <v>330.0</v>
      </c>
      <c r="E22" s="8">
        <v>330.0</v>
      </c>
      <c r="F22" s="8">
        <v>330.0</v>
      </c>
      <c r="G22" s="8">
        <v>330.0</v>
      </c>
      <c r="H22" s="33"/>
      <c r="I22" s="33"/>
      <c r="J22" s="33"/>
      <c r="K22" s="33"/>
      <c r="L22" s="33"/>
      <c r="M22" s="33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155</v>
      </c>
      <c r="B23" s="8">
        <v>39.0</v>
      </c>
      <c r="C23" s="8">
        <v>7.0</v>
      </c>
      <c r="D23" s="8">
        <v>37.0</v>
      </c>
      <c r="E23" s="8">
        <v>39.0</v>
      </c>
      <c r="F23" s="8">
        <v>52.0</v>
      </c>
      <c r="G23" s="8">
        <v>50.0</v>
      </c>
      <c r="H23" s="33"/>
      <c r="I23" s="33"/>
      <c r="J23" s="33"/>
      <c r="K23" s="33"/>
      <c r="L23" s="33"/>
      <c r="M23" s="33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156</v>
      </c>
      <c r="B24" s="33"/>
      <c r="C24" s="33"/>
      <c r="D24" s="8">
        <v>18.0</v>
      </c>
      <c r="E24" s="8">
        <v>36.0</v>
      </c>
      <c r="F24" s="8">
        <v>25.0</v>
      </c>
      <c r="G24" s="8">
        <v>26.0</v>
      </c>
      <c r="H24" s="33"/>
      <c r="I24" s="33"/>
      <c r="J24" s="33"/>
      <c r="K24" s="33"/>
      <c r="L24" s="33"/>
      <c r="M24" s="3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112</v>
      </c>
      <c r="B26" s="33">
        <f t="shared" ref="B26:M26" si="5">sum(B9:B24)</f>
        <v>2528</v>
      </c>
      <c r="C26" s="33">
        <f t="shared" si="5"/>
        <v>2459</v>
      </c>
      <c r="D26" s="33">
        <f t="shared" si="5"/>
        <v>2353</v>
      </c>
      <c r="E26" s="33">
        <f t="shared" si="5"/>
        <v>2610</v>
      </c>
      <c r="F26" s="33">
        <f t="shared" si="5"/>
        <v>2497</v>
      </c>
      <c r="G26" s="33">
        <f t="shared" si="5"/>
        <v>2518</v>
      </c>
      <c r="H26" s="33">
        <f t="shared" si="5"/>
        <v>0</v>
      </c>
      <c r="I26" s="33">
        <f t="shared" si="5"/>
        <v>0</v>
      </c>
      <c r="J26" s="33">
        <f t="shared" si="5"/>
        <v>0</v>
      </c>
      <c r="K26" s="33">
        <f t="shared" si="5"/>
        <v>0</v>
      </c>
      <c r="L26" s="33">
        <f t="shared" si="5"/>
        <v>0</v>
      </c>
      <c r="M26" s="33">
        <f t="shared" si="5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6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16" max="16" width="59.88"/>
  </cols>
  <sheetData>
    <row r="1">
      <c r="A1" s="18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163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51"/>
      <c r="Q2" s="52" t="s">
        <v>129</v>
      </c>
      <c r="R2" s="52" t="s">
        <v>130</v>
      </c>
      <c r="S2" s="52" t="s">
        <v>131</v>
      </c>
      <c r="T2" s="52" t="s">
        <v>132</v>
      </c>
      <c r="U2" s="52" t="s">
        <v>133</v>
      </c>
      <c r="V2" s="52" t="s">
        <v>6</v>
      </c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64" t="s">
        <v>164</v>
      </c>
      <c r="Q3" s="65">
        <v>164.48</v>
      </c>
      <c r="R3" s="66">
        <v>170.0</v>
      </c>
      <c r="S3" s="65">
        <v>177.52</v>
      </c>
      <c r="T3" s="65">
        <v>161.36</v>
      </c>
      <c r="U3" s="65">
        <v>163.16</v>
      </c>
      <c r="V3" s="66">
        <v>159.96</v>
      </c>
      <c r="W3" s="4"/>
      <c r="X3" s="4"/>
      <c r="Y3" s="4"/>
      <c r="Z3" s="4"/>
    </row>
    <row r="4">
      <c r="A4" s="6" t="s">
        <v>13</v>
      </c>
      <c r="B4" s="7">
        <f t="shared" ref="B4:G4" si="1">Q13</f>
        <v>992.24</v>
      </c>
      <c r="C4" s="7">
        <f t="shared" si="1"/>
        <v>926.86</v>
      </c>
      <c r="D4" s="7">
        <f t="shared" si="1"/>
        <v>934.07</v>
      </c>
      <c r="E4" s="7">
        <f t="shared" si="1"/>
        <v>916.63</v>
      </c>
      <c r="F4" s="7">
        <f t="shared" si="1"/>
        <v>928.55</v>
      </c>
      <c r="G4" s="7">
        <f t="shared" si="1"/>
        <v>947.36</v>
      </c>
      <c r="H4" s="7"/>
      <c r="I4" s="7"/>
      <c r="J4" s="7"/>
      <c r="K4" s="7"/>
      <c r="L4" s="7"/>
      <c r="M4" s="7"/>
      <c r="N4" s="4"/>
      <c r="O4" s="4"/>
      <c r="P4" s="67" t="s">
        <v>165</v>
      </c>
      <c r="Q4" s="68">
        <v>-31.47</v>
      </c>
      <c r="R4" s="68">
        <v>-31.47</v>
      </c>
      <c r="S4" s="68">
        <v>-31.47</v>
      </c>
      <c r="T4" s="68">
        <v>-31.47</v>
      </c>
      <c r="U4" s="68">
        <v>-31.47</v>
      </c>
      <c r="V4" s="68">
        <v>-31.47</v>
      </c>
      <c r="W4" s="4"/>
      <c r="X4" s="4"/>
      <c r="Y4" s="4"/>
      <c r="Z4" s="4"/>
    </row>
    <row r="5">
      <c r="A5" s="6" t="s">
        <v>14</v>
      </c>
      <c r="B5" s="7">
        <f>B4*0.4</f>
        <v>396.896</v>
      </c>
      <c r="C5" s="7">
        <f t="shared" ref="C5:M5" si="2">$B$5</f>
        <v>396.896</v>
      </c>
      <c r="D5" s="7">
        <f t="shared" si="2"/>
        <v>396.896</v>
      </c>
      <c r="E5" s="7">
        <f t="shared" si="2"/>
        <v>396.896</v>
      </c>
      <c r="F5" s="7">
        <f t="shared" si="2"/>
        <v>396.896</v>
      </c>
      <c r="G5" s="7">
        <f t="shared" si="2"/>
        <v>396.896</v>
      </c>
      <c r="H5" s="7">
        <f t="shared" si="2"/>
        <v>396.896</v>
      </c>
      <c r="I5" s="7">
        <f t="shared" si="2"/>
        <v>396.896</v>
      </c>
      <c r="J5" s="7">
        <f t="shared" si="2"/>
        <v>396.896</v>
      </c>
      <c r="K5" s="7">
        <f t="shared" si="2"/>
        <v>396.896</v>
      </c>
      <c r="L5" s="7">
        <f t="shared" si="2"/>
        <v>396.896</v>
      </c>
      <c r="M5" s="7">
        <f t="shared" si="2"/>
        <v>396.896</v>
      </c>
      <c r="N5" s="4"/>
      <c r="O5" s="4"/>
      <c r="P5" s="69" t="s">
        <v>166</v>
      </c>
      <c r="Q5" s="66">
        <v>56.42</v>
      </c>
      <c r="R5" s="65">
        <v>41.49</v>
      </c>
      <c r="S5" s="65">
        <v>41.54</v>
      </c>
      <c r="T5" s="65">
        <v>42.44</v>
      </c>
      <c r="U5" s="65">
        <v>42.02</v>
      </c>
      <c r="V5" s="66">
        <v>44.07</v>
      </c>
      <c r="W5" s="4"/>
      <c r="X5" s="4"/>
      <c r="Y5" s="4"/>
      <c r="Z5" s="4"/>
    </row>
    <row r="6">
      <c r="A6" s="6" t="s">
        <v>15</v>
      </c>
      <c r="B6" s="7">
        <f>ROUND((B4*0.85),0)</f>
        <v>843</v>
      </c>
      <c r="C6" s="7">
        <f t="shared" ref="C6:J6" si="3">$B$6</f>
        <v>843</v>
      </c>
      <c r="D6" s="7">
        <f t="shared" si="3"/>
        <v>843</v>
      </c>
      <c r="E6" s="7">
        <f t="shared" si="3"/>
        <v>843</v>
      </c>
      <c r="F6" s="7">
        <f t="shared" si="3"/>
        <v>843</v>
      </c>
      <c r="G6" s="7">
        <f t="shared" si="3"/>
        <v>843</v>
      </c>
      <c r="H6" s="7">
        <f t="shared" si="3"/>
        <v>843</v>
      </c>
      <c r="I6" s="7">
        <f t="shared" si="3"/>
        <v>843</v>
      </c>
      <c r="J6" s="7">
        <f t="shared" si="3"/>
        <v>843</v>
      </c>
      <c r="K6" s="7">
        <f>ROUND((B4*0.6),0)</f>
        <v>595</v>
      </c>
      <c r="L6" s="7">
        <f t="shared" ref="L6:M6" si="4">$K$6</f>
        <v>595</v>
      </c>
      <c r="M6" s="7">
        <f t="shared" si="4"/>
        <v>595</v>
      </c>
      <c r="N6" s="4"/>
      <c r="O6" s="4"/>
      <c r="P6" s="69" t="s">
        <v>167</v>
      </c>
      <c r="Q6" s="65">
        <v>6.22</v>
      </c>
      <c r="R6" s="65">
        <v>10.68</v>
      </c>
      <c r="S6" s="65">
        <v>9.33</v>
      </c>
      <c r="T6" s="65">
        <v>11.38</v>
      </c>
      <c r="U6" s="65">
        <v>19.02</v>
      </c>
      <c r="V6" s="66">
        <v>22.97</v>
      </c>
      <c r="W6" s="4"/>
      <c r="X6" s="4"/>
      <c r="Y6" s="4"/>
      <c r="Z6" s="4"/>
    </row>
    <row r="7">
      <c r="A7" s="8" t="s">
        <v>16</v>
      </c>
      <c r="B7" s="9">
        <v>1145.77</v>
      </c>
      <c r="C7" s="9">
        <v>1145.77</v>
      </c>
      <c r="D7" s="9">
        <v>1145.77</v>
      </c>
      <c r="E7" s="9">
        <v>1145.77</v>
      </c>
      <c r="F7" s="9">
        <v>1145.77</v>
      </c>
      <c r="G7" s="9">
        <v>1145.77</v>
      </c>
      <c r="H7" s="9">
        <v>1145.77</v>
      </c>
      <c r="I7" s="9">
        <v>1145.77</v>
      </c>
      <c r="J7" s="9">
        <v>1145.77</v>
      </c>
      <c r="K7" s="9">
        <v>1145.77</v>
      </c>
      <c r="L7" s="9">
        <v>1145.77</v>
      </c>
      <c r="M7" s="9">
        <v>1145.77</v>
      </c>
      <c r="N7" s="4"/>
      <c r="O7" s="4"/>
      <c r="P7" s="69" t="s">
        <v>168</v>
      </c>
      <c r="Q7" s="70">
        <v>52.84</v>
      </c>
      <c r="R7" s="70">
        <v>52.84</v>
      </c>
      <c r="S7" s="71">
        <v>47.84</v>
      </c>
      <c r="T7" s="65">
        <v>33.42</v>
      </c>
      <c r="U7" s="65">
        <v>45.92</v>
      </c>
      <c r="V7" s="66">
        <v>54.75</v>
      </c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69" t="s">
        <v>169</v>
      </c>
      <c r="Q8" s="70">
        <v>56.72</v>
      </c>
      <c r="R8" s="70">
        <v>56.72</v>
      </c>
      <c r="S8" s="71">
        <v>51.0</v>
      </c>
      <c r="T8" s="65">
        <v>64.16</v>
      </c>
      <c r="U8" s="65">
        <v>58.34</v>
      </c>
      <c r="V8" s="66">
        <v>56.17</v>
      </c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69" t="s">
        <v>170</v>
      </c>
      <c r="Q9" s="70">
        <v>107.13</v>
      </c>
      <c r="R9" s="71">
        <v>100.0</v>
      </c>
      <c r="S9" s="71">
        <v>102.0</v>
      </c>
      <c r="T9" s="65">
        <v>116.49</v>
      </c>
      <c r="U9" s="65">
        <v>115.59</v>
      </c>
      <c r="V9" s="66">
        <v>115.64</v>
      </c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69" t="s">
        <v>171</v>
      </c>
      <c r="Q10" s="66">
        <v>379.85</v>
      </c>
      <c r="R10" s="65">
        <v>340.53</v>
      </c>
      <c r="S10" s="65">
        <v>353.21</v>
      </c>
      <c r="T10" s="65">
        <v>335.31</v>
      </c>
      <c r="U10" s="65">
        <v>359.37</v>
      </c>
      <c r="V10" s="66">
        <v>350.65</v>
      </c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69" t="s">
        <v>172</v>
      </c>
      <c r="Q11" s="65">
        <v>138.37</v>
      </c>
      <c r="R11" s="65">
        <v>131.07</v>
      </c>
      <c r="S11" s="65">
        <v>127.1</v>
      </c>
      <c r="T11" s="65">
        <v>121.86</v>
      </c>
      <c r="U11" s="65">
        <v>94.92</v>
      </c>
      <c r="V11" s="66">
        <v>112.94</v>
      </c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69" t="s">
        <v>173</v>
      </c>
      <c r="Q12" s="70">
        <v>61.68</v>
      </c>
      <c r="R12" s="71">
        <v>55.0</v>
      </c>
      <c r="S12" s="71">
        <v>56.0</v>
      </c>
      <c r="T12" s="70">
        <v>61.68</v>
      </c>
      <c r="U12" s="70">
        <v>61.68</v>
      </c>
      <c r="V12" s="70">
        <v>61.68</v>
      </c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66" t="s">
        <v>126</v>
      </c>
      <c r="Q13" s="66">
        <f t="shared" ref="Q13:V13" si="5">sum(Q3:Q12)</f>
        <v>992.24</v>
      </c>
      <c r="R13" s="66">
        <f t="shared" si="5"/>
        <v>926.86</v>
      </c>
      <c r="S13" s="66">
        <f t="shared" si="5"/>
        <v>934.07</v>
      </c>
      <c r="T13" s="66">
        <f t="shared" si="5"/>
        <v>916.63</v>
      </c>
      <c r="U13" s="66">
        <f t="shared" si="5"/>
        <v>928.55</v>
      </c>
      <c r="V13" s="66">
        <f t="shared" si="5"/>
        <v>947.36</v>
      </c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30" t="s">
        <v>174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>
      <c r="A4" s="6" t="s">
        <v>13</v>
      </c>
      <c r="B4" s="60">
        <f t="shared" ref="B4:M4" si="1">W48</f>
        <v>1779.06</v>
      </c>
      <c r="C4" s="60">
        <f t="shared" si="1"/>
        <v>1766.83</v>
      </c>
      <c r="D4" s="60">
        <f t="shared" si="1"/>
        <v>1773.29</v>
      </c>
      <c r="E4" s="60">
        <f t="shared" si="1"/>
        <v>1689.86</v>
      </c>
      <c r="F4" s="60">
        <f t="shared" si="1"/>
        <v>1666.63</v>
      </c>
      <c r="G4" s="60">
        <f t="shared" si="1"/>
        <v>1788</v>
      </c>
      <c r="H4" s="60" t="str">
        <f t="shared" si="1"/>
        <v/>
      </c>
      <c r="I4" s="60" t="str">
        <f t="shared" si="1"/>
        <v/>
      </c>
      <c r="J4" s="60" t="str">
        <f t="shared" si="1"/>
        <v/>
      </c>
      <c r="K4" s="60" t="str">
        <f t="shared" si="1"/>
        <v/>
      </c>
      <c r="L4" s="60" t="str">
        <f t="shared" si="1"/>
        <v/>
      </c>
      <c r="M4" s="60" t="str">
        <f t="shared" si="1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6" t="s">
        <v>14</v>
      </c>
      <c r="B5" s="7">
        <f>B4*0.4</f>
        <v>711.624</v>
      </c>
      <c r="C5" s="7">
        <f t="shared" ref="C5:M5" si="2">$B$5</f>
        <v>711.624</v>
      </c>
      <c r="D5" s="7">
        <f t="shared" si="2"/>
        <v>711.624</v>
      </c>
      <c r="E5" s="7">
        <f t="shared" si="2"/>
        <v>711.624</v>
      </c>
      <c r="F5" s="7">
        <f t="shared" si="2"/>
        <v>711.624</v>
      </c>
      <c r="G5" s="7">
        <f t="shared" si="2"/>
        <v>711.624</v>
      </c>
      <c r="H5" s="7">
        <f t="shared" si="2"/>
        <v>711.624</v>
      </c>
      <c r="I5" s="7">
        <f t="shared" si="2"/>
        <v>711.624</v>
      </c>
      <c r="J5" s="7">
        <f t="shared" si="2"/>
        <v>711.624</v>
      </c>
      <c r="K5" s="7">
        <f t="shared" si="2"/>
        <v>711.624</v>
      </c>
      <c r="L5" s="7">
        <f t="shared" si="2"/>
        <v>711.624</v>
      </c>
      <c r="M5" s="7">
        <f t="shared" si="2"/>
        <v>711.624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6" t="s">
        <v>15</v>
      </c>
      <c r="B6" s="7">
        <f>ROUND((B4*0.85),0)</f>
        <v>1512</v>
      </c>
      <c r="C6" s="7">
        <f t="shared" ref="C6:J6" si="3">$B$6</f>
        <v>1512</v>
      </c>
      <c r="D6" s="7">
        <f t="shared" si="3"/>
        <v>1512</v>
      </c>
      <c r="E6" s="7">
        <f t="shared" si="3"/>
        <v>1512</v>
      </c>
      <c r="F6" s="7">
        <f t="shared" si="3"/>
        <v>1512</v>
      </c>
      <c r="G6" s="7">
        <f t="shared" si="3"/>
        <v>1512</v>
      </c>
      <c r="H6" s="7">
        <f t="shared" si="3"/>
        <v>1512</v>
      </c>
      <c r="I6" s="7">
        <f t="shared" si="3"/>
        <v>1512</v>
      </c>
      <c r="J6" s="7">
        <f t="shared" si="3"/>
        <v>1512</v>
      </c>
      <c r="K6" s="7">
        <f>ROUND((B4*0.6),0)</f>
        <v>1067</v>
      </c>
      <c r="L6" s="7">
        <f t="shared" ref="L6:M6" si="4">$K$6</f>
        <v>1067</v>
      </c>
      <c r="M6" s="7">
        <f t="shared" si="4"/>
        <v>1067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8" t="s">
        <v>16</v>
      </c>
      <c r="B7" s="9">
        <v>2705.21371</v>
      </c>
      <c r="C7" s="9">
        <v>2705.21371</v>
      </c>
      <c r="D7" s="9">
        <v>2705.21371</v>
      </c>
      <c r="E7" s="9">
        <v>2705.21371</v>
      </c>
      <c r="F7" s="9">
        <v>2705.21371</v>
      </c>
      <c r="G7" s="9">
        <v>2705.21371</v>
      </c>
      <c r="H7" s="9">
        <v>2705.21371</v>
      </c>
      <c r="I7" s="9">
        <v>2705.21371</v>
      </c>
      <c r="J7" s="9">
        <v>2705.21371</v>
      </c>
      <c r="K7" s="9">
        <v>2705.21371</v>
      </c>
      <c r="L7" s="9">
        <v>2705.21371</v>
      </c>
      <c r="M7" s="9">
        <v>2705.21371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5"/>
      <c r="W20" s="6" t="s">
        <v>1</v>
      </c>
      <c r="X20" s="6" t="s">
        <v>2</v>
      </c>
      <c r="Y20" s="6" t="s">
        <v>3</v>
      </c>
      <c r="Z20" s="6" t="s">
        <v>4</v>
      </c>
      <c r="AA20" s="6" t="s">
        <v>5</v>
      </c>
      <c r="AB20" s="6" t="s">
        <v>6</v>
      </c>
      <c r="AC20" s="6" t="s">
        <v>7</v>
      </c>
      <c r="AD20" s="6" t="s">
        <v>8</v>
      </c>
      <c r="AE20" s="6" t="s">
        <v>9</v>
      </c>
      <c r="AF20" s="6" t="s">
        <v>10</v>
      </c>
      <c r="AG20" s="6" t="s">
        <v>11</v>
      </c>
      <c r="AH20" s="6" t="s">
        <v>12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 t="s">
        <v>13</v>
      </c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18" t="s">
        <v>175</v>
      </c>
      <c r="W22" s="18">
        <v>109.12</v>
      </c>
      <c r="X22" s="18">
        <v>116.0</v>
      </c>
      <c r="Y22" s="18">
        <v>90.0</v>
      </c>
      <c r="Z22" s="18">
        <v>98.0</v>
      </c>
      <c r="AA22" s="18">
        <v>86.0</v>
      </c>
      <c r="AB22" s="18">
        <v>108.0</v>
      </c>
      <c r="AC22" s="4"/>
      <c r="AD22" s="4"/>
      <c r="AE22" s="4"/>
      <c r="AF22" s="4"/>
      <c r="AG22" s="4"/>
      <c r="AH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18" t="s">
        <v>176</v>
      </c>
      <c r="W23" s="18">
        <v>457.0</v>
      </c>
      <c r="X23" s="18">
        <v>457.61</v>
      </c>
      <c r="Y23" s="18">
        <v>484.3</v>
      </c>
      <c r="Z23" s="18">
        <v>404.47</v>
      </c>
      <c r="AA23" s="18">
        <v>423.52</v>
      </c>
      <c r="AB23" s="18">
        <v>447.0</v>
      </c>
      <c r="AC23" s="4"/>
      <c r="AD23" s="4"/>
      <c r="AE23" s="4"/>
      <c r="AF23" s="4"/>
      <c r="AG23" s="4"/>
      <c r="AH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18" t="s">
        <v>34</v>
      </c>
      <c r="W24" s="18">
        <v>220.0</v>
      </c>
      <c r="X24" s="18">
        <v>220.0</v>
      </c>
      <c r="Y24" s="18">
        <v>240.0</v>
      </c>
      <c r="Z24" s="18">
        <v>240.0</v>
      </c>
      <c r="AA24" s="18">
        <v>240.0</v>
      </c>
      <c r="AB24" s="18">
        <v>232.0</v>
      </c>
      <c r="AC24" s="4"/>
      <c r="AD24" s="4"/>
      <c r="AE24" s="4"/>
      <c r="AF24" s="4"/>
      <c r="AG24" s="4"/>
      <c r="AH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72" t="s">
        <v>177</v>
      </c>
      <c r="T25" s="4"/>
      <c r="U25" s="4"/>
      <c r="V25" s="18" t="s">
        <v>62</v>
      </c>
      <c r="W25" s="18">
        <v>126.0</v>
      </c>
      <c r="X25" s="18">
        <v>132.0</v>
      </c>
      <c r="Y25" s="18">
        <v>126.0</v>
      </c>
      <c r="Z25" s="18">
        <v>126.0</v>
      </c>
      <c r="AA25" s="18">
        <v>126.0</v>
      </c>
      <c r="AB25" s="18">
        <v>128.0</v>
      </c>
      <c r="AC25" s="4"/>
      <c r="AD25" s="4"/>
      <c r="AE25" s="4"/>
      <c r="AF25" s="4"/>
      <c r="AG25" s="4"/>
      <c r="AH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18" t="s">
        <v>63</v>
      </c>
      <c r="W26" s="18">
        <v>87.07</v>
      </c>
      <c r="X26" s="18">
        <v>90.22</v>
      </c>
      <c r="Y26" s="18">
        <v>97.79</v>
      </c>
      <c r="Z26" s="18">
        <v>75.64</v>
      </c>
      <c r="AA26" s="18">
        <v>76.33</v>
      </c>
      <c r="AB26" s="18">
        <v>109.0</v>
      </c>
      <c r="AC26" s="4"/>
      <c r="AD26" s="4"/>
      <c r="AE26" s="4"/>
      <c r="AF26" s="4"/>
      <c r="AG26" s="4"/>
      <c r="AH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8"/>
      <c r="T27" s="4"/>
      <c r="U27" s="4"/>
      <c r="V27" s="18" t="s">
        <v>178</v>
      </c>
      <c r="W27" s="18">
        <v>20.0</v>
      </c>
      <c r="X27" s="18">
        <v>23.25</v>
      </c>
      <c r="Y27" s="18">
        <v>22.15</v>
      </c>
      <c r="Z27" s="18">
        <v>2.53</v>
      </c>
      <c r="AA27" s="18">
        <v>29.93</v>
      </c>
      <c r="AB27" s="18">
        <v>17.0</v>
      </c>
      <c r="AC27" s="4"/>
      <c r="AD27" s="4"/>
      <c r="AE27" s="4"/>
      <c r="AF27" s="4"/>
      <c r="AG27" s="4"/>
      <c r="AH27" s="4"/>
    </row>
    <row r="28">
      <c r="A28" s="4"/>
      <c r="B28" s="4"/>
      <c r="C28" s="1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8"/>
      <c r="T28" s="4"/>
      <c r="U28" s="4"/>
      <c r="V28" s="18" t="s">
        <v>99</v>
      </c>
      <c r="W28" s="18">
        <v>20.0</v>
      </c>
      <c r="X28" s="18">
        <v>19.8</v>
      </c>
      <c r="Y28" s="18">
        <v>22.1</v>
      </c>
      <c r="Z28" s="18">
        <v>24.2</v>
      </c>
      <c r="AA28" s="18">
        <v>21.1</v>
      </c>
      <c r="AB28" s="18">
        <v>19.0</v>
      </c>
      <c r="AC28" s="4"/>
      <c r="AD28" s="4"/>
      <c r="AE28" s="4"/>
      <c r="AF28" s="4"/>
      <c r="AG28" s="4"/>
      <c r="AH28" s="4"/>
    </row>
    <row r="29">
      <c r="A29" s="4"/>
      <c r="B29" s="4"/>
      <c r="C29" s="1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8"/>
      <c r="T29" s="4"/>
      <c r="U29" s="4"/>
      <c r="V29" s="18" t="s">
        <v>179</v>
      </c>
      <c r="W29" s="18">
        <v>80.2</v>
      </c>
      <c r="X29" s="18">
        <v>76.8</v>
      </c>
      <c r="Y29" s="18">
        <v>82.2</v>
      </c>
      <c r="Z29" s="18">
        <v>70.5</v>
      </c>
      <c r="AA29" s="18">
        <v>74.6</v>
      </c>
      <c r="AB29" s="18">
        <v>67.0</v>
      </c>
      <c r="AC29" s="4"/>
      <c r="AD29" s="4"/>
      <c r="AE29" s="4"/>
      <c r="AF29" s="4"/>
      <c r="AG29" s="4"/>
      <c r="AH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8"/>
      <c r="T30" s="4"/>
      <c r="U30" s="4"/>
      <c r="V30" s="18" t="s">
        <v>180</v>
      </c>
      <c r="W30" s="18">
        <v>53.13</v>
      </c>
      <c r="X30" s="18">
        <v>55.81</v>
      </c>
      <c r="Y30" s="18">
        <v>56.21</v>
      </c>
      <c r="Z30" s="18">
        <v>57.51</v>
      </c>
      <c r="AA30" s="18">
        <v>38.24</v>
      </c>
      <c r="AB30" s="18">
        <v>38.0</v>
      </c>
      <c r="AC30" s="4"/>
      <c r="AD30" s="4"/>
      <c r="AE30" s="4"/>
      <c r="AF30" s="4"/>
      <c r="AG30" s="4"/>
      <c r="AH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8"/>
      <c r="T31" s="4"/>
      <c r="U31" s="4"/>
      <c r="V31" s="18" t="s">
        <v>181</v>
      </c>
      <c r="W31" s="18">
        <v>3.26</v>
      </c>
      <c r="X31" s="18">
        <v>3.26</v>
      </c>
      <c r="Y31" s="18">
        <v>3.26</v>
      </c>
      <c r="Z31" s="18">
        <v>3.26</v>
      </c>
      <c r="AA31" s="73">
        <v>3.26</v>
      </c>
      <c r="AB31" s="18">
        <v>3.0</v>
      </c>
      <c r="AC31" s="4"/>
      <c r="AD31" s="4"/>
      <c r="AE31" s="4"/>
      <c r="AF31" s="4"/>
      <c r="AG31" s="4"/>
      <c r="AH31" s="4"/>
    </row>
    <row r="32">
      <c r="A32" s="4"/>
      <c r="B32" s="18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8"/>
      <c r="T32" s="4"/>
      <c r="U32" s="4"/>
      <c r="V32" s="18" t="s">
        <v>182</v>
      </c>
      <c r="W32" s="18">
        <v>30.0</v>
      </c>
      <c r="X32" s="18">
        <v>32.0</v>
      </c>
      <c r="Y32" s="18">
        <v>34.0</v>
      </c>
      <c r="Z32" s="18">
        <v>32.0</v>
      </c>
      <c r="AA32" s="18">
        <v>32.0</v>
      </c>
      <c r="AB32" s="18">
        <v>34.0</v>
      </c>
      <c r="AC32" s="4"/>
      <c r="AD32" s="4"/>
      <c r="AE32" s="4"/>
      <c r="AF32" s="4"/>
      <c r="AG32" s="4"/>
      <c r="AH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8"/>
      <c r="T33" s="4"/>
      <c r="U33" s="4"/>
      <c r="V33" s="18" t="s">
        <v>183</v>
      </c>
      <c r="W33" s="18">
        <v>54.6</v>
      </c>
      <c r="X33" s="18">
        <v>60.0</v>
      </c>
      <c r="Y33" s="73">
        <v>54.0</v>
      </c>
      <c r="Z33" s="18">
        <v>54.1</v>
      </c>
      <c r="AA33" s="18">
        <v>59.4</v>
      </c>
      <c r="AB33" s="18">
        <v>53.0</v>
      </c>
      <c r="AC33" s="4"/>
      <c r="AD33" s="4"/>
      <c r="AE33" s="4"/>
      <c r="AF33" s="4"/>
      <c r="AG33" s="4"/>
      <c r="AH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8"/>
      <c r="T34" s="4"/>
      <c r="U34" s="4"/>
      <c r="V34" s="18" t="s">
        <v>184</v>
      </c>
      <c r="W34" s="18">
        <v>160.0</v>
      </c>
      <c r="X34" s="18">
        <v>170.0</v>
      </c>
      <c r="Y34" s="18">
        <v>172.0</v>
      </c>
      <c r="Z34" s="18">
        <v>132.0</v>
      </c>
      <c r="AA34" s="18">
        <v>150.0</v>
      </c>
      <c r="AB34" s="18">
        <v>146.0</v>
      </c>
      <c r="AC34" s="4"/>
      <c r="AD34" s="4"/>
      <c r="AE34" s="4"/>
      <c r="AF34" s="4"/>
      <c r="AG34" s="4"/>
      <c r="AH34" s="4"/>
    </row>
    <row r="35">
      <c r="A35" s="4"/>
      <c r="B35" s="1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8"/>
      <c r="T35" s="4"/>
      <c r="U35" s="4"/>
      <c r="V35" s="18" t="s">
        <v>185</v>
      </c>
      <c r="W35" s="18">
        <v>177.28</v>
      </c>
      <c r="X35" s="18">
        <v>108.22</v>
      </c>
      <c r="Y35" s="73">
        <v>108.22</v>
      </c>
      <c r="Z35" s="18">
        <v>136.6</v>
      </c>
      <c r="AA35" s="18">
        <v>121.66</v>
      </c>
      <c r="AB35" s="18">
        <v>127.0</v>
      </c>
      <c r="AC35" s="4"/>
      <c r="AD35" s="4"/>
      <c r="AE35" s="4"/>
      <c r="AF35" s="4"/>
      <c r="AG35" s="4"/>
      <c r="AH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8"/>
      <c r="T36" s="4"/>
      <c r="U36" s="4"/>
      <c r="V36" s="18" t="s">
        <v>186</v>
      </c>
      <c r="W36" s="18">
        <v>33.92</v>
      </c>
      <c r="X36" s="18">
        <v>33.92</v>
      </c>
      <c r="Y36" s="73">
        <v>33.92</v>
      </c>
      <c r="Z36" s="18">
        <v>38.3</v>
      </c>
      <c r="AA36" s="18">
        <v>37.08</v>
      </c>
      <c r="AB36" s="18">
        <v>45.0</v>
      </c>
      <c r="AC36" s="4"/>
      <c r="AD36" s="4"/>
      <c r="AE36" s="4"/>
      <c r="AF36" s="4"/>
      <c r="AG36" s="4"/>
      <c r="AH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8"/>
      <c r="T37" s="4"/>
      <c r="U37" s="4"/>
      <c r="V37" s="18" t="s">
        <v>187</v>
      </c>
      <c r="W37" s="18">
        <v>63.74</v>
      </c>
      <c r="X37" s="18">
        <v>74.8</v>
      </c>
      <c r="Y37" s="18">
        <v>68.76</v>
      </c>
      <c r="Z37" s="18">
        <v>76.18</v>
      </c>
      <c r="AA37" s="18">
        <v>74.56</v>
      </c>
      <c r="AB37" s="18">
        <v>74.0</v>
      </c>
      <c r="AC37" s="4"/>
      <c r="AD37" s="4"/>
      <c r="AE37" s="4"/>
      <c r="AF37" s="4"/>
      <c r="AG37" s="4"/>
      <c r="AH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8"/>
      <c r="T38" s="4"/>
      <c r="U38" s="4"/>
      <c r="V38" s="74" t="s">
        <v>188</v>
      </c>
      <c r="W38" s="18">
        <v>66.11</v>
      </c>
      <c r="X38" s="18">
        <v>63.16</v>
      </c>
      <c r="Y38" s="18">
        <v>69.79</v>
      </c>
      <c r="Z38" s="18">
        <v>67.05</v>
      </c>
      <c r="AA38" s="18">
        <v>70.33</v>
      </c>
      <c r="AB38" s="18">
        <v>65.0</v>
      </c>
      <c r="AC38" s="4"/>
      <c r="AD38" s="4"/>
      <c r="AE38" s="4"/>
      <c r="AF38" s="4"/>
      <c r="AG38" s="4"/>
      <c r="AH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8"/>
      <c r="T39" s="4"/>
      <c r="U39" s="4"/>
      <c r="V39" s="18" t="s">
        <v>189</v>
      </c>
      <c r="W39" s="18">
        <v>27.17</v>
      </c>
      <c r="X39" s="18">
        <v>25.71</v>
      </c>
      <c r="Y39" s="18">
        <v>30.44</v>
      </c>
      <c r="Z39" s="18">
        <v>34.04</v>
      </c>
      <c r="AA39" s="18">
        <v>52.2</v>
      </c>
      <c r="AB39" s="18">
        <v>65.0</v>
      </c>
      <c r="AC39" s="4"/>
      <c r="AD39" s="4"/>
      <c r="AE39" s="4"/>
      <c r="AF39" s="4"/>
      <c r="AG39" s="4"/>
      <c r="AH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8"/>
      <c r="T40" s="4"/>
      <c r="U40" s="4"/>
      <c r="V40" s="18" t="s">
        <v>190</v>
      </c>
      <c r="W40" s="18">
        <v>16.77</v>
      </c>
      <c r="X40" s="18">
        <v>20.06</v>
      </c>
      <c r="Y40" s="18">
        <v>19.75</v>
      </c>
      <c r="Z40" s="18">
        <v>11.98</v>
      </c>
      <c r="AA40" s="18">
        <v>20.78</v>
      </c>
      <c r="AB40" s="18">
        <v>24.0</v>
      </c>
      <c r="AC40" s="4"/>
      <c r="AD40" s="4"/>
      <c r="AE40" s="4"/>
      <c r="AF40" s="4"/>
      <c r="AG40" s="4"/>
      <c r="AH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18"/>
      <c r="T41" s="4"/>
      <c r="U41" s="4"/>
      <c r="V41" s="18" t="s">
        <v>191</v>
      </c>
      <c r="W41" s="18">
        <v>47.2</v>
      </c>
      <c r="X41" s="18">
        <v>51.9</v>
      </c>
      <c r="Y41" s="18">
        <v>47.3</v>
      </c>
      <c r="Z41" s="18">
        <v>47.8</v>
      </c>
      <c r="AA41" s="18">
        <v>46.6</v>
      </c>
      <c r="AB41" s="18">
        <v>46.0</v>
      </c>
      <c r="AC41" s="4"/>
      <c r="AD41" s="4"/>
      <c r="AE41" s="4"/>
      <c r="AF41" s="4"/>
      <c r="AG41" s="4"/>
      <c r="AH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18"/>
      <c r="T42" s="4"/>
      <c r="U42" s="4"/>
      <c r="V42" s="18" t="s">
        <v>192</v>
      </c>
      <c r="W42" s="18">
        <v>25.0</v>
      </c>
      <c r="X42" s="18">
        <v>24.07</v>
      </c>
      <c r="Y42" s="18">
        <v>25.03</v>
      </c>
      <c r="Z42" s="18">
        <v>25.31</v>
      </c>
      <c r="AA42" s="18">
        <v>25.43</v>
      </c>
      <c r="AB42" s="18">
        <v>24.0</v>
      </c>
      <c r="AC42" s="4"/>
      <c r="AD42" s="4"/>
      <c r="AE42" s="4"/>
      <c r="AF42" s="4"/>
      <c r="AG42" s="4"/>
      <c r="AH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18"/>
      <c r="T43" s="4"/>
      <c r="U43" s="4"/>
      <c r="V43" s="18" t="s">
        <v>193</v>
      </c>
      <c r="W43" s="18">
        <v>56.16</v>
      </c>
      <c r="X43" s="18">
        <v>68.63</v>
      </c>
      <c r="Y43" s="18">
        <v>63.03</v>
      </c>
      <c r="Z43" s="18">
        <v>56.47</v>
      </c>
      <c r="AA43" s="18">
        <v>43.26</v>
      </c>
      <c r="AB43" s="18">
        <v>58.0</v>
      </c>
      <c r="AC43" s="4"/>
      <c r="AD43" s="4"/>
      <c r="AE43" s="4"/>
      <c r="AF43" s="4"/>
      <c r="AG43" s="4"/>
      <c r="AH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18"/>
      <c r="T44" s="4"/>
      <c r="U44" s="4"/>
      <c r="V44" s="18" t="s">
        <v>194</v>
      </c>
      <c r="W44" s="18">
        <v>12.05</v>
      </c>
      <c r="X44" s="18">
        <v>12.95</v>
      </c>
      <c r="Y44" s="18">
        <v>13.39</v>
      </c>
      <c r="Z44" s="18">
        <v>15.13</v>
      </c>
      <c r="AA44" s="18">
        <v>15.5</v>
      </c>
      <c r="AB44" s="18">
        <v>15.0</v>
      </c>
      <c r="AC44" s="4"/>
      <c r="AD44" s="4"/>
      <c r="AE44" s="4"/>
      <c r="AF44" s="4"/>
      <c r="AG44" s="4"/>
      <c r="AH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18"/>
      <c r="T45" s="4"/>
      <c r="U45" s="4"/>
      <c r="V45" s="18" t="s">
        <v>195</v>
      </c>
      <c r="W45" s="18">
        <v>10.47</v>
      </c>
      <c r="X45" s="18">
        <v>10.4</v>
      </c>
      <c r="Y45" s="18">
        <v>12.08</v>
      </c>
      <c r="Z45" s="18">
        <v>10.24</v>
      </c>
      <c r="AA45" s="18">
        <v>12.92</v>
      </c>
      <c r="AB45" s="18">
        <v>12.0</v>
      </c>
      <c r="AC45" s="4"/>
      <c r="AD45" s="4"/>
      <c r="AE45" s="4"/>
      <c r="AF45" s="4"/>
      <c r="AG45" s="4"/>
      <c r="AH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18"/>
      <c r="T46" s="4"/>
      <c r="U46" s="4"/>
      <c r="V46" s="18" t="s">
        <v>196</v>
      </c>
      <c r="W46" s="18">
        <v>4.94</v>
      </c>
      <c r="X46" s="18">
        <v>3.83</v>
      </c>
      <c r="Y46" s="18">
        <v>1.07</v>
      </c>
      <c r="Z46" s="18">
        <v>1.56</v>
      </c>
      <c r="AA46" s="18">
        <v>3.33</v>
      </c>
      <c r="AB46" s="18">
        <v>9.0</v>
      </c>
      <c r="AC46" s="4"/>
      <c r="AD46" s="4"/>
      <c r="AE46" s="4"/>
      <c r="AF46" s="4"/>
      <c r="AG46" s="4"/>
      <c r="AH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18"/>
      <c r="T47" s="4"/>
      <c r="U47" s="4"/>
      <c r="V47" s="18" t="s">
        <v>197</v>
      </c>
      <c r="W47" s="18">
        <v>11.03</v>
      </c>
      <c r="X47" s="18">
        <v>6.05</v>
      </c>
      <c r="Y47" s="18">
        <v>4.54</v>
      </c>
      <c r="Z47" s="18">
        <v>8.63</v>
      </c>
      <c r="AA47" s="18">
        <v>8.96</v>
      </c>
      <c r="AB47" s="18">
        <v>11.0</v>
      </c>
      <c r="AC47" s="4"/>
      <c r="AD47" s="4"/>
      <c r="AE47" s="4"/>
      <c r="AF47" s="4"/>
      <c r="AG47" s="4"/>
      <c r="AH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8"/>
      <c r="T48" s="4"/>
      <c r="U48" s="4"/>
      <c r="V48" s="4"/>
      <c r="W48" s="4">
        <f t="shared" ref="W48:AB48" si="5">W22+W23+W24+W25+W26+W28+W29+W30+W31+W32+W33+W34+W35+W36+W37+W39+W40+W41+W42+W43+W44+W46+W47-W27-W38-W45</f>
        <v>1779.06</v>
      </c>
      <c r="X48" s="4">
        <f t="shared" si="5"/>
        <v>1766.83</v>
      </c>
      <c r="Y48" s="4">
        <f t="shared" si="5"/>
        <v>1773.29</v>
      </c>
      <c r="Z48" s="4">
        <f t="shared" si="5"/>
        <v>1689.86</v>
      </c>
      <c r="AA48" s="4">
        <f t="shared" si="5"/>
        <v>1666.63</v>
      </c>
      <c r="AB48" s="4">
        <f t="shared" si="5"/>
        <v>1788</v>
      </c>
      <c r="AC48" s="4"/>
      <c r="AD48" s="4"/>
      <c r="AE48" s="4"/>
      <c r="AF48" s="4"/>
      <c r="AG48" s="4"/>
      <c r="AH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7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8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8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8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8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8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8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8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8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8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8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</sheetData>
  <mergeCells count="1">
    <mergeCell ref="A2:M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1" t="s">
        <v>198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6" t="s">
        <v>13</v>
      </c>
      <c r="B4" s="60">
        <f t="shared" ref="B4:M4" si="1">V28</f>
        <v>614.77</v>
      </c>
      <c r="C4" s="60">
        <f t="shared" si="1"/>
        <v>586.48</v>
      </c>
      <c r="D4" s="60">
        <f t="shared" si="1"/>
        <v>540.84</v>
      </c>
      <c r="E4" s="60">
        <f t="shared" si="1"/>
        <v>559.42</v>
      </c>
      <c r="F4" s="60">
        <f t="shared" si="1"/>
        <v>576.83</v>
      </c>
      <c r="G4" s="60">
        <f t="shared" si="1"/>
        <v>538</v>
      </c>
      <c r="H4" s="60" t="str">
        <f t="shared" si="1"/>
        <v/>
      </c>
      <c r="I4" s="60" t="str">
        <f t="shared" si="1"/>
        <v/>
      </c>
      <c r="J4" s="60" t="str">
        <f t="shared" si="1"/>
        <v/>
      </c>
      <c r="K4" s="60" t="str">
        <f t="shared" si="1"/>
        <v/>
      </c>
      <c r="L4" s="60" t="str">
        <f t="shared" si="1"/>
        <v/>
      </c>
      <c r="M4" s="60" t="str">
        <f t="shared" si="1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6" t="s">
        <v>14</v>
      </c>
      <c r="B5" s="7">
        <f>B4*0.4</f>
        <v>245.908</v>
      </c>
      <c r="C5" s="7">
        <f t="shared" ref="C5:M5" si="2">$B$5</f>
        <v>245.908</v>
      </c>
      <c r="D5" s="7">
        <f t="shared" si="2"/>
        <v>245.908</v>
      </c>
      <c r="E5" s="7">
        <f t="shared" si="2"/>
        <v>245.908</v>
      </c>
      <c r="F5" s="7">
        <f t="shared" si="2"/>
        <v>245.908</v>
      </c>
      <c r="G5" s="7">
        <f t="shared" si="2"/>
        <v>245.908</v>
      </c>
      <c r="H5" s="7">
        <f t="shared" si="2"/>
        <v>245.908</v>
      </c>
      <c r="I5" s="7">
        <f t="shared" si="2"/>
        <v>245.908</v>
      </c>
      <c r="J5" s="7">
        <f t="shared" si="2"/>
        <v>245.908</v>
      </c>
      <c r="K5" s="7">
        <f t="shared" si="2"/>
        <v>245.908</v>
      </c>
      <c r="L5" s="7">
        <f t="shared" si="2"/>
        <v>245.908</v>
      </c>
      <c r="M5" s="7">
        <f t="shared" si="2"/>
        <v>245.908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6" t="s">
        <v>15</v>
      </c>
      <c r="B6" s="7">
        <f>ROUND((B4*0.85),0)</f>
        <v>523</v>
      </c>
      <c r="C6" s="7">
        <f t="shared" ref="C6:J6" si="3">$B$6</f>
        <v>523</v>
      </c>
      <c r="D6" s="7">
        <f t="shared" si="3"/>
        <v>523</v>
      </c>
      <c r="E6" s="7">
        <f t="shared" si="3"/>
        <v>523</v>
      </c>
      <c r="F6" s="7">
        <f t="shared" si="3"/>
        <v>523</v>
      </c>
      <c r="G6" s="7">
        <f t="shared" si="3"/>
        <v>523</v>
      </c>
      <c r="H6" s="7">
        <f t="shared" si="3"/>
        <v>523</v>
      </c>
      <c r="I6" s="7">
        <f t="shared" si="3"/>
        <v>523</v>
      </c>
      <c r="J6" s="7">
        <f t="shared" si="3"/>
        <v>523</v>
      </c>
      <c r="K6" s="7">
        <f>ROUND((B4*0.6),0)</f>
        <v>369</v>
      </c>
      <c r="L6" s="7">
        <f t="shared" ref="L6:M6" si="4">$K$6</f>
        <v>369</v>
      </c>
      <c r="M6" s="7">
        <f t="shared" si="4"/>
        <v>369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>
      <c r="A7" s="8" t="s">
        <v>16</v>
      </c>
      <c r="B7" s="8">
        <v>775.0</v>
      </c>
      <c r="C7" s="8">
        <v>775.0</v>
      </c>
      <c r="D7" s="8">
        <v>775.0</v>
      </c>
      <c r="E7" s="8">
        <v>775.0</v>
      </c>
      <c r="F7" s="8">
        <v>775.0</v>
      </c>
      <c r="G7" s="8">
        <v>775.0</v>
      </c>
      <c r="H7" s="8">
        <v>775.0</v>
      </c>
      <c r="I7" s="8">
        <v>775.0</v>
      </c>
      <c r="J7" s="8">
        <v>775.0</v>
      </c>
      <c r="K7" s="8">
        <v>775.0</v>
      </c>
      <c r="L7" s="8">
        <v>775.0</v>
      </c>
      <c r="M7" s="8">
        <v>775.0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/>
      <c r="V13" s="6" t="s">
        <v>1</v>
      </c>
      <c r="W13" s="6" t="s">
        <v>2</v>
      </c>
      <c r="X13" s="6" t="s">
        <v>3</v>
      </c>
      <c r="Y13" s="6" t="s">
        <v>4</v>
      </c>
      <c r="Z13" s="6" t="s">
        <v>5</v>
      </c>
      <c r="AA13" s="6" t="s">
        <v>6</v>
      </c>
      <c r="AB13" s="6" t="s">
        <v>7</v>
      </c>
      <c r="AC13" s="6" t="s">
        <v>8</v>
      </c>
      <c r="AD13" s="6" t="s">
        <v>9</v>
      </c>
      <c r="AE13" s="6" t="s">
        <v>10</v>
      </c>
      <c r="AF13" s="6" t="s">
        <v>11</v>
      </c>
      <c r="AG13" s="6" t="s">
        <v>12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6" t="s">
        <v>13</v>
      </c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8" t="s">
        <v>199</v>
      </c>
      <c r="V15" s="18">
        <v>127.15</v>
      </c>
      <c r="W15" s="18">
        <v>127.15</v>
      </c>
      <c r="X15" s="18">
        <v>127.15</v>
      </c>
      <c r="Y15" s="18">
        <v>105.69</v>
      </c>
      <c r="Z15" s="18">
        <v>119.87</v>
      </c>
      <c r="AA15" s="18">
        <v>125.0</v>
      </c>
      <c r="AB15" s="4"/>
      <c r="AC15" s="4"/>
      <c r="AD15" s="4"/>
      <c r="AE15" s="4"/>
      <c r="AF15" s="4"/>
      <c r="AG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8" t="s">
        <v>200</v>
      </c>
      <c r="V16" s="18">
        <v>188.48</v>
      </c>
      <c r="W16" s="18">
        <v>143.28</v>
      </c>
      <c r="X16" s="18">
        <v>132.19</v>
      </c>
      <c r="Y16" s="18">
        <v>166.75</v>
      </c>
      <c r="Z16" s="18">
        <v>173.75</v>
      </c>
      <c r="AA16" s="18">
        <v>157.0</v>
      </c>
      <c r="AB16" s="4"/>
      <c r="AC16" s="4"/>
      <c r="AD16" s="4"/>
      <c r="AE16" s="4"/>
      <c r="AF16" s="4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8" t="s">
        <v>175</v>
      </c>
      <c r="V17" s="18"/>
      <c r="W17" s="18"/>
      <c r="X17" s="18"/>
      <c r="Y17" s="18"/>
      <c r="Z17" s="18"/>
      <c r="AA17" s="4"/>
      <c r="AB17" s="4"/>
      <c r="AC17" s="4"/>
      <c r="AD17" s="4"/>
      <c r="AE17" s="4"/>
      <c r="AF17" s="4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8" t="s">
        <v>176</v>
      </c>
      <c r="V18" s="18">
        <v>119.19</v>
      </c>
      <c r="W18" s="18">
        <v>152.13</v>
      </c>
      <c r="X18" s="18">
        <v>123.08</v>
      </c>
      <c r="Y18" s="18">
        <v>151.0</v>
      </c>
      <c r="Z18" s="18">
        <v>121.72</v>
      </c>
      <c r="AA18" s="18">
        <v>121.0</v>
      </c>
      <c r="AB18" s="4"/>
      <c r="AC18" s="4"/>
      <c r="AD18" s="4"/>
      <c r="AE18" s="4"/>
      <c r="AF18" s="4"/>
      <c r="AG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8" t="s">
        <v>201</v>
      </c>
      <c r="V19" s="18">
        <v>22.95</v>
      </c>
      <c r="W19" s="18">
        <v>24.18</v>
      </c>
      <c r="X19" s="18">
        <v>24.85</v>
      </c>
      <c r="Y19" s="18">
        <v>26.69</v>
      </c>
      <c r="Z19" s="18">
        <v>25.45</v>
      </c>
      <c r="AA19" s="18">
        <v>19.0</v>
      </c>
      <c r="AB19" s="4"/>
      <c r="AC19" s="4"/>
      <c r="AD19" s="4"/>
      <c r="AE19" s="4"/>
      <c r="AF19" s="4"/>
      <c r="AG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8" t="s">
        <v>202</v>
      </c>
      <c r="V20" s="18">
        <v>13.66</v>
      </c>
      <c r="W20" s="18">
        <v>13.66</v>
      </c>
      <c r="X20" s="18">
        <v>19.74</v>
      </c>
      <c r="Y20" s="18">
        <v>18.93</v>
      </c>
      <c r="Z20" s="18">
        <v>19.71</v>
      </c>
      <c r="AA20" s="18">
        <v>21.0</v>
      </c>
      <c r="AB20" s="4"/>
      <c r="AC20" s="4"/>
      <c r="AD20" s="4"/>
      <c r="AE20" s="4"/>
      <c r="AF20" s="4"/>
      <c r="AG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8" t="s">
        <v>203</v>
      </c>
      <c r="V21" s="18">
        <v>119.61</v>
      </c>
      <c r="W21" s="18">
        <v>102.35</v>
      </c>
      <c r="X21" s="18">
        <v>103.07</v>
      </c>
      <c r="Y21" s="18">
        <v>100.94</v>
      </c>
      <c r="Z21" s="18">
        <v>99.18</v>
      </c>
      <c r="AA21" s="18">
        <v>98.0</v>
      </c>
      <c r="AB21" s="4"/>
      <c r="AC21" s="4"/>
      <c r="AD21" s="4"/>
      <c r="AE21" s="4"/>
      <c r="AF21" s="4"/>
      <c r="AG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8" t="s">
        <v>204</v>
      </c>
      <c r="V22" s="18">
        <v>146.6</v>
      </c>
      <c r="W22" s="18">
        <v>146.6</v>
      </c>
      <c r="X22" s="18">
        <v>146.6</v>
      </c>
      <c r="Y22" s="18">
        <v>143.3</v>
      </c>
      <c r="Z22" s="18">
        <v>135.4</v>
      </c>
      <c r="AA22" s="18">
        <v>134.0</v>
      </c>
      <c r="AB22" s="4"/>
      <c r="AC22" s="4"/>
      <c r="AD22" s="4"/>
      <c r="AE22" s="4"/>
      <c r="AF22" s="4"/>
      <c r="AG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8" t="s">
        <v>205</v>
      </c>
      <c r="V23" s="18"/>
      <c r="W23" s="18"/>
      <c r="X23" s="18"/>
      <c r="Y23" s="18"/>
      <c r="Z23" s="18"/>
      <c r="AA23" s="4"/>
      <c r="AB23" s="4"/>
      <c r="AC23" s="4"/>
      <c r="AD23" s="4"/>
      <c r="AE23" s="4"/>
      <c r="AF23" s="4"/>
      <c r="AG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8" t="s">
        <v>206</v>
      </c>
      <c r="V24" s="18">
        <v>88.16</v>
      </c>
      <c r="W24" s="18">
        <v>88.16</v>
      </c>
      <c r="X24" s="18">
        <v>77.36</v>
      </c>
      <c r="Y24" s="18">
        <v>95.4</v>
      </c>
      <c r="Z24" s="18">
        <v>91.72</v>
      </c>
      <c r="AA24" s="18">
        <v>82.0</v>
      </c>
      <c r="AB24" s="4"/>
      <c r="AC24" s="4"/>
      <c r="AD24" s="4"/>
      <c r="AE24" s="4"/>
      <c r="AF24" s="4"/>
      <c r="AG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8" t="s">
        <v>207</v>
      </c>
      <c r="V25" s="18"/>
      <c r="W25" s="18"/>
      <c r="X25" s="18"/>
      <c r="Y25" s="18"/>
      <c r="Z25" s="18"/>
      <c r="AA25" s="4"/>
      <c r="AB25" s="4"/>
      <c r="AC25" s="4"/>
      <c r="AD25" s="4"/>
      <c r="AE25" s="4"/>
      <c r="AF25" s="4"/>
      <c r="AG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18" t="s">
        <v>208</v>
      </c>
      <c r="V26" s="18">
        <v>34.71</v>
      </c>
      <c r="W26" s="18">
        <v>34.71</v>
      </c>
      <c r="X26" s="18">
        <v>58.48</v>
      </c>
      <c r="Y26" s="18">
        <v>58.48</v>
      </c>
      <c r="Z26" s="18">
        <v>26.53</v>
      </c>
      <c r="AA26" s="18">
        <v>55.0</v>
      </c>
      <c r="AB26" s="4"/>
      <c r="AC26" s="4"/>
      <c r="AD26" s="4"/>
      <c r="AE26" s="4"/>
      <c r="AF26" s="4"/>
      <c r="AG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8" t="s">
        <v>209</v>
      </c>
      <c r="V27" s="18"/>
      <c r="W27" s="18"/>
      <c r="X27" s="18"/>
      <c r="Y27" s="18"/>
      <c r="Z27" s="18"/>
      <c r="AA27" s="4"/>
      <c r="AB27" s="4"/>
      <c r="AC27" s="4"/>
      <c r="AD27" s="4"/>
      <c r="AE27" s="4"/>
      <c r="AF27" s="4"/>
      <c r="AG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>
        <f t="shared" ref="V28:AA28" si="5">SUM(V15:V23)-V24-V25-V26-V27</f>
        <v>614.77</v>
      </c>
      <c r="W28" s="4">
        <f t="shared" si="5"/>
        <v>586.48</v>
      </c>
      <c r="X28" s="4">
        <f t="shared" si="5"/>
        <v>540.84</v>
      </c>
      <c r="Y28" s="4">
        <f t="shared" si="5"/>
        <v>559.42</v>
      </c>
      <c r="Z28" s="4">
        <f t="shared" si="5"/>
        <v>576.83</v>
      </c>
      <c r="AA28" s="4">
        <f t="shared" si="5"/>
        <v>538</v>
      </c>
      <c r="AB28" s="4"/>
      <c r="AC28" s="4"/>
      <c r="AD28" s="4"/>
      <c r="AE28" s="4"/>
      <c r="AF28" s="4"/>
      <c r="AG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18" t="s">
        <v>210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1">
    <mergeCell ref="A2:M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211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B21</f>
        <v>1429.66</v>
      </c>
      <c r="C4" s="7">
        <f t="shared" si="1"/>
        <v>1441.53</v>
      </c>
      <c r="D4" s="7">
        <f t="shared" si="1"/>
        <v>1428.72</v>
      </c>
      <c r="E4" s="7">
        <f t="shared" si="1"/>
        <v>1441.03</v>
      </c>
      <c r="F4" s="7">
        <f t="shared" si="1"/>
        <v>1462.22</v>
      </c>
      <c r="G4" s="7">
        <f t="shared" si="1"/>
        <v>1523.39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571.864</v>
      </c>
      <c r="C5" s="7">
        <f t="shared" ref="C5:M5" si="2">$B$5</f>
        <v>571.864</v>
      </c>
      <c r="D5" s="7">
        <f t="shared" si="2"/>
        <v>571.864</v>
      </c>
      <c r="E5" s="7">
        <f t="shared" si="2"/>
        <v>571.864</v>
      </c>
      <c r="F5" s="7">
        <f t="shared" si="2"/>
        <v>571.864</v>
      </c>
      <c r="G5" s="7">
        <f t="shared" si="2"/>
        <v>571.864</v>
      </c>
      <c r="H5" s="7">
        <f t="shared" si="2"/>
        <v>571.864</v>
      </c>
      <c r="I5" s="7">
        <f t="shared" si="2"/>
        <v>571.864</v>
      </c>
      <c r="J5" s="7">
        <f t="shared" si="2"/>
        <v>571.864</v>
      </c>
      <c r="K5" s="7">
        <f t="shared" si="2"/>
        <v>571.864</v>
      </c>
      <c r="L5" s="7">
        <f t="shared" si="2"/>
        <v>571.864</v>
      </c>
      <c r="M5" s="7">
        <f t="shared" si="2"/>
        <v>571.864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1215</v>
      </c>
      <c r="C6" s="7">
        <f t="shared" ref="C6:J6" si="3">$B$6</f>
        <v>1215</v>
      </c>
      <c r="D6" s="7">
        <f t="shared" si="3"/>
        <v>1215</v>
      </c>
      <c r="E6" s="7">
        <f t="shared" si="3"/>
        <v>1215</v>
      </c>
      <c r="F6" s="7">
        <f t="shared" si="3"/>
        <v>1215</v>
      </c>
      <c r="G6" s="7">
        <f t="shared" si="3"/>
        <v>1215</v>
      </c>
      <c r="H6" s="7">
        <f t="shared" si="3"/>
        <v>1215</v>
      </c>
      <c r="I6" s="7">
        <f t="shared" si="3"/>
        <v>1215</v>
      </c>
      <c r="J6" s="7">
        <f t="shared" si="3"/>
        <v>1215</v>
      </c>
      <c r="K6" s="7">
        <f>ROUND((B4*0.6),0)</f>
        <v>858</v>
      </c>
      <c r="L6" s="7">
        <f t="shared" ref="L6:M6" si="4">$K$6</f>
        <v>858</v>
      </c>
      <c r="M6" s="7">
        <f t="shared" si="4"/>
        <v>858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9">
        <v>1719.0</v>
      </c>
      <c r="C7" s="9">
        <f t="shared" ref="C7:M7" si="5">B7</f>
        <v>1719</v>
      </c>
      <c r="D7" s="9">
        <f t="shared" si="5"/>
        <v>1719</v>
      </c>
      <c r="E7" s="9">
        <f t="shared" si="5"/>
        <v>1719</v>
      </c>
      <c r="F7" s="9">
        <f t="shared" si="5"/>
        <v>1719</v>
      </c>
      <c r="G7" s="9">
        <f t="shared" si="5"/>
        <v>1719</v>
      </c>
      <c r="H7" s="9">
        <f t="shared" si="5"/>
        <v>1719</v>
      </c>
      <c r="I7" s="9">
        <f t="shared" si="5"/>
        <v>1719</v>
      </c>
      <c r="J7" s="9">
        <f t="shared" si="5"/>
        <v>1719</v>
      </c>
      <c r="K7" s="9">
        <f t="shared" si="5"/>
        <v>1719</v>
      </c>
      <c r="L7" s="9">
        <f t="shared" si="5"/>
        <v>1719</v>
      </c>
      <c r="M7" s="9">
        <f t="shared" si="5"/>
        <v>1719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121</v>
      </c>
      <c r="B8" s="18" t="s">
        <v>212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124</v>
      </c>
      <c r="B10" s="4">
        <f>337.65</f>
        <v>337.65</v>
      </c>
      <c r="C10" s="4">
        <f>348.27</f>
        <v>348.27</v>
      </c>
      <c r="D10" s="4">
        <f>372.34</f>
        <v>372.34</v>
      </c>
      <c r="E10" s="4">
        <f> 329.9</f>
        <v>329.9</v>
      </c>
      <c r="F10" s="4">
        <f> 315.26</f>
        <v>315.26</v>
      </c>
      <c r="G10" s="18">
        <v>295.51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213</v>
      </c>
      <c r="B11" s="18">
        <v>107.36</v>
      </c>
      <c r="C11" s="18">
        <v>97.68</v>
      </c>
      <c r="D11" s="18">
        <v>92.47</v>
      </c>
      <c r="E11" s="18">
        <v>104.55</v>
      </c>
      <c r="F11" s="18">
        <v>97.97</v>
      </c>
      <c r="G11" s="18">
        <v>135.35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98</v>
      </c>
      <c r="B12" s="4">
        <f>333.33-80</f>
        <v>253.33</v>
      </c>
      <c r="C12" s="4">
        <f>327.27-80</f>
        <v>247.27</v>
      </c>
      <c r="D12" s="4">
        <f>310.35-80</f>
        <v>230.35</v>
      </c>
      <c r="E12" s="4">
        <f>321.43-80</f>
        <v>241.43</v>
      </c>
      <c r="F12" s="4">
        <f>324.32-80</f>
        <v>244.32</v>
      </c>
      <c r="G12" s="18">
        <v>349.15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29</v>
      </c>
      <c r="B13" s="4">
        <f>58.79</f>
        <v>58.79</v>
      </c>
      <c r="C13" s="4">
        <f>41.75</f>
        <v>41.75</v>
      </c>
      <c r="D13" s="4">
        <f>56.1</f>
        <v>56.1</v>
      </c>
      <c r="E13" s="4">
        <f>81.5</f>
        <v>81.5</v>
      </c>
      <c r="F13" s="4">
        <f>93.7</f>
        <v>93.7</v>
      </c>
      <c r="G13" s="18">
        <v>54.59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214</v>
      </c>
      <c r="B14" s="4">
        <f t="shared" ref="B14:F14" si="6">265</f>
        <v>265</v>
      </c>
      <c r="C14" s="4">
        <f t="shared" si="6"/>
        <v>265</v>
      </c>
      <c r="D14" s="4">
        <f t="shared" si="6"/>
        <v>265</v>
      </c>
      <c r="E14" s="4">
        <f t="shared" si="6"/>
        <v>265</v>
      </c>
      <c r="F14" s="4">
        <f t="shared" si="6"/>
        <v>265</v>
      </c>
      <c r="G14" s="18">
        <v>265.0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215</v>
      </c>
      <c r="B15" s="4">
        <f>201.77</f>
        <v>201.77</v>
      </c>
      <c r="C15" s="4">
        <f>207.77</f>
        <v>207.77</v>
      </c>
      <c r="D15" s="4">
        <f t="shared" ref="D15:F15" si="7">201.77</f>
        <v>201.77</v>
      </c>
      <c r="E15" s="4">
        <f t="shared" si="7"/>
        <v>201.77</v>
      </c>
      <c r="F15" s="4">
        <f t="shared" si="7"/>
        <v>201.77</v>
      </c>
      <c r="G15" s="18">
        <v>201.77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62</v>
      </c>
      <c r="B16" s="4">
        <f>7.19</f>
        <v>7.19</v>
      </c>
      <c r="C16" s="4">
        <f>11.05</f>
        <v>11.05</v>
      </c>
      <c r="D16" s="4">
        <f>9.6</f>
        <v>9.6</v>
      </c>
      <c r="E16" s="4">
        <f>3.79</f>
        <v>3.79</v>
      </c>
      <c r="F16" s="4">
        <f>7.96</f>
        <v>7.96</v>
      </c>
      <c r="G16" s="18">
        <v>9.6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100</v>
      </c>
      <c r="B17" s="4">
        <f t="shared" ref="B17:F17" si="8">120</f>
        <v>120</v>
      </c>
      <c r="C17" s="4">
        <f t="shared" si="8"/>
        <v>120</v>
      </c>
      <c r="D17" s="4">
        <f t="shared" si="8"/>
        <v>120</v>
      </c>
      <c r="E17" s="4">
        <f t="shared" si="8"/>
        <v>120</v>
      </c>
      <c r="F17" s="4">
        <f t="shared" si="8"/>
        <v>120</v>
      </c>
      <c r="G17" s="18">
        <v>120.0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65</v>
      </c>
      <c r="B18" s="4">
        <f>72.45</f>
        <v>72.45</v>
      </c>
      <c r="C18" s="4">
        <f>88.04</f>
        <v>88.04</v>
      </c>
      <c r="D18" s="4">
        <f>68.95</f>
        <v>68.95</v>
      </c>
      <c r="E18" s="4">
        <f>86.5</f>
        <v>86.5</v>
      </c>
      <c r="F18" s="18">
        <v>83.81</v>
      </c>
      <c r="G18" s="18">
        <v>70.25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66</v>
      </c>
      <c r="B19" s="4">
        <f>161.86</f>
        <v>161.86</v>
      </c>
      <c r="C19" s="4">
        <f>167.98</f>
        <v>167.98</v>
      </c>
      <c r="D19" s="4">
        <f>135.22</f>
        <v>135.22</v>
      </c>
      <c r="E19" s="4">
        <f>157.59</f>
        <v>157.59</v>
      </c>
      <c r="F19" s="4">
        <f>154.15</f>
        <v>154.15</v>
      </c>
      <c r="G19" s="18">
        <v>163.17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 t="s">
        <v>216</v>
      </c>
      <c r="B20" s="18">
        <v>-155.74</v>
      </c>
      <c r="C20" s="18">
        <v>-153.28</v>
      </c>
      <c r="D20" s="18">
        <v>-123.08</v>
      </c>
      <c r="E20" s="18">
        <v>-151.0</v>
      </c>
      <c r="F20" s="18">
        <v>-121.72</v>
      </c>
      <c r="G20" s="18">
        <v>-141.0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" t="s">
        <v>126</v>
      </c>
      <c r="B21" s="4">
        <f t="shared" ref="B21:G21" si="9">SUM(B10:B20)</f>
        <v>1429.66</v>
      </c>
      <c r="C21" s="4">
        <f t="shared" si="9"/>
        <v>1441.53</v>
      </c>
      <c r="D21" s="4">
        <f t="shared" si="9"/>
        <v>1428.72</v>
      </c>
      <c r="E21" s="4">
        <f t="shared" si="9"/>
        <v>1441.03</v>
      </c>
      <c r="F21" s="4">
        <f t="shared" si="9"/>
        <v>1462.22</v>
      </c>
      <c r="G21" s="4">
        <f t="shared" si="9"/>
        <v>1523.39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2:M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217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M4" si="1">B17</f>
        <v>143</v>
      </c>
      <c r="C4" s="7">
        <f t="shared" si="1"/>
        <v>113</v>
      </c>
      <c r="D4" s="7">
        <f t="shared" si="1"/>
        <v>132</v>
      </c>
      <c r="E4" s="7">
        <f t="shared" si="1"/>
        <v>142</v>
      </c>
      <c r="F4" s="7">
        <f t="shared" si="1"/>
        <v>146</v>
      </c>
      <c r="G4" s="7">
        <f t="shared" si="1"/>
        <v>158</v>
      </c>
      <c r="H4" s="7">
        <f t="shared" si="1"/>
        <v>0</v>
      </c>
      <c r="I4" s="7">
        <f t="shared" si="1"/>
        <v>0</v>
      </c>
      <c r="J4" s="7">
        <f t="shared" si="1"/>
        <v>0</v>
      </c>
      <c r="K4" s="7">
        <f t="shared" si="1"/>
        <v>0</v>
      </c>
      <c r="L4" s="7">
        <f t="shared" si="1"/>
        <v>0</v>
      </c>
      <c r="M4" s="7">
        <f t="shared" si="1"/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57.2</v>
      </c>
      <c r="C5" s="7">
        <f t="shared" ref="C5:M5" si="2">$B$5</f>
        <v>57.2</v>
      </c>
      <c r="D5" s="7">
        <f t="shared" si="2"/>
        <v>57.2</v>
      </c>
      <c r="E5" s="7">
        <f t="shared" si="2"/>
        <v>57.2</v>
      </c>
      <c r="F5" s="7">
        <f t="shared" si="2"/>
        <v>57.2</v>
      </c>
      <c r="G5" s="7">
        <f t="shared" si="2"/>
        <v>57.2</v>
      </c>
      <c r="H5" s="7">
        <f t="shared" si="2"/>
        <v>57.2</v>
      </c>
      <c r="I5" s="7">
        <f t="shared" si="2"/>
        <v>57.2</v>
      </c>
      <c r="J5" s="7">
        <f t="shared" si="2"/>
        <v>57.2</v>
      </c>
      <c r="K5" s="7">
        <f t="shared" si="2"/>
        <v>57.2</v>
      </c>
      <c r="L5" s="7">
        <f t="shared" si="2"/>
        <v>57.2</v>
      </c>
      <c r="M5" s="7">
        <f t="shared" si="2"/>
        <v>57.2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122</v>
      </c>
      <c r="C6" s="7">
        <f t="shared" ref="C6:J6" si="3">$B$6</f>
        <v>122</v>
      </c>
      <c r="D6" s="7">
        <f t="shared" si="3"/>
        <v>122</v>
      </c>
      <c r="E6" s="7">
        <f t="shared" si="3"/>
        <v>122</v>
      </c>
      <c r="F6" s="7">
        <f t="shared" si="3"/>
        <v>122</v>
      </c>
      <c r="G6" s="7">
        <f t="shared" si="3"/>
        <v>122</v>
      </c>
      <c r="H6" s="7">
        <f t="shared" si="3"/>
        <v>122</v>
      </c>
      <c r="I6" s="7">
        <f t="shared" si="3"/>
        <v>122</v>
      </c>
      <c r="J6" s="7">
        <f t="shared" si="3"/>
        <v>122</v>
      </c>
      <c r="K6" s="7">
        <f>ROUND((B4*0.6),0)</f>
        <v>86</v>
      </c>
      <c r="L6" s="7">
        <f t="shared" ref="L6:M6" si="4">$K$6</f>
        <v>86</v>
      </c>
      <c r="M6" s="7">
        <f t="shared" si="4"/>
        <v>86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9">
        <v>206.2043011</v>
      </c>
      <c r="C7" s="9">
        <v>206.2043011</v>
      </c>
      <c r="D7" s="9">
        <v>206.2043011</v>
      </c>
      <c r="E7" s="9">
        <v>206.2043011</v>
      </c>
      <c r="F7" s="9">
        <v>206.2043011</v>
      </c>
      <c r="G7" s="9">
        <v>206.2043011</v>
      </c>
      <c r="H7" s="9">
        <v>206.2043011</v>
      </c>
      <c r="I7" s="9">
        <v>206.2043011</v>
      </c>
      <c r="J7" s="9">
        <v>206.2043011</v>
      </c>
      <c r="K7" s="9">
        <v>206.2043011</v>
      </c>
      <c r="L7" s="9">
        <v>206.2043011</v>
      </c>
      <c r="M7" s="9">
        <v>206.2043011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5" t="s">
        <v>218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123</v>
      </c>
      <c r="B10" s="8">
        <v>40.0</v>
      </c>
      <c r="C10" s="8">
        <v>37.0</v>
      </c>
      <c r="D10" s="8">
        <v>41.0</v>
      </c>
      <c r="E10" s="8">
        <v>87.0</v>
      </c>
      <c r="F10" s="8">
        <v>114.0</v>
      </c>
      <c r="G10" s="8">
        <v>120.0</v>
      </c>
      <c r="H10" s="33"/>
      <c r="I10" s="33"/>
      <c r="J10" s="33"/>
      <c r="K10" s="33"/>
      <c r="L10" s="33"/>
      <c r="M10" s="33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4" t="s">
        <v>219</v>
      </c>
      <c r="B11" s="34">
        <v>-16.0</v>
      </c>
      <c r="C11" s="34">
        <v>-33.0</v>
      </c>
      <c r="D11" s="34">
        <v>-29.0</v>
      </c>
      <c r="E11" s="34">
        <v>-60.0</v>
      </c>
      <c r="F11" s="34">
        <v>-47.0</v>
      </c>
      <c r="G11" s="34">
        <v>-20.0</v>
      </c>
      <c r="H11" s="35"/>
      <c r="I11" s="35"/>
      <c r="J11" s="35"/>
      <c r="K11" s="35"/>
      <c r="L11" s="35"/>
      <c r="M11" s="35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4" t="s">
        <v>220</v>
      </c>
      <c r="B12" s="34">
        <v>-31.0</v>
      </c>
      <c r="C12" s="34">
        <v>-31.0</v>
      </c>
      <c r="D12" s="34">
        <v>-31.0</v>
      </c>
      <c r="E12" s="34">
        <v>-31.0</v>
      </c>
      <c r="F12" s="34">
        <v>-80.0</v>
      </c>
      <c r="G12" s="34">
        <v>-80.0</v>
      </c>
      <c r="H12" s="35"/>
      <c r="I12" s="35"/>
      <c r="J12" s="35"/>
      <c r="K12" s="35"/>
      <c r="L12" s="35"/>
      <c r="M12" s="35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97</v>
      </c>
      <c r="B13" s="8">
        <v>5.0</v>
      </c>
      <c r="C13" s="8">
        <v>5.0</v>
      </c>
      <c r="D13" s="36">
        <v>5.0</v>
      </c>
      <c r="E13" s="36">
        <v>5.0</v>
      </c>
      <c r="F13" s="36">
        <v>5.0</v>
      </c>
      <c r="G13" s="36">
        <v>5.0</v>
      </c>
      <c r="H13" s="33"/>
      <c r="I13" s="33"/>
      <c r="J13" s="33"/>
      <c r="K13" s="33"/>
      <c r="L13" s="33"/>
      <c r="M13" s="3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124</v>
      </c>
      <c r="B14" s="8">
        <v>30.0</v>
      </c>
      <c r="C14" s="36">
        <v>30.0</v>
      </c>
      <c r="D14" s="36">
        <v>30.0</v>
      </c>
      <c r="E14" s="8">
        <v>33.0</v>
      </c>
      <c r="F14" s="8">
        <v>39.0</v>
      </c>
      <c r="G14" s="8">
        <v>27.0</v>
      </c>
      <c r="H14" s="33"/>
      <c r="I14" s="33"/>
      <c r="J14" s="33"/>
      <c r="K14" s="33"/>
      <c r="L14" s="33"/>
      <c r="M14" s="33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98</v>
      </c>
      <c r="B15" s="8">
        <v>66.0</v>
      </c>
      <c r="C15" s="8">
        <v>59.0</v>
      </c>
      <c r="D15" s="8">
        <v>70.0</v>
      </c>
      <c r="E15" s="8">
        <v>64.0</v>
      </c>
      <c r="F15" s="8">
        <v>71.0</v>
      </c>
      <c r="G15" s="8">
        <v>61.0</v>
      </c>
      <c r="H15" s="33"/>
      <c r="I15" s="33"/>
      <c r="J15" s="33"/>
      <c r="K15" s="33"/>
      <c r="L15" s="33"/>
      <c r="M15" s="33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29</v>
      </c>
      <c r="B16" s="8">
        <v>49.0</v>
      </c>
      <c r="C16" s="8">
        <v>46.0</v>
      </c>
      <c r="D16" s="8">
        <v>46.0</v>
      </c>
      <c r="E16" s="8">
        <v>44.0</v>
      </c>
      <c r="F16" s="8">
        <v>44.0</v>
      </c>
      <c r="G16" s="8">
        <v>45.0</v>
      </c>
      <c r="H16" s="33"/>
      <c r="I16" s="33"/>
      <c r="J16" s="33"/>
      <c r="K16" s="33"/>
      <c r="L16" s="33"/>
      <c r="M16" s="33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1" t="s">
        <v>80</v>
      </c>
      <c r="B17" s="42">
        <f t="shared" ref="B17:M17" si="5">SUM(B10:B16)</f>
        <v>143</v>
      </c>
      <c r="C17" s="42">
        <f t="shared" si="5"/>
        <v>113</v>
      </c>
      <c r="D17" s="42">
        <f t="shared" si="5"/>
        <v>132</v>
      </c>
      <c r="E17" s="42">
        <f t="shared" si="5"/>
        <v>142</v>
      </c>
      <c r="F17" s="42">
        <f t="shared" si="5"/>
        <v>146</v>
      </c>
      <c r="G17" s="42">
        <f t="shared" si="5"/>
        <v>158</v>
      </c>
      <c r="H17" s="42">
        <f t="shared" si="5"/>
        <v>0</v>
      </c>
      <c r="I17" s="42">
        <f t="shared" si="5"/>
        <v>0</v>
      </c>
      <c r="J17" s="42">
        <f t="shared" si="5"/>
        <v>0</v>
      </c>
      <c r="K17" s="42">
        <f t="shared" si="5"/>
        <v>0</v>
      </c>
      <c r="L17" s="42">
        <f t="shared" si="5"/>
        <v>0</v>
      </c>
      <c r="M17" s="42">
        <f t="shared" si="5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18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18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2:M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221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B17</f>
        <v>648.86</v>
      </c>
      <c r="C4" s="7">
        <f t="shared" si="1"/>
        <v>637.95</v>
      </c>
      <c r="D4" s="7">
        <f t="shared" si="1"/>
        <v>649.06</v>
      </c>
      <c r="E4" s="7">
        <f t="shared" si="1"/>
        <v>645.99</v>
      </c>
      <c r="F4" s="7">
        <f t="shared" si="1"/>
        <v>631.52</v>
      </c>
      <c r="G4" s="7">
        <f t="shared" si="1"/>
        <v>693.24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259.544</v>
      </c>
      <c r="C5" s="7">
        <f t="shared" ref="C5:M5" si="2">$B$5</f>
        <v>259.544</v>
      </c>
      <c r="D5" s="7">
        <f t="shared" si="2"/>
        <v>259.544</v>
      </c>
      <c r="E5" s="7">
        <f t="shared" si="2"/>
        <v>259.544</v>
      </c>
      <c r="F5" s="7">
        <f t="shared" si="2"/>
        <v>259.544</v>
      </c>
      <c r="G5" s="7">
        <f t="shared" si="2"/>
        <v>259.544</v>
      </c>
      <c r="H5" s="7">
        <f t="shared" si="2"/>
        <v>259.544</v>
      </c>
      <c r="I5" s="7">
        <f t="shared" si="2"/>
        <v>259.544</v>
      </c>
      <c r="J5" s="7">
        <f t="shared" si="2"/>
        <v>259.544</v>
      </c>
      <c r="K5" s="7">
        <f t="shared" si="2"/>
        <v>259.544</v>
      </c>
      <c r="L5" s="7">
        <f t="shared" si="2"/>
        <v>259.544</v>
      </c>
      <c r="M5" s="7">
        <f t="shared" si="2"/>
        <v>259.544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552</v>
      </c>
      <c r="C6" s="7">
        <f t="shared" ref="C6:J6" si="3">$B$6</f>
        <v>552</v>
      </c>
      <c r="D6" s="7">
        <f t="shared" si="3"/>
        <v>552</v>
      </c>
      <c r="E6" s="7">
        <f t="shared" si="3"/>
        <v>552</v>
      </c>
      <c r="F6" s="7">
        <f t="shared" si="3"/>
        <v>552</v>
      </c>
      <c r="G6" s="7">
        <f t="shared" si="3"/>
        <v>552</v>
      </c>
      <c r="H6" s="7">
        <f t="shared" si="3"/>
        <v>552</v>
      </c>
      <c r="I6" s="7">
        <f t="shared" si="3"/>
        <v>552</v>
      </c>
      <c r="J6" s="7">
        <f t="shared" si="3"/>
        <v>552</v>
      </c>
      <c r="K6" s="7">
        <f>ROUND((B4*0.6),0)</f>
        <v>389</v>
      </c>
      <c r="L6" s="7">
        <f t="shared" ref="L6:M6" si="4">$K$6</f>
        <v>389</v>
      </c>
      <c r="M6" s="7">
        <f t="shared" si="4"/>
        <v>389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814.0</v>
      </c>
      <c r="C7" s="8">
        <f t="shared" ref="C7:M7" si="5">B7</f>
        <v>814</v>
      </c>
      <c r="D7" s="8">
        <f t="shared" si="5"/>
        <v>814</v>
      </c>
      <c r="E7" s="8">
        <f t="shared" si="5"/>
        <v>814</v>
      </c>
      <c r="F7" s="8">
        <f t="shared" si="5"/>
        <v>814</v>
      </c>
      <c r="G7" s="8">
        <f t="shared" si="5"/>
        <v>814</v>
      </c>
      <c r="H7" s="8">
        <f t="shared" si="5"/>
        <v>814</v>
      </c>
      <c r="I7" s="8">
        <f t="shared" si="5"/>
        <v>814</v>
      </c>
      <c r="J7" s="8">
        <f t="shared" si="5"/>
        <v>814</v>
      </c>
      <c r="K7" s="8">
        <f t="shared" si="5"/>
        <v>814</v>
      </c>
      <c r="L7" s="8">
        <f t="shared" si="5"/>
        <v>814</v>
      </c>
      <c r="M7" s="8">
        <f t="shared" si="5"/>
        <v>814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121</v>
      </c>
      <c r="B8" s="18" t="s">
        <v>222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123</v>
      </c>
      <c r="B10" s="18">
        <v>283.78</v>
      </c>
      <c r="C10" s="18">
        <v>271.53</v>
      </c>
      <c r="D10" s="18">
        <v>280.0</v>
      </c>
      <c r="E10" s="18">
        <v>305.32</v>
      </c>
      <c r="F10" s="18">
        <v>309.12</v>
      </c>
      <c r="G10" s="18">
        <v>300.86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124</v>
      </c>
      <c r="B11" s="18">
        <v>75.63</v>
      </c>
      <c r="C11" s="18">
        <v>70.0</v>
      </c>
      <c r="D11" s="18">
        <v>70.0</v>
      </c>
      <c r="E11" s="4">
        <f>51.63</f>
        <v>51.63</v>
      </c>
      <c r="F11" s="4">
        <f>47.61</f>
        <v>47.61</v>
      </c>
      <c r="G11" s="18">
        <v>103.64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98</v>
      </c>
      <c r="B12" s="18">
        <v>20.0</v>
      </c>
      <c r="C12" s="18">
        <v>20.0</v>
      </c>
      <c r="D12" s="18">
        <v>30.0</v>
      </c>
      <c r="E12" s="18">
        <v>30.0</v>
      </c>
      <c r="F12" s="18">
        <v>30.0</v>
      </c>
      <c r="G12" s="18">
        <v>25.0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29</v>
      </c>
      <c r="B13" s="18">
        <v>29.0</v>
      </c>
      <c r="C13" s="18">
        <v>29.31</v>
      </c>
      <c r="D13" s="4">
        <f>26.65</f>
        <v>26.65</v>
      </c>
      <c r="E13" s="4">
        <f>30.41</f>
        <v>30.41</v>
      </c>
      <c r="F13" s="4">
        <f>23.68</f>
        <v>23.68</v>
      </c>
      <c r="G13" s="18">
        <v>27.81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34</v>
      </c>
      <c r="B14" s="18">
        <v>5.91</v>
      </c>
      <c r="C14" s="18">
        <v>5.91</v>
      </c>
      <c r="D14" s="4">
        <f>5.91</f>
        <v>5.91</v>
      </c>
      <c r="E14" s="4">
        <f>6.5</f>
        <v>6.5</v>
      </c>
      <c r="F14" s="18">
        <v>4.97</v>
      </c>
      <c r="G14" s="18">
        <v>11.19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223</v>
      </c>
      <c r="B15" s="18">
        <v>151.5</v>
      </c>
      <c r="C15" s="18">
        <v>151.5</v>
      </c>
      <c r="D15" s="4">
        <f>151.5</f>
        <v>151.5</v>
      </c>
      <c r="E15" s="4">
        <f>149.61</f>
        <v>149.61</v>
      </c>
      <c r="F15" s="4">
        <f>154.04</f>
        <v>154.04</v>
      </c>
      <c r="G15" s="18">
        <v>164.44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224</v>
      </c>
      <c r="B16" s="18">
        <v>83.04</v>
      </c>
      <c r="C16" s="18">
        <v>89.7</v>
      </c>
      <c r="D16" s="18">
        <v>85.0</v>
      </c>
      <c r="E16" s="4">
        <f>72.52</f>
        <v>72.52</v>
      </c>
      <c r="F16" s="4">
        <f>62.1</f>
        <v>62.1</v>
      </c>
      <c r="G16" s="18">
        <v>60.3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126</v>
      </c>
      <c r="B17" s="4">
        <f t="shared" ref="B17:G17" si="6">SUM(B10:B16)</f>
        <v>648.86</v>
      </c>
      <c r="C17" s="4">
        <f t="shared" si="6"/>
        <v>637.95</v>
      </c>
      <c r="D17" s="4">
        <f t="shared" si="6"/>
        <v>649.06</v>
      </c>
      <c r="E17" s="4">
        <f t="shared" si="6"/>
        <v>645.99</v>
      </c>
      <c r="F17" s="4">
        <f t="shared" si="6"/>
        <v>631.52</v>
      </c>
      <c r="G17" s="4">
        <f t="shared" si="6"/>
        <v>693.24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2:M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20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18" t="s">
        <v>21</v>
      </c>
      <c r="Q3" s="18" t="s">
        <v>22</v>
      </c>
      <c r="R3" s="18" t="s">
        <v>23</v>
      </c>
      <c r="S3" s="18" t="s">
        <v>24</v>
      </c>
      <c r="T3" s="18" t="s">
        <v>25</v>
      </c>
      <c r="U3" s="18" t="s">
        <v>26</v>
      </c>
      <c r="V3" s="4"/>
      <c r="W3" s="4"/>
      <c r="X3" s="4"/>
      <c r="Y3" s="4"/>
      <c r="Z3" s="4"/>
    </row>
    <row r="4">
      <c r="A4" s="6" t="s">
        <v>13</v>
      </c>
      <c r="B4" s="60">
        <f t="shared" ref="B4:G4" si="1">P7</f>
        <v>142</v>
      </c>
      <c r="C4" s="60">
        <f t="shared" si="1"/>
        <v>126</v>
      </c>
      <c r="D4" s="60">
        <f t="shared" si="1"/>
        <v>136</v>
      </c>
      <c r="E4" s="60">
        <f t="shared" si="1"/>
        <v>129</v>
      </c>
      <c r="F4" s="60">
        <f t="shared" si="1"/>
        <v>144</v>
      </c>
      <c r="G4" s="60">
        <f t="shared" si="1"/>
        <v>149</v>
      </c>
      <c r="H4" s="7"/>
      <c r="I4" s="7"/>
      <c r="J4" s="7"/>
      <c r="K4" s="7"/>
      <c r="L4" s="7"/>
      <c r="M4" s="7"/>
      <c r="N4" s="4"/>
      <c r="O4" s="18" t="s">
        <v>123</v>
      </c>
      <c r="P4" s="18">
        <v>70.0</v>
      </c>
      <c r="Q4" s="18">
        <v>85.0</v>
      </c>
      <c r="R4" s="18">
        <v>80.0</v>
      </c>
      <c r="S4" s="18">
        <v>67.0</v>
      </c>
      <c r="T4" s="18">
        <v>91.0</v>
      </c>
      <c r="U4" s="18">
        <v>90.0</v>
      </c>
      <c r="V4" s="4"/>
      <c r="W4" s="4"/>
      <c r="X4" s="4"/>
      <c r="Y4" s="4"/>
      <c r="Z4" s="4"/>
    </row>
    <row r="5">
      <c r="A5" s="6" t="s">
        <v>14</v>
      </c>
      <c r="B5" s="7">
        <f>B4*0.4</f>
        <v>56.8</v>
      </c>
      <c r="C5" s="7">
        <f t="shared" ref="C5:M5" si="2">$B$5</f>
        <v>56.8</v>
      </c>
      <c r="D5" s="7">
        <f t="shared" si="2"/>
        <v>56.8</v>
      </c>
      <c r="E5" s="7">
        <f t="shared" si="2"/>
        <v>56.8</v>
      </c>
      <c r="F5" s="7">
        <f t="shared" si="2"/>
        <v>56.8</v>
      </c>
      <c r="G5" s="7">
        <f t="shared" si="2"/>
        <v>56.8</v>
      </c>
      <c r="H5" s="7">
        <f t="shared" si="2"/>
        <v>56.8</v>
      </c>
      <c r="I5" s="7">
        <f t="shared" si="2"/>
        <v>56.8</v>
      </c>
      <c r="J5" s="7">
        <f t="shared" si="2"/>
        <v>56.8</v>
      </c>
      <c r="K5" s="7">
        <f t="shared" si="2"/>
        <v>56.8</v>
      </c>
      <c r="L5" s="7">
        <f t="shared" si="2"/>
        <v>56.8</v>
      </c>
      <c r="M5" s="7">
        <f t="shared" si="2"/>
        <v>56.8</v>
      </c>
      <c r="N5" s="4"/>
      <c r="O5" s="18" t="s">
        <v>124</v>
      </c>
      <c r="P5" s="18">
        <v>60.0</v>
      </c>
      <c r="Q5" s="18">
        <v>32.0</v>
      </c>
      <c r="R5" s="18">
        <v>44.0</v>
      </c>
      <c r="S5" s="18">
        <v>52.0</v>
      </c>
      <c r="T5" s="18">
        <v>37.0</v>
      </c>
      <c r="U5" s="18">
        <v>44.0</v>
      </c>
      <c r="V5" s="4"/>
      <c r="W5" s="4"/>
      <c r="X5" s="4"/>
      <c r="Y5" s="4"/>
      <c r="Z5" s="4"/>
    </row>
    <row r="6">
      <c r="A6" s="6" t="s">
        <v>15</v>
      </c>
      <c r="B6" s="7">
        <f>ROUND((B4*0.85),0)</f>
        <v>121</v>
      </c>
      <c r="C6" s="7">
        <f t="shared" ref="C6:J6" si="3">$B$6</f>
        <v>121</v>
      </c>
      <c r="D6" s="7">
        <f t="shared" si="3"/>
        <v>121</v>
      </c>
      <c r="E6" s="7">
        <f t="shared" si="3"/>
        <v>121</v>
      </c>
      <c r="F6" s="7">
        <f t="shared" si="3"/>
        <v>121</v>
      </c>
      <c r="G6" s="7">
        <f t="shared" si="3"/>
        <v>121</v>
      </c>
      <c r="H6" s="7">
        <f t="shared" si="3"/>
        <v>121</v>
      </c>
      <c r="I6" s="7">
        <f t="shared" si="3"/>
        <v>121</v>
      </c>
      <c r="J6" s="7">
        <f t="shared" si="3"/>
        <v>121</v>
      </c>
      <c r="K6" s="7">
        <f>ROUND((B4*0.6),0)</f>
        <v>85</v>
      </c>
      <c r="L6" s="7">
        <f t="shared" ref="L6:M6" si="4">$K$6</f>
        <v>85</v>
      </c>
      <c r="M6" s="7">
        <f t="shared" si="4"/>
        <v>85</v>
      </c>
      <c r="N6" s="4"/>
      <c r="O6" s="18" t="s">
        <v>125</v>
      </c>
      <c r="P6" s="18">
        <v>12.0</v>
      </c>
      <c r="Q6" s="18">
        <v>9.0</v>
      </c>
      <c r="R6" s="18">
        <v>12.0</v>
      </c>
      <c r="S6" s="18">
        <v>10.0</v>
      </c>
      <c r="T6" s="18">
        <v>16.0</v>
      </c>
      <c r="U6" s="18">
        <v>15.0</v>
      </c>
      <c r="V6" s="4"/>
      <c r="W6" s="4"/>
      <c r="X6" s="4"/>
      <c r="Y6" s="4"/>
      <c r="Z6" s="4"/>
    </row>
    <row r="7">
      <c r="A7" s="8" t="s">
        <v>16</v>
      </c>
      <c r="B7" s="8">
        <v>207.0</v>
      </c>
      <c r="C7" s="33">
        <f t="shared" ref="C7:M7" si="5">$B$7</f>
        <v>207</v>
      </c>
      <c r="D7" s="33">
        <f t="shared" si="5"/>
        <v>207</v>
      </c>
      <c r="E7" s="33">
        <f t="shared" si="5"/>
        <v>207</v>
      </c>
      <c r="F7" s="33">
        <f t="shared" si="5"/>
        <v>207</v>
      </c>
      <c r="G7" s="33">
        <f t="shared" si="5"/>
        <v>207</v>
      </c>
      <c r="H7" s="33">
        <f t="shared" si="5"/>
        <v>207</v>
      </c>
      <c r="I7" s="33">
        <f t="shared" si="5"/>
        <v>207</v>
      </c>
      <c r="J7" s="33">
        <f t="shared" si="5"/>
        <v>207</v>
      </c>
      <c r="K7" s="33">
        <f t="shared" si="5"/>
        <v>207</v>
      </c>
      <c r="L7" s="33">
        <f t="shared" si="5"/>
        <v>207</v>
      </c>
      <c r="M7" s="33">
        <f t="shared" si="5"/>
        <v>207</v>
      </c>
      <c r="N7" s="4"/>
      <c r="O7" s="4"/>
      <c r="P7" s="4">
        <f t="shared" ref="P7:U7" si="6">SUM(P4:P6)</f>
        <v>142</v>
      </c>
      <c r="Q7" s="4">
        <f t="shared" si="6"/>
        <v>126</v>
      </c>
      <c r="R7" s="4">
        <f t="shared" si="6"/>
        <v>136</v>
      </c>
      <c r="S7" s="4">
        <f t="shared" si="6"/>
        <v>129</v>
      </c>
      <c r="T7" s="4">
        <f t="shared" si="6"/>
        <v>144</v>
      </c>
      <c r="U7" s="4">
        <f t="shared" si="6"/>
        <v>149</v>
      </c>
      <c r="V7" s="4"/>
      <c r="W7" s="4"/>
      <c r="X7" s="4"/>
      <c r="Y7" s="4"/>
      <c r="Z7" s="4"/>
    </row>
    <row r="8">
      <c r="A8" s="18" t="s">
        <v>226</v>
      </c>
      <c r="B8" s="18" t="s">
        <v>227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7">
        <v>133.0</v>
      </c>
      <c r="C36" s="7">
        <v>141.0</v>
      </c>
      <c r="D36" s="7">
        <v>143.0</v>
      </c>
      <c r="E36" s="7">
        <v>138.0</v>
      </c>
      <c r="F36" s="7">
        <v>147.0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228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229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B36</f>
        <v>670</v>
      </c>
      <c r="C4" s="7">
        <f t="shared" si="1"/>
        <v>664.88</v>
      </c>
      <c r="D4" s="7">
        <f t="shared" si="1"/>
        <v>674.47</v>
      </c>
      <c r="E4" s="7">
        <f t="shared" si="1"/>
        <v>674.53</v>
      </c>
      <c r="F4" s="7">
        <f t="shared" si="1"/>
        <v>659.47</v>
      </c>
      <c r="G4" s="7">
        <f t="shared" si="1"/>
        <v>607.92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268</v>
      </c>
      <c r="C5" s="7">
        <f t="shared" ref="C5:M5" si="2">$B$5</f>
        <v>268</v>
      </c>
      <c r="D5" s="7">
        <f t="shared" si="2"/>
        <v>268</v>
      </c>
      <c r="E5" s="7">
        <f t="shared" si="2"/>
        <v>268</v>
      </c>
      <c r="F5" s="7">
        <f t="shared" si="2"/>
        <v>268</v>
      </c>
      <c r="G5" s="7">
        <f t="shared" si="2"/>
        <v>268</v>
      </c>
      <c r="H5" s="7">
        <f t="shared" si="2"/>
        <v>268</v>
      </c>
      <c r="I5" s="7">
        <f t="shared" si="2"/>
        <v>268</v>
      </c>
      <c r="J5" s="7">
        <f t="shared" si="2"/>
        <v>268</v>
      </c>
      <c r="K5" s="7">
        <f t="shared" si="2"/>
        <v>268</v>
      </c>
      <c r="L5" s="7">
        <f t="shared" si="2"/>
        <v>268</v>
      </c>
      <c r="M5" s="7">
        <f t="shared" si="2"/>
        <v>268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570</v>
      </c>
      <c r="C6" s="7">
        <f t="shared" ref="C6:J6" si="3">$B$6</f>
        <v>570</v>
      </c>
      <c r="D6" s="7">
        <f t="shared" si="3"/>
        <v>570</v>
      </c>
      <c r="E6" s="7">
        <f t="shared" si="3"/>
        <v>570</v>
      </c>
      <c r="F6" s="7">
        <f t="shared" si="3"/>
        <v>570</v>
      </c>
      <c r="G6" s="7">
        <f t="shared" si="3"/>
        <v>570</v>
      </c>
      <c r="H6" s="7">
        <f t="shared" si="3"/>
        <v>570</v>
      </c>
      <c r="I6" s="7">
        <f t="shared" si="3"/>
        <v>570</v>
      </c>
      <c r="J6" s="7">
        <f t="shared" si="3"/>
        <v>570</v>
      </c>
      <c r="K6" s="7">
        <f>ROUND((B4*0.6),0)</f>
        <v>402</v>
      </c>
      <c r="L6" s="7">
        <f t="shared" ref="L6:M6" si="4">$K$6</f>
        <v>402</v>
      </c>
      <c r="M6" s="7">
        <f t="shared" si="4"/>
        <v>402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853.0</v>
      </c>
      <c r="C7" s="8">
        <v>853.0</v>
      </c>
      <c r="D7" s="8">
        <v>853.0</v>
      </c>
      <c r="E7" s="8">
        <v>853.0</v>
      </c>
      <c r="F7" s="8">
        <v>853.0</v>
      </c>
      <c r="G7" s="8">
        <v>853.0</v>
      </c>
      <c r="H7" s="8">
        <v>853.0</v>
      </c>
      <c r="I7" s="8">
        <v>853.0</v>
      </c>
      <c r="J7" s="8">
        <v>853.0</v>
      </c>
      <c r="K7" s="8">
        <v>853.0</v>
      </c>
      <c r="L7" s="8">
        <v>853.0</v>
      </c>
      <c r="M7" s="8">
        <v>853.0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8" t="s">
        <v>230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/>
      <c r="B35" s="6" t="s">
        <v>1</v>
      </c>
      <c r="C35" s="6" t="s">
        <v>2</v>
      </c>
      <c r="D35" s="6" t="s">
        <v>3</v>
      </c>
      <c r="E35" s="6" t="s">
        <v>4</v>
      </c>
      <c r="F35" s="6" t="s">
        <v>5</v>
      </c>
      <c r="G35" s="6" t="s">
        <v>6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13</v>
      </c>
      <c r="B36" s="62">
        <v>670.0</v>
      </c>
      <c r="C36" s="62">
        <f t="shared" ref="C36:G36" si="5">SUM(C37:C42)</f>
        <v>664.88</v>
      </c>
      <c r="D36" s="62">
        <f t="shared" si="5"/>
        <v>674.47</v>
      </c>
      <c r="E36" s="62">
        <f t="shared" si="5"/>
        <v>674.53</v>
      </c>
      <c r="F36" s="62">
        <f t="shared" si="5"/>
        <v>659.47</v>
      </c>
      <c r="G36" s="62">
        <f t="shared" si="5"/>
        <v>607.92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123</v>
      </c>
      <c r="B37" s="8">
        <v>45.0</v>
      </c>
      <c r="C37" s="8">
        <v>48.85</v>
      </c>
      <c r="D37" s="8">
        <v>35.26</v>
      </c>
      <c r="E37" s="8">
        <v>54.19</v>
      </c>
      <c r="F37" s="8">
        <v>63.72</v>
      </c>
      <c r="G37" s="8">
        <v>56.19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231</v>
      </c>
      <c r="B38" s="8">
        <v>107.85</v>
      </c>
      <c r="C38" s="8">
        <v>108.01</v>
      </c>
      <c r="D38" s="8">
        <v>49.88</v>
      </c>
      <c r="E38" s="8">
        <v>36.42</v>
      </c>
      <c r="F38" s="8">
        <v>37.74</v>
      </c>
      <c r="G38" s="8">
        <v>32.05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 t="s">
        <v>232</v>
      </c>
      <c r="B39" s="8">
        <v>164.82</v>
      </c>
      <c r="C39" s="8">
        <v>157.38</v>
      </c>
      <c r="D39" s="8">
        <v>162.33</v>
      </c>
      <c r="E39" s="8">
        <v>158.73</v>
      </c>
      <c r="F39" s="8">
        <v>155.34</v>
      </c>
      <c r="G39" s="8">
        <v>128.8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 t="s">
        <v>233</v>
      </c>
      <c r="B40" s="8">
        <v>37.64</v>
      </c>
      <c r="C40" s="8">
        <v>46.17</v>
      </c>
      <c r="D40" s="76">
        <v>46.17</v>
      </c>
      <c r="E40" s="76">
        <v>46.17</v>
      </c>
      <c r="F40" s="76">
        <v>46.17</v>
      </c>
      <c r="G40" s="8">
        <v>50.01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 t="s">
        <v>98</v>
      </c>
      <c r="B41" s="8">
        <v>230.0</v>
      </c>
      <c r="C41" s="8">
        <v>227.97</v>
      </c>
      <c r="D41" s="8">
        <v>304.33</v>
      </c>
      <c r="E41" s="8">
        <v>302.52</v>
      </c>
      <c r="F41" s="8">
        <v>280.0</v>
      </c>
      <c r="G41" s="8">
        <v>289.27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 t="s">
        <v>234</v>
      </c>
      <c r="B42" s="8">
        <v>76.5</v>
      </c>
      <c r="C42" s="8">
        <v>76.5</v>
      </c>
      <c r="D42" s="8">
        <v>76.5</v>
      </c>
      <c r="E42" s="8">
        <v>76.5</v>
      </c>
      <c r="F42" s="8">
        <v>76.5</v>
      </c>
      <c r="G42" s="8">
        <v>51.6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3" max="23" width="17.0"/>
  </cols>
  <sheetData>
    <row r="1">
      <c r="A1" s="18" t="s">
        <v>158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30" t="s">
        <v>235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6" t="s">
        <v>13</v>
      </c>
      <c r="B4" s="60">
        <f t="shared" ref="B4:M4" si="1">X27</f>
        <v>1658.8</v>
      </c>
      <c r="C4" s="60">
        <f t="shared" si="1"/>
        <v>1637.85</v>
      </c>
      <c r="D4" s="60">
        <f t="shared" si="1"/>
        <v>1625.4</v>
      </c>
      <c r="E4" s="60">
        <f t="shared" si="1"/>
        <v>1637.84</v>
      </c>
      <c r="F4" s="60">
        <f t="shared" si="1"/>
        <v>1687.53</v>
      </c>
      <c r="G4" s="60">
        <f t="shared" si="1"/>
        <v>1368</v>
      </c>
      <c r="H4" s="60" t="str">
        <f t="shared" si="1"/>
        <v/>
      </c>
      <c r="I4" s="60" t="str">
        <f t="shared" si="1"/>
        <v/>
      </c>
      <c r="J4" s="60" t="str">
        <f t="shared" si="1"/>
        <v/>
      </c>
      <c r="K4" s="60" t="str">
        <f t="shared" si="1"/>
        <v/>
      </c>
      <c r="L4" s="60" t="str">
        <f t="shared" si="1"/>
        <v/>
      </c>
      <c r="M4" s="60" t="str">
        <f t="shared" si="1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6" t="s">
        <v>14</v>
      </c>
      <c r="B5" s="7">
        <f>B4*0.4</f>
        <v>663.52</v>
      </c>
      <c r="C5" s="7">
        <f t="shared" ref="C5:M5" si="2">$B$5</f>
        <v>663.52</v>
      </c>
      <c r="D5" s="7">
        <f t="shared" si="2"/>
        <v>663.52</v>
      </c>
      <c r="E5" s="7">
        <f t="shared" si="2"/>
        <v>663.52</v>
      </c>
      <c r="F5" s="7">
        <f t="shared" si="2"/>
        <v>663.52</v>
      </c>
      <c r="G5" s="7">
        <f t="shared" si="2"/>
        <v>663.52</v>
      </c>
      <c r="H5" s="7">
        <f t="shared" si="2"/>
        <v>663.52</v>
      </c>
      <c r="I5" s="7">
        <f t="shared" si="2"/>
        <v>663.52</v>
      </c>
      <c r="J5" s="7">
        <f t="shared" si="2"/>
        <v>663.52</v>
      </c>
      <c r="K5" s="7">
        <f t="shared" si="2"/>
        <v>663.52</v>
      </c>
      <c r="L5" s="7">
        <f t="shared" si="2"/>
        <v>663.52</v>
      </c>
      <c r="M5" s="7">
        <f t="shared" si="2"/>
        <v>663.52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6" t="s">
        <v>15</v>
      </c>
      <c r="B6" s="7">
        <f>ROUND((B4*0.85),0)</f>
        <v>1410</v>
      </c>
      <c r="C6" s="7">
        <f t="shared" ref="C6:J6" si="3">$B$6</f>
        <v>1410</v>
      </c>
      <c r="D6" s="7">
        <f t="shared" si="3"/>
        <v>1410</v>
      </c>
      <c r="E6" s="7">
        <f t="shared" si="3"/>
        <v>1410</v>
      </c>
      <c r="F6" s="7">
        <f t="shared" si="3"/>
        <v>1410</v>
      </c>
      <c r="G6" s="7">
        <f t="shared" si="3"/>
        <v>1410</v>
      </c>
      <c r="H6" s="7">
        <f t="shared" si="3"/>
        <v>1410</v>
      </c>
      <c r="I6" s="7">
        <f t="shared" si="3"/>
        <v>1410</v>
      </c>
      <c r="J6" s="7">
        <f t="shared" si="3"/>
        <v>1410</v>
      </c>
      <c r="K6" s="7">
        <f>ROUND((B4*0.6),0)</f>
        <v>995</v>
      </c>
      <c r="L6" s="7">
        <f t="shared" ref="L6:M6" si="4">$K$6</f>
        <v>995</v>
      </c>
      <c r="M6" s="7">
        <f t="shared" si="4"/>
        <v>995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>
      <c r="A7" s="8" t="s">
        <v>16</v>
      </c>
      <c r="B7" s="9">
        <v>2214.0</v>
      </c>
      <c r="C7" s="9">
        <v>2214.0</v>
      </c>
      <c r="D7" s="9">
        <v>2214.0</v>
      </c>
      <c r="E7" s="9">
        <v>2214.0</v>
      </c>
      <c r="F7" s="9">
        <v>2214.0</v>
      </c>
      <c r="G7" s="9">
        <v>2214.0</v>
      </c>
      <c r="H7" s="9">
        <v>2214.0</v>
      </c>
      <c r="I7" s="9">
        <v>2214.0</v>
      </c>
      <c r="J7" s="9">
        <v>2214.0</v>
      </c>
      <c r="K7" s="9">
        <v>2214.0</v>
      </c>
      <c r="L7" s="9">
        <v>2214.0</v>
      </c>
      <c r="M7" s="9">
        <v>2214.0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6" t="s">
        <v>1</v>
      </c>
      <c r="Y13" s="6" t="s">
        <v>2</v>
      </c>
      <c r="Z13" s="6" t="s">
        <v>3</v>
      </c>
      <c r="AA13" s="6" t="s">
        <v>4</v>
      </c>
      <c r="AB13" s="6" t="s">
        <v>5</v>
      </c>
      <c r="AC13" s="6" t="s">
        <v>6</v>
      </c>
      <c r="AD13" s="6" t="s">
        <v>7</v>
      </c>
      <c r="AE13" s="6" t="s">
        <v>8</v>
      </c>
      <c r="AF13" s="6" t="s">
        <v>9</v>
      </c>
      <c r="AG13" s="6" t="s">
        <v>10</v>
      </c>
      <c r="AH13" s="6" t="s">
        <v>11</v>
      </c>
      <c r="AI13" s="6" t="s">
        <v>12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6" t="s">
        <v>13</v>
      </c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8" t="s">
        <v>199</v>
      </c>
      <c r="X15" s="18">
        <v>388.81</v>
      </c>
      <c r="Y15" s="18">
        <v>359.55</v>
      </c>
      <c r="Z15" s="18">
        <v>350.0</v>
      </c>
      <c r="AA15" s="18">
        <v>350.0</v>
      </c>
      <c r="AB15" s="18">
        <v>398.91</v>
      </c>
      <c r="AC15" s="18">
        <v>420.0</v>
      </c>
      <c r="AD15" s="4"/>
      <c r="AE15" s="4"/>
      <c r="AF15" s="4"/>
      <c r="AG15" s="4"/>
      <c r="AH15" s="4"/>
      <c r="AI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8" t="s">
        <v>200</v>
      </c>
      <c r="X16" s="18">
        <v>56.26</v>
      </c>
      <c r="Y16" s="18">
        <v>61.41</v>
      </c>
      <c r="Z16" s="18">
        <v>76.2</v>
      </c>
      <c r="AA16" s="18">
        <v>69.12</v>
      </c>
      <c r="AB16" s="18">
        <v>94.09</v>
      </c>
      <c r="AC16" s="18">
        <v>91.0</v>
      </c>
      <c r="AD16" s="4"/>
      <c r="AE16" s="4"/>
      <c r="AF16" s="4"/>
      <c r="AG16" s="4"/>
      <c r="AH16" s="4"/>
      <c r="AI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8" t="s">
        <v>236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4"/>
      <c r="AD17" s="4"/>
      <c r="AE17" s="4"/>
      <c r="AF17" s="4"/>
      <c r="AG17" s="4"/>
      <c r="AH17" s="4"/>
      <c r="AI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8" t="s">
        <v>175</v>
      </c>
      <c r="X18" s="18">
        <v>112.0</v>
      </c>
      <c r="Y18" s="18">
        <v>112.0</v>
      </c>
      <c r="Z18" s="18">
        <v>112.0</v>
      </c>
      <c r="AA18" s="18">
        <v>112.0</v>
      </c>
      <c r="AB18" s="18">
        <v>112.0</v>
      </c>
      <c r="AC18" s="18">
        <v>119.0</v>
      </c>
      <c r="AD18" s="4"/>
      <c r="AE18" s="4"/>
      <c r="AF18" s="4"/>
      <c r="AG18" s="4"/>
      <c r="AH18" s="4"/>
      <c r="AI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8" t="s">
        <v>176</v>
      </c>
      <c r="X19" s="18"/>
      <c r="Y19" s="18"/>
      <c r="Z19" s="18"/>
      <c r="AA19" s="18"/>
      <c r="AB19" s="18"/>
      <c r="AC19" s="4"/>
      <c r="AD19" s="4"/>
      <c r="AE19" s="4"/>
      <c r="AF19" s="4"/>
      <c r="AG19" s="4"/>
      <c r="AH19" s="4"/>
      <c r="AI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8" t="s">
        <v>201</v>
      </c>
      <c r="X20" s="18">
        <v>576.3</v>
      </c>
      <c r="Y20" s="18">
        <v>576.3</v>
      </c>
      <c r="Z20" s="18">
        <v>576.3</v>
      </c>
      <c r="AA20" s="18">
        <v>576.3</v>
      </c>
      <c r="AB20" s="18">
        <v>576.3</v>
      </c>
      <c r="AC20" s="18">
        <v>331.0</v>
      </c>
      <c r="AD20" s="4"/>
      <c r="AE20" s="4"/>
      <c r="AF20" s="4"/>
      <c r="AG20" s="4"/>
      <c r="AH20" s="4"/>
      <c r="AI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8" t="s">
        <v>202</v>
      </c>
      <c r="X21" s="18">
        <v>194.81</v>
      </c>
      <c r="Y21" s="18">
        <v>181.88</v>
      </c>
      <c r="Z21" s="18">
        <v>161.05</v>
      </c>
      <c r="AA21" s="18">
        <v>173.99</v>
      </c>
      <c r="AB21" s="18">
        <v>148.11</v>
      </c>
      <c r="AC21" s="18">
        <v>172.0</v>
      </c>
      <c r="AD21" s="4"/>
      <c r="AE21" s="4"/>
      <c r="AF21" s="4"/>
      <c r="AG21" s="4"/>
      <c r="AH21" s="4"/>
      <c r="AI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8" t="s">
        <v>203</v>
      </c>
      <c r="X22" s="18">
        <v>5.71</v>
      </c>
      <c r="Y22" s="18">
        <v>5.71</v>
      </c>
      <c r="Z22" s="18">
        <v>5.71</v>
      </c>
      <c r="AA22" s="18">
        <v>5.71</v>
      </c>
      <c r="AB22" s="18">
        <v>1.06</v>
      </c>
      <c r="AC22" s="18">
        <v>16.0</v>
      </c>
      <c r="AD22" s="4"/>
      <c r="AE22" s="4"/>
      <c r="AF22" s="4"/>
      <c r="AG22" s="4"/>
      <c r="AH22" s="4"/>
      <c r="AI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8" t="s">
        <v>204</v>
      </c>
      <c r="X23" s="18">
        <v>252.0</v>
      </c>
      <c r="Y23" s="18">
        <v>252.0</v>
      </c>
      <c r="Z23" s="18">
        <v>252.0</v>
      </c>
      <c r="AA23" s="18">
        <v>252.0</v>
      </c>
      <c r="AB23" s="18">
        <v>252.0</v>
      </c>
      <c r="AC23" s="18">
        <v>146.0</v>
      </c>
      <c r="AD23" s="4"/>
      <c r="AE23" s="4"/>
      <c r="AF23" s="4"/>
      <c r="AG23" s="4"/>
      <c r="AH23" s="4"/>
      <c r="AI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8" t="s">
        <v>205</v>
      </c>
      <c r="X24" s="18">
        <v>82.71</v>
      </c>
      <c r="Y24" s="18">
        <v>90.75</v>
      </c>
      <c r="Z24" s="18">
        <v>89.52</v>
      </c>
      <c r="AA24" s="18">
        <v>101.37</v>
      </c>
      <c r="AB24" s="18">
        <v>93.94</v>
      </c>
      <c r="AC24" s="18">
        <v>70.0</v>
      </c>
      <c r="AD24" s="4"/>
      <c r="AE24" s="4"/>
      <c r="AF24" s="4"/>
      <c r="AG24" s="4"/>
      <c r="AH24" s="4"/>
      <c r="AI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8" t="s">
        <v>179</v>
      </c>
      <c r="X25" s="18">
        <v>45.26</v>
      </c>
      <c r="Y25" s="18">
        <v>53.31</v>
      </c>
      <c r="Z25" s="18">
        <v>57.68</v>
      </c>
      <c r="AA25" s="18">
        <v>52.41</v>
      </c>
      <c r="AB25" s="18">
        <v>54.47</v>
      </c>
      <c r="AC25" s="18">
        <v>61.0</v>
      </c>
      <c r="AD25" s="4"/>
      <c r="AE25" s="4"/>
      <c r="AF25" s="4"/>
      <c r="AG25" s="4"/>
      <c r="AH25" s="4"/>
      <c r="AI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8" t="s">
        <v>237</v>
      </c>
      <c r="X26" s="18">
        <v>55.06</v>
      </c>
      <c r="Y26" s="18">
        <v>55.06</v>
      </c>
      <c r="Z26" s="18">
        <v>55.06</v>
      </c>
      <c r="AA26" s="18">
        <v>55.06</v>
      </c>
      <c r="AB26" s="18">
        <v>43.35</v>
      </c>
      <c r="AC26" s="18">
        <v>58.0</v>
      </c>
      <c r="AD26" s="4"/>
      <c r="AE26" s="4"/>
      <c r="AF26" s="4"/>
      <c r="AG26" s="4"/>
      <c r="AH26" s="4"/>
      <c r="AI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>
        <f t="shared" ref="X27:AC27" si="5">SUM(X15:X25)-X26</f>
        <v>1658.8</v>
      </c>
      <c r="Y27" s="4">
        <f t="shared" si="5"/>
        <v>1637.85</v>
      </c>
      <c r="Z27" s="4">
        <f t="shared" si="5"/>
        <v>1625.4</v>
      </c>
      <c r="AA27" s="4">
        <f t="shared" si="5"/>
        <v>1637.84</v>
      </c>
      <c r="AB27" s="4">
        <f t="shared" si="5"/>
        <v>1687.53</v>
      </c>
      <c r="AC27" s="4">
        <f t="shared" si="5"/>
        <v>1368</v>
      </c>
      <c r="AD27" s="4"/>
      <c r="AE27" s="4"/>
      <c r="AF27" s="4"/>
      <c r="AG27" s="4"/>
      <c r="AH27" s="4"/>
      <c r="AI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>
      <c r="A35" s="4"/>
      <c r="B35" s="18" t="s">
        <v>238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</sheetData>
  <mergeCells count="1">
    <mergeCell ref="A2:M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228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0" t="s">
        <v>239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G4" si="1">B36</f>
        <v>518.77</v>
      </c>
      <c r="C4" s="7">
        <f t="shared" si="1"/>
        <v>492</v>
      </c>
      <c r="D4" s="7">
        <f t="shared" si="1"/>
        <v>497</v>
      </c>
      <c r="E4" s="7">
        <f t="shared" si="1"/>
        <v>500</v>
      </c>
      <c r="F4" s="7">
        <f t="shared" si="1"/>
        <v>502</v>
      </c>
      <c r="G4" s="7">
        <f t="shared" si="1"/>
        <v>505.6</v>
      </c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207.508</v>
      </c>
      <c r="C5" s="7">
        <f t="shared" ref="C5:M5" si="2">$B$5</f>
        <v>207.508</v>
      </c>
      <c r="D5" s="7">
        <f t="shared" si="2"/>
        <v>207.508</v>
      </c>
      <c r="E5" s="7">
        <f t="shared" si="2"/>
        <v>207.508</v>
      </c>
      <c r="F5" s="7">
        <f t="shared" si="2"/>
        <v>207.508</v>
      </c>
      <c r="G5" s="7">
        <f t="shared" si="2"/>
        <v>207.508</v>
      </c>
      <c r="H5" s="7">
        <f t="shared" si="2"/>
        <v>207.508</v>
      </c>
      <c r="I5" s="7">
        <f t="shared" si="2"/>
        <v>207.508</v>
      </c>
      <c r="J5" s="7">
        <f t="shared" si="2"/>
        <v>207.508</v>
      </c>
      <c r="K5" s="7">
        <f t="shared" si="2"/>
        <v>207.508</v>
      </c>
      <c r="L5" s="7">
        <f t="shared" si="2"/>
        <v>207.508</v>
      </c>
      <c r="M5" s="7">
        <f t="shared" si="2"/>
        <v>207.508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441</v>
      </c>
      <c r="C6" s="7">
        <f t="shared" ref="C6:J6" si="3">$B$6</f>
        <v>441</v>
      </c>
      <c r="D6" s="7">
        <f t="shared" si="3"/>
        <v>441</v>
      </c>
      <c r="E6" s="7">
        <f t="shared" si="3"/>
        <v>441</v>
      </c>
      <c r="F6" s="7">
        <f t="shared" si="3"/>
        <v>441</v>
      </c>
      <c r="G6" s="7">
        <f t="shared" si="3"/>
        <v>441</v>
      </c>
      <c r="H6" s="7">
        <f t="shared" si="3"/>
        <v>441</v>
      </c>
      <c r="I6" s="7">
        <f t="shared" si="3"/>
        <v>441</v>
      </c>
      <c r="J6" s="7">
        <f t="shared" si="3"/>
        <v>441</v>
      </c>
      <c r="K6" s="7">
        <f>ROUND((B4*0.6),0)</f>
        <v>311</v>
      </c>
      <c r="L6" s="7">
        <f t="shared" ref="L6:M6" si="4">$K$6</f>
        <v>311</v>
      </c>
      <c r="M6" s="7">
        <f t="shared" si="4"/>
        <v>311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730.0</v>
      </c>
      <c r="C7" s="8">
        <v>730.0</v>
      </c>
      <c r="D7" s="8">
        <v>730.0</v>
      </c>
      <c r="E7" s="8">
        <v>730.0</v>
      </c>
      <c r="F7" s="8">
        <v>730.0</v>
      </c>
      <c r="G7" s="8">
        <v>730.0</v>
      </c>
      <c r="H7" s="8">
        <v>730.0</v>
      </c>
      <c r="I7" s="8">
        <v>730.0</v>
      </c>
      <c r="J7" s="8">
        <v>730.0</v>
      </c>
      <c r="K7" s="8">
        <v>730.0</v>
      </c>
      <c r="L7" s="8">
        <v>730.0</v>
      </c>
      <c r="M7" s="8">
        <v>730.0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8" t="s">
        <v>240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/>
      <c r="B35" s="6" t="s">
        <v>1</v>
      </c>
      <c r="C35" s="6" t="s">
        <v>2</v>
      </c>
      <c r="D35" s="6" t="s">
        <v>3</v>
      </c>
      <c r="E35" s="6" t="s">
        <v>4</v>
      </c>
      <c r="F35" s="6" t="s">
        <v>5</v>
      </c>
      <c r="G35" s="8" t="s">
        <v>6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13</v>
      </c>
      <c r="B36" s="62">
        <f t="shared" ref="B36:G36" si="5">SUM(B37:B38)</f>
        <v>518.77</v>
      </c>
      <c r="C36" s="62">
        <f t="shared" si="5"/>
        <v>492</v>
      </c>
      <c r="D36" s="62">
        <f t="shared" si="5"/>
        <v>497</v>
      </c>
      <c r="E36" s="62">
        <f t="shared" si="5"/>
        <v>500</v>
      </c>
      <c r="F36" s="62">
        <f t="shared" si="5"/>
        <v>502</v>
      </c>
      <c r="G36" s="62">
        <f t="shared" si="5"/>
        <v>505.6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123</v>
      </c>
      <c r="B37" s="8">
        <v>446.77</v>
      </c>
      <c r="C37" s="8">
        <v>420.0</v>
      </c>
      <c r="D37" s="8">
        <v>425.0</v>
      </c>
      <c r="E37" s="8">
        <v>428.0</v>
      </c>
      <c r="F37" s="8">
        <v>430.0</v>
      </c>
      <c r="G37" s="8">
        <v>428.8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98</v>
      </c>
      <c r="B38" s="8">
        <v>72.0</v>
      </c>
      <c r="C38" s="8">
        <v>72.0</v>
      </c>
      <c r="D38" s="8">
        <v>72.0</v>
      </c>
      <c r="E38" s="8">
        <v>72.0</v>
      </c>
      <c r="F38" s="8">
        <v>72.0</v>
      </c>
      <c r="G38" s="8">
        <v>76.8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