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vini.parashar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E59" i="1" s="1"/>
  <c r="D40" i="1"/>
  <c r="E57" i="1"/>
  <c r="J52" i="1"/>
  <c r="J53" i="1"/>
  <c r="J51" i="1"/>
  <c r="E29" i="1"/>
  <c r="F29" i="1"/>
  <c r="G29" i="1"/>
  <c r="G28" i="1"/>
  <c r="E28" i="1"/>
  <c r="F28" i="1" s="1"/>
  <c r="F47" i="1"/>
  <c r="F46" i="1"/>
  <c r="F45" i="1"/>
  <c r="F43" i="1"/>
  <c r="E44" i="1"/>
  <c r="F44" i="1" s="1"/>
  <c r="D24" i="1"/>
  <c r="D25" i="1" s="1"/>
  <c r="D8" i="1"/>
  <c r="E13" i="1"/>
  <c r="F13" i="1" s="1"/>
  <c r="H13" i="1" s="1"/>
  <c r="E7" i="1"/>
  <c r="F7" i="1" s="1"/>
  <c r="H7" i="1" s="1"/>
  <c r="H12" i="1"/>
  <c r="F6" i="1"/>
  <c r="H6" i="1" s="1"/>
  <c r="F11" i="1"/>
  <c r="H11" i="1" s="1"/>
  <c r="F12" i="1"/>
  <c r="F5" i="1"/>
  <c r="H5" i="1" s="1"/>
  <c r="I5" i="1" s="1"/>
  <c r="J54" i="1" l="1"/>
  <c r="H54" i="1" s="1"/>
  <c r="E50" i="1" s="1"/>
  <c r="I13" i="1"/>
  <c r="F48" i="1"/>
  <c r="H29" i="1"/>
  <c r="H28" i="1"/>
  <c r="H30" i="1" s="1"/>
  <c r="E58" i="1" s="1"/>
  <c r="I12" i="1"/>
  <c r="I7" i="1"/>
  <c r="I11" i="1"/>
  <c r="I6" i="1"/>
  <c r="H14" i="1"/>
  <c r="I14" i="1" s="1"/>
  <c r="E8" i="1"/>
  <c r="F8" i="1" s="1"/>
  <c r="H8" i="1" s="1"/>
  <c r="E51" i="1" l="1"/>
  <c r="E52" i="1" s="1"/>
  <c r="E53" i="1" s="1"/>
  <c r="H43" i="1" s="1"/>
  <c r="E56" i="1" s="1"/>
  <c r="E60" i="1" s="1"/>
  <c r="H9" i="1"/>
  <c r="I9" i="1" s="1"/>
  <c r="I8" i="1"/>
  <c r="H16" i="1" l="1"/>
  <c r="H18" i="1" s="1"/>
  <c r="H20" i="1" s="1"/>
  <c r="I16" i="1" l="1"/>
  <c r="I18" i="1" s="1"/>
  <c r="I20" i="1" s="1"/>
</calcChain>
</file>

<file path=xl/sharedStrings.xml><?xml version="1.0" encoding="utf-8"?>
<sst xmlns="http://schemas.openxmlformats.org/spreadsheetml/2006/main" count="84" uniqueCount="75">
  <si>
    <t>Manager</t>
  </si>
  <si>
    <t xml:space="preserve">MIS </t>
  </si>
  <si>
    <t>Cash Section</t>
  </si>
  <si>
    <t>Ticket Checker</t>
  </si>
  <si>
    <t>No. of persons per shift</t>
  </si>
  <si>
    <t>No. of shifts</t>
  </si>
  <si>
    <t>Total Manpower</t>
  </si>
  <si>
    <t>Manpower Rate</t>
  </si>
  <si>
    <t>Manpower Cost/ month</t>
  </si>
  <si>
    <t>Total</t>
  </si>
  <si>
    <t>Manpower Cost</t>
  </si>
  <si>
    <t>No. of Buses</t>
  </si>
  <si>
    <t>Total Kilometers  /  day</t>
  </si>
  <si>
    <t>Total Kilometers  /  month</t>
  </si>
  <si>
    <t>Driver</t>
  </si>
  <si>
    <t>Conductor</t>
  </si>
  <si>
    <t>Cleaner &amp; other support</t>
  </si>
  <si>
    <t>Total Manpower Cost</t>
  </si>
  <si>
    <t>Supervisory and Operation Team</t>
  </si>
  <si>
    <t>Kilometer/ bus/ day</t>
  </si>
  <si>
    <t>Cost/ kilometer</t>
  </si>
  <si>
    <t>DIMTS Margin</t>
  </si>
  <si>
    <t>Ticket/ Cash/ Checking Team</t>
  </si>
  <si>
    <t>A</t>
  </si>
  <si>
    <t>B</t>
  </si>
  <si>
    <t>C</t>
  </si>
  <si>
    <t>D</t>
  </si>
  <si>
    <t>E</t>
  </si>
  <si>
    <t>DIMTS Cost</t>
  </si>
  <si>
    <t>Capital Expenditure</t>
  </si>
  <si>
    <t>Bus</t>
  </si>
  <si>
    <t>Charger</t>
  </si>
  <si>
    <t>Electricity Distribution</t>
  </si>
  <si>
    <t>E&amp;C Charges</t>
  </si>
  <si>
    <t>Miscellaneous (Office)</t>
  </si>
  <si>
    <t>AMC Charges for Bus</t>
  </si>
  <si>
    <t>AMC Charges for Charger</t>
  </si>
  <si>
    <t>Nos.</t>
  </si>
  <si>
    <t>Unit Cost</t>
  </si>
  <si>
    <t>Cost for 12 months</t>
  </si>
  <si>
    <t>Cost / Month</t>
  </si>
  <si>
    <t>Cost / km</t>
  </si>
  <si>
    <t>Power Charges</t>
  </si>
  <si>
    <t>Consumption kilowatt/ km</t>
  </si>
  <si>
    <t xml:space="preserve">Charging  Requirement </t>
  </si>
  <si>
    <t>Additional Electricity Consumption</t>
  </si>
  <si>
    <t>Power Factor</t>
  </si>
  <si>
    <t>Lossess</t>
  </si>
  <si>
    <t>Unit Rate</t>
  </si>
  <si>
    <t>Total Power Cost</t>
  </si>
  <si>
    <t>Cost/km</t>
  </si>
  <si>
    <t>Repayment Period</t>
  </si>
  <si>
    <t>Expected Rate</t>
  </si>
  <si>
    <t>Annuity Value / year</t>
  </si>
  <si>
    <t>Annuity Value / month</t>
  </si>
  <si>
    <t>Annuity Value / km</t>
  </si>
  <si>
    <t>Total Cost Per Kilomter</t>
  </si>
  <si>
    <t>AMC Cost</t>
  </si>
  <si>
    <t>Capital Cost</t>
  </si>
  <si>
    <t>Electricity Cost</t>
  </si>
  <si>
    <t>Rs Lakhs</t>
  </si>
  <si>
    <t>Rs.</t>
  </si>
  <si>
    <t>Rs./ km</t>
  </si>
  <si>
    <t>WACC</t>
  </si>
  <si>
    <t>Grant</t>
  </si>
  <si>
    <t>Equity</t>
  </si>
  <si>
    <t>Debt</t>
  </si>
  <si>
    <t>Rate</t>
  </si>
  <si>
    <t>Weight</t>
  </si>
  <si>
    <t>Based on finalization of aforesaid assumptions, suitable financial model can be developed.</t>
  </si>
  <si>
    <t>Annual inflation would need to be considered for</t>
  </si>
  <si>
    <t>1. Power</t>
  </si>
  <si>
    <t>2. Manpower</t>
  </si>
  <si>
    <t>3. AMC (covers eletromechnical incl. batteries, tyres, lubricants)</t>
  </si>
  <si>
    <t>Power Consumption/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</si>
</sst>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43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1" applyNumberFormat="1" applyFont="1"/>
    <xf numFmtId="9" fontId="0" fillId="0" borderId="0" xfId="0" applyNumberFormat="1"/>
    <xf numFmtId="43" fontId="0" fillId="0" borderId="0" xfId="0" applyNumberForma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0" xfId="0" applyNumberFormat="1"/>
    <xf numFmtId="9" fontId="0" fillId="0" borderId="0" xfId="2" applyFont="1" applyAlignment="1">
      <alignment horizontal="center"/>
    </xf>
    <xf numFmtId="10" fontId="0" fillId="0" borderId="0" xfId="0" applyNumberFormat="1"/>
    <xf numFmtId="0" fontId="3" fillId="0" borderId="0" xfId="0" applyFont="1" applyAlignment="1">
      <alignment horizontal="center"/>
    </xf>
    <xf numFmtId="43" fontId="3" fillId="0" borderId="0" xfId="1" applyNumberFormat="1" applyFont="1"/>
    <xf numFmtId="0" fontId="2" fillId="0" borderId="0" xfId="0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7"/>
  <sheetViews>
    <sheetView tabSelected="1" topLeftCell="A29" workbookViewId="0">
      <selection activeCell="C39" sqref="C39"/>
    </sheetView>
  </sheetViews>
  <sheetFormatPr defaultRowHeight="15" x14ac:dyDescent="0.25"/>
  <cols>
    <col min="2" max="2" width="9.140625" style="11"/>
    <col min="3" max="3" width="23.85546875" customWidth="1"/>
    <col min="4" max="4" width="12.7109375" style="11" customWidth="1"/>
    <col min="5" max="6" width="12.140625" customWidth="1"/>
    <col min="7" max="7" width="11.7109375" customWidth="1"/>
    <col min="8" max="8" width="13.42578125" customWidth="1"/>
    <col min="9" max="9" width="13" customWidth="1"/>
  </cols>
  <sheetData>
    <row r="3" spans="2:9" ht="45" x14ac:dyDescent="0.25"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20</v>
      </c>
    </row>
    <row r="4" spans="2:9" x14ac:dyDescent="0.25">
      <c r="B4" s="11" t="s">
        <v>23</v>
      </c>
      <c r="C4" s="9" t="s">
        <v>18</v>
      </c>
      <c r="D4" s="2"/>
      <c r="E4" s="2"/>
      <c r="F4" s="2"/>
      <c r="G4" s="2"/>
      <c r="H4" s="2"/>
      <c r="I4" s="2"/>
    </row>
    <row r="5" spans="2:9" x14ac:dyDescent="0.25">
      <c r="B5" s="11">
        <v>1</v>
      </c>
      <c r="C5" t="s">
        <v>0</v>
      </c>
      <c r="D5" s="11">
        <v>1</v>
      </c>
      <c r="E5">
        <v>1</v>
      </c>
      <c r="F5">
        <f>+D5*E5</f>
        <v>1</v>
      </c>
      <c r="G5">
        <v>50000</v>
      </c>
      <c r="H5">
        <f>+F5*G5</f>
        <v>50000</v>
      </c>
      <c r="I5" s="6">
        <f>+H5/$D$25</f>
        <v>1.0957703265395573</v>
      </c>
    </row>
    <row r="6" spans="2:9" x14ac:dyDescent="0.25">
      <c r="B6" s="11">
        <v>2</v>
      </c>
      <c r="C6" t="s">
        <v>1</v>
      </c>
      <c r="D6" s="11">
        <v>2</v>
      </c>
      <c r="E6">
        <v>1</v>
      </c>
      <c r="F6">
        <f t="shared" ref="F6:F13" si="0">+D6*E6</f>
        <v>2</v>
      </c>
      <c r="G6">
        <v>25000</v>
      </c>
      <c r="H6">
        <f t="shared" ref="H6:H13" si="1">+F6*G6</f>
        <v>50000</v>
      </c>
      <c r="I6" s="6">
        <f>+H6/$D$25</f>
        <v>1.0957703265395573</v>
      </c>
    </row>
    <row r="7" spans="2:9" x14ac:dyDescent="0.25">
      <c r="B7" s="11">
        <v>3</v>
      </c>
      <c r="C7" t="s">
        <v>14</v>
      </c>
      <c r="D7" s="11">
        <v>10</v>
      </c>
      <c r="E7">
        <f>30.42*2</f>
        <v>60.84</v>
      </c>
      <c r="F7">
        <f>+D7*E7</f>
        <v>608.40000000000009</v>
      </c>
      <c r="G7">
        <v>1000</v>
      </c>
      <c r="H7">
        <f t="shared" si="1"/>
        <v>608400.00000000012</v>
      </c>
      <c r="I7" s="6">
        <f>+H7/$D$25</f>
        <v>13.333333333333336</v>
      </c>
    </row>
    <row r="8" spans="2:9" x14ac:dyDescent="0.25">
      <c r="B8" s="11">
        <v>4</v>
      </c>
      <c r="C8" t="s">
        <v>16</v>
      </c>
      <c r="D8" s="11">
        <f>0.8*10</f>
        <v>8</v>
      </c>
      <c r="E8">
        <f>+E7</f>
        <v>60.84</v>
      </c>
      <c r="F8">
        <f>+D8*E8</f>
        <v>486.72</v>
      </c>
      <c r="G8">
        <v>900</v>
      </c>
      <c r="H8">
        <f t="shared" si="1"/>
        <v>438048</v>
      </c>
      <c r="I8" s="6">
        <f>+H8/$D$25</f>
        <v>9.6</v>
      </c>
    </row>
    <row r="9" spans="2:9" x14ac:dyDescent="0.25">
      <c r="H9" s="4">
        <f>SUM(H5:H8)</f>
        <v>1146448</v>
      </c>
      <c r="I9" s="6">
        <f>+H9/$D$25</f>
        <v>25.12487398641245</v>
      </c>
    </row>
    <row r="10" spans="2:9" x14ac:dyDescent="0.25">
      <c r="B10" s="11" t="s">
        <v>24</v>
      </c>
      <c r="C10" s="9" t="s">
        <v>22</v>
      </c>
      <c r="I10" s="6"/>
    </row>
    <row r="11" spans="2:9" x14ac:dyDescent="0.25">
      <c r="B11" s="11">
        <v>1</v>
      </c>
      <c r="C11" t="s">
        <v>2</v>
      </c>
      <c r="D11" s="11">
        <v>5</v>
      </c>
      <c r="E11">
        <v>1</v>
      </c>
      <c r="F11">
        <f>+D11*E11</f>
        <v>5</v>
      </c>
      <c r="G11">
        <v>20000</v>
      </c>
      <c r="H11">
        <f t="shared" si="1"/>
        <v>100000</v>
      </c>
      <c r="I11" s="6">
        <f>+H11/$D$25</f>
        <v>2.1915406530791146</v>
      </c>
    </row>
    <row r="12" spans="2:9" x14ac:dyDescent="0.25">
      <c r="B12" s="11">
        <v>2</v>
      </c>
      <c r="C12" t="s">
        <v>3</v>
      </c>
      <c r="D12" s="11">
        <v>4</v>
      </c>
      <c r="E12">
        <v>2</v>
      </c>
      <c r="F12">
        <f>+D12*E12</f>
        <v>8</v>
      </c>
      <c r="G12">
        <v>20000</v>
      </c>
      <c r="H12">
        <f t="shared" si="1"/>
        <v>160000</v>
      </c>
      <c r="I12" s="6">
        <f>+H12/$D$25</f>
        <v>3.5064650449265833</v>
      </c>
    </row>
    <row r="13" spans="2:9" x14ac:dyDescent="0.25">
      <c r="B13" s="11">
        <v>3</v>
      </c>
      <c r="C13" t="s">
        <v>15</v>
      </c>
      <c r="D13" s="11">
        <v>10</v>
      </c>
      <c r="E13">
        <f>30.42*2</f>
        <v>60.84</v>
      </c>
      <c r="F13">
        <f t="shared" si="0"/>
        <v>608.40000000000009</v>
      </c>
      <c r="G13">
        <v>900</v>
      </c>
      <c r="H13">
        <f t="shared" si="1"/>
        <v>547560.00000000012</v>
      </c>
      <c r="I13" s="6">
        <f>+H13/$D$25</f>
        <v>12.000000000000002</v>
      </c>
    </row>
    <row r="14" spans="2:9" x14ac:dyDescent="0.25">
      <c r="H14" s="4">
        <f>SUM(H11:H13)</f>
        <v>807560.00000000012</v>
      </c>
      <c r="I14" s="6">
        <f>+H14/$D$25</f>
        <v>17.698005698005701</v>
      </c>
    </row>
    <row r="15" spans="2:9" x14ac:dyDescent="0.25">
      <c r="H15" s="4"/>
      <c r="I15" s="6"/>
    </row>
    <row r="16" spans="2:9" x14ac:dyDescent="0.25">
      <c r="B16" s="11" t="s">
        <v>25</v>
      </c>
      <c r="C16" t="s">
        <v>17</v>
      </c>
      <c r="H16" s="5">
        <f>+H9+H14</f>
        <v>1954008</v>
      </c>
      <c r="I16" s="6">
        <f>+H16/$D$25</f>
        <v>42.822879684418147</v>
      </c>
    </row>
    <row r="18" spans="2:9" x14ac:dyDescent="0.25">
      <c r="B18" s="11" t="s">
        <v>26</v>
      </c>
      <c r="C18" t="s">
        <v>21</v>
      </c>
      <c r="D18" s="12">
        <v>0.2</v>
      </c>
      <c r="H18" s="8">
        <f>+$D$18*H16</f>
        <v>390801.60000000003</v>
      </c>
      <c r="I18" s="8">
        <f>+$D$18*I16</f>
        <v>8.5645759368836298</v>
      </c>
    </row>
    <row r="20" spans="2:9" x14ac:dyDescent="0.25">
      <c r="B20" s="11" t="s">
        <v>27</v>
      </c>
      <c r="C20" t="s">
        <v>28</v>
      </c>
      <c r="H20" s="8">
        <f>+H18+H16</f>
        <v>2344809.6</v>
      </c>
      <c r="I20" s="8">
        <f>+I18+I16</f>
        <v>51.387455621301775</v>
      </c>
    </row>
    <row r="22" spans="2:9" x14ac:dyDescent="0.25">
      <c r="C22" t="s">
        <v>19</v>
      </c>
      <c r="D22" s="11">
        <v>150</v>
      </c>
    </row>
    <row r="23" spans="2:9" x14ac:dyDescent="0.25">
      <c r="C23" t="s">
        <v>11</v>
      </c>
      <c r="D23" s="11">
        <v>10</v>
      </c>
    </row>
    <row r="24" spans="2:9" x14ac:dyDescent="0.25">
      <c r="C24" t="s">
        <v>12</v>
      </c>
      <c r="D24" s="11">
        <f>+D22*D23</f>
        <v>1500</v>
      </c>
    </row>
    <row r="25" spans="2:9" x14ac:dyDescent="0.25">
      <c r="C25" t="s">
        <v>13</v>
      </c>
      <c r="D25" s="11">
        <f>+D24*30.42</f>
        <v>45630</v>
      </c>
    </row>
    <row r="27" spans="2:9" ht="30" x14ac:dyDescent="0.25">
      <c r="D27" s="11" t="s">
        <v>37</v>
      </c>
      <c r="E27" t="s">
        <v>38</v>
      </c>
      <c r="F27" t="s">
        <v>40</v>
      </c>
      <c r="G27" s="1" t="s">
        <v>39</v>
      </c>
      <c r="H27" s="11" t="s">
        <v>41</v>
      </c>
    </row>
    <row r="28" spans="2:9" x14ac:dyDescent="0.25">
      <c r="C28" t="s">
        <v>35</v>
      </c>
      <c r="D28" s="11">
        <v>10</v>
      </c>
      <c r="E28">
        <f>232.8/12/10</f>
        <v>1.9400000000000002</v>
      </c>
      <c r="F28">
        <f>+D28*E28</f>
        <v>19.400000000000002</v>
      </c>
      <c r="G28">
        <f>+F28*12</f>
        <v>232.8</v>
      </c>
      <c r="H28" s="10">
        <f>+F28/$D$25*10^5</f>
        <v>42.515888669734828</v>
      </c>
    </row>
    <row r="29" spans="2:9" x14ac:dyDescent="0.25">
      <c r="C29" t="s">
        <v>36</v>
      </c>
      <c r="D29" s="11">
        <v>4</v>
      </c>
      <c r="E29" s="10">
        <f>8.05/12/10</f>
        <v>6.7083333333333342E-2</v>
      </c>
      <c r="F29" s="10">
        <f>+D29*E29</f>
        <v>0.26833333333333337</v>
      </c>
      <c r="G29">
        <f>+F29*12</f>
        <v>3.2200000000000006</v>
      </c>
      <c r="H29" s="10">
        <f>+F29/$D$25*10^5</f>
        <v>0.58806340857622919</v>
      </c>
    </row>
    <row r="30" spans="2:9" x14ac:dyDescent="0.25">
      <c r="C30" t="s">
        <v>9</v>
      </c>
      <c r="H30" s="10">
        <f>SUM(H28:H29)</f>
        <v>43.10395207831106</v>
      </c>
    </row>
    <row r="32" spans="2:9" x14ac:dyDescent="0.25">
      <c r="C32" t="s">
        <v>42</v>
      </c>
      <c r="H32" s="11" t="s">
        <v>50</v>
      </c>
    </row>
    <row r="33" spans="3:8" x14ac:dyDescent="0.25">
      <c r="C33" s="18" t="s">
        <v>43</v>
      </c>
      <c r="H33" s="19">
        <f>+D40</f>
        <v>9.8399999999999981</v>
      </c>
    </row>
    <row r="34" spans="3:8" x14ac:dyDescent="0.25">
      <c r="C34" s="18" t="s">
        <v>44</v>
      </c>
    </row>
    <row r="35" spans="3:8" x14ac:dyDescent="0.25">
      <c r="C35" s="18" t="s">
        <v>45</v>
      </c>
    </row>
    <row r="36" spans="3:8" x14ac:dyDescent="0.25">
      <c r="C36" s="18" t="s">
        <v>46</v>
      </c>
    </row>
    <row r="37" spans="3:8" x14ac:dyDescent="0.25">
      <c r="C37" s="18" t="s">
        <v>47</v>
      </c>
    </row>
    <row r="38" spans="3:8" x14ac:dyDescent="0.25">
      <c r="C38" s="18" t="s">
        <v>74</v>
      </c>
      <c r="D38" s="11">
        <v>1.2</v>
      </c>
    </row>
    <row r="39" spans="3:8" x14ac:dyDescent="0.25">
      <c r="C39" s="18" t="s">
        <v>48</v>
      </c>
      <c r="D39" s="11">
        <v>8.1999999999999993</v>
      </c>
    </row>
    <row r="40" spans="3:8" x14ac:dyDescent="0.25">
      <c r="C40" s="18" t="s">
        <v>49</v>
      </c>
      <c r="D40" s="11">
        <f>+D38*D39</f>
        <v>9.8399999999999981</v>
      </c>
    </row>
    <row r="42" spans="3:8" x14ac:dyDescent="0.25">
      <c r="C42" s="9" t="s">
        <v>29</v>
      </c>
      <c r="H42" s="11" t="s">
        <v>50</v>
      </c>
    </row>
    <row r="43" spans="3:8" x14ac:dyDescent="0.25">
      <c r="C43" t="s">
        <v>30</v>
      </c>
      <c r="D43" s="11">
        <v>10</v>
      </c>
      <c r="E43">
        <v>152.93</v>
      </c>
      <c r="F43">
        <f>+D43*E43</f>
        <v>1529.3000000000002</v>
      </c>
      <c r="H43">
        <f>+-E53</f>
        <v>63.196556441972469</v>
      </c>
    </row>
    <row r="44" spans="3:8" x14ac:dyDescent="0.25">
      <c r="C44" t="s">
        <v>31</v>
      </c>
      <c r="D44" s="11">
        <v>4</v>
      </c>
      <c r="E44">
        <f>+(136.48+5.46)/4</f>
        <v>35.484999999999999</v>
      </c>
      <c r="F44">
        <f>+D44*E44</f>
        <v>141.94</v>
      </c>
    </row>
    <row r="45" spans="3:8" x14ac:dyDescent="0.25">
      <c r="C45" t="s">
        <v>32</v>
      </c>
      <c r="D45" s="11">
        <v>1</v>
      </c>
      <c r="E45">
        <v>34.89</v>
      </c>
      <c r="F45">
        <f>+D45*E45</f>
        <v>34.89</v>
      </c>
    </row>
    <row r="46" spans="3:8" x14ac:dyDescent="0.25">
      <c r="C46" t="s">
        <v>33</v>
      </c>
      <c r="D46" s="11">
        <v>1</v>
      </c>
      <c r="E46">
        <v>20.56</v>
      </c>
      <c r="F46">
        <f>+D46*E46</f>
        <v>20.56</v>
      </c>
    </row>
    <row r="47" spans="3:8" x14ac:dyDescent="0.25">
      <c r="C47" t="s">
        <v>34</v>
      </c>
      <c r="D47" s="11">
        <v>1</v>
      </c>
      <c r="E47">
        <v>10</v>
      </c>
      <c r="F47">
        <f>+D47*E47</f>
        <v>10</v>
      </c>
    </row>
    <row r="48" spans="3:8" x14ac:dyDescent="0.25">
      <c r="C48" t="s">
        <v>9</v>
      </c>
      <c r="F48">
        <f>SUM(F43:F47)</f>
        <v>1736.6900000000003</v>
      </c>
    </row>
    <row r="49" spans="3:10" x14ac:dyDescent="0.25">
      <c r="C49" t="s">
        <v>51</v>
      </c>
      <c r="E49">
        <v>10</v>
      </c>
    </row>
    <row r="50" spans="3:10" x14ac:dyDescent="0.25">
      <c r="C50" t="s">
        <v>52</v>
      </c>
      <c r="E50" s="7">
        <f>+H54</f>
        <v>0.15</v>
      </c>
      <c r="G50" t="s">
        <v>63</v>
      </c>
      <c r="H50" s="14" t="s">
        <v>68</v>
      </c>
      <c r="I50" t="s">
        <v>67</v>
      </c>
    </row>
    <row r="51" spans="3:10" x14ac:dyDescent="0.25">
      <c r="C51" t="s">
        <v>53</v>
      </c>
      <c r="D51" s="11" t="s">
        <v>60</v>
      </c>
      <c r="E51" s="13">
        <f>+PMT(E50,E49,F48)</f>
        <v>-346.03906445366442</v>
      </c>
      <c r="G51" t="s">
        <v>64</v>
      </c>
      <c r="H51" s="3">
        <v>0</v>
      </c>
      <c r="I51" s="7">
        <v>0</v>
      </c>
      <c r="J51">
        <f>+H51*I51</f>
        <v>0</v>
      </c>
    </row>
    <row r="52" spans="3:10" x14ac:dyDescent="0.25">
      <c r="C52" t="s">
        <v>54</v>
      </c>
      <c r="D52" s="11" t="s">
        <v>60</v>
      </c>
      <c r="E52" s="13">
        <f>+E51/12</f>
        <v>-28.836588704472035</v>
      </c>
      <c r="G52" t="s">
        <v>65</v>
      </c>
      <c r="H52" s="3">
        <v>1</v>
      </c>
      <c r="I52" s="7">
        <v>0.15</v>
      </c>
      <c r="J52">
        <f t="shared" ref="J52:J53" si="2">+H52*I52</f>
        <v>0.15</v>
      </c>
    </row>
    <row r="53" spans="3:10" x14ac:dyDescent="0.25">
      <c r="C53" t="s">
        <v>55</v>
      </c>
      <c r="D53" s="11" t="s">
        <v>61</v>
      </c>
      <c r="E53" s="13">
        <f>+E52/D25*10^5</f>
        <v>-63.196556441972469</v>
      </c>
      <c r="G53" t="s">
        <v>66</v>
      </c>
      <c r="H53" s="3">
        <v>0</v>
      </c>
      <c r="I53" s="7">
        <v>0.12</v>
      </c>
      <c r="J53">
        <f t="shared" si="2"/>
        <v>0</v>
      </c>
    </row>
    <row r="54" spans="3:10" x14ac:dyDescent="0.25">
      <c r="G54" t="s">
        <v>9</v>
      </c>
      <c r="H54" s="15">
        <f>J54/(SUM(H51:H53))</f>
        <v>0.15</v>
      </c>
      <c r="J54" s="10">
        <f>SUM(J51:J53)</f>
        <v>0.15</v>
      </c>
    </row>
    <row r="55" spans="3:10" x14ac:dyDescent="0.25">
      <c r="C55" s="9" t="s">
        <v>56</v>
      </c>
    </row>
    <row r="56" spans="3:10" x14ac:dyDescent="0.25">
      <c r="C56" t="s">
        <v>58</v>
      </c>
      <c r="D56" s="11" t="s">
        <v>62</v>
      </c>
      <c r="E56" s="6">
        <f>+H43</f>
        <v>63.196556441972469</v>
      </c>
    </row>
    <row r="57" spans="3:10" x14ac:dyDescent="0.25">
      <c r="C57" t="s">
        <v>10</v>
      </c>
      <c r="D57" s="11" t="s">
        <v>62</v>
      </c>
      <c r="E57" s="6">
        <f>+I20</f>
        <v>51.387455621301775</v>
      </c>
    </row>
    <row r="58" spans="3:10" x14ac:dyDescent="0.25">
      <c r="C58" t="s">
        <v>57</v>
      </c>
      <c r="D58" s="11" t="s">
        <v>62</v>
      </c>
      <c r="E58" s="6">
        <f>+H30</f>
        <v>43.10395207831106</v>
      </c>
    </row>
    <row r="59" spans="3:10" x14ac:dyDescent="0.25">
      <c r="C59" t="s">
        <v>59</v>
      </c>
      <c r="D59" s="11" t="s">
        <v>62</v>
      </c>
      <c r="E59" s="6">
        <f>+H33</f>
        <v>9.8399999999999981</v>
      </c>
    </row>
    <row r="60" spans="3:10" x14ac:dyDescent="0.25">
      <c r="C60" s="9" t="s">
        <v>56</v>
      </c>
      <c r="D60" s="16" t="s">
        <v>62</v>
      </c>
      <c r="E60" s="17">
        <f>SUM(E56:E59)</f>
        <v>167.5279641415853</v>
      </c>
    </row>
    <row r="63" spans="3:10" x14ac:dyDescent="0.25">
      <c r="C63" t="s">
        <v>69</v>
      </c>
    </row>
    <row r="64" spans="3:10" x14ac:dyDescent="0.25">
      <c r="C64" t="s">
        <v>70</v>
      </c>
    </row>
    <row r="65" spans="3:3" x14ac:dyDescent="0.25">
      <c r="C65" t="s">
        <v>71</v>
      </c>
    </row>
    <row r="66" spans="3:3" x14ac:dyDescent="0.25">
      <c r="C66" t="s">
        <v>72</v>
      </c>
    </row>
    <row r="67" spans="3:3" x14ac:dyDescent="0.25">
      <c r="C6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DIMTS</dc:creator>
  <cp:lastModifiedBy>DIMTS</cp:lastModifiedBy>
  <dcterms:created xsi:type="dcterms:W3CDTF">2018-04-20T09:34:54Z</dcterms:created>
  <dcterms:modified xsi:type="dcterms:W3CDTF">2018-04-20T10:54:07Z</dcterms:modified>
</cp:coreProperties>
</file>