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25" windowWidth="14805" windowHeight="7890" activeTab="1"/>
  </bookViews>
  <sheets>
    <sheet name="BP_Costing" sheetId="13" r:id="rId1"/>
    <sheet name="WithoutSubsidy" sheetId="7" r:id="rId2"/>
    <sheet name="Subsidy" sheetId="16" r:id="rId3"/>
    <sheet name="Insurance" sheetId="17" r:id="rId4"/>
  </sheets>
  <calcPr calcId="145621"/>
</workbook>
</file>

<file path=xl/calcChain.xml><?xml version="1.0" encoding="utf-8"?>
<calcChain xmlns="http://schemas.openxmlformats.org/spreadsheetml/2006/main">
  <c r="B2" i="17" l="1"/>
  <c r="C2" i="17" s="1"/>
  <c r="B15" i="17"/>
  <c r="B16" i="17" s="1"/>
  <c r="C3" i="17" l="1"/>
  <c r="C4" i="17" s="1"/>
  <c r="C6" i="17" s="1"/>
  <c r="D2" i="17"/>
  <c r="B3" i="17"/>
  <c r="B4" i="17" s="1"/>
  <c r="B6" i="17" s="1"/>
  <c r="C4" i="7"/>
  <c r="C4" i="16"/>
  <c r="E2" i="17" l="1"/>
  <c r="D3" i="17"/>
  <c r="D4" i="17" s="1"/>
  <c r="D6" i="17" s="1"/>
  <c r="C46" i="16"/>
  <c r="C47" i="16" s="1"/>
  <c r="D4" i="16" s="1"/>
  <c r="C58" i="16"/>
  <c r="C52" i="16"/>
  <c r="C44" i="16"/>
  <c r="C45" i="16" s="1"/>
  <c r="F22" i="16"/>
  <c r="D17" i="16"/>
  <c r="E17" i="16" s="1"/>
  <c r="E16" i="16"/>
  <c r="D16" i="16"/>
  <c r="D21" i="16" s="1"/>
  <c r="E15" i="16"/>
  <c r="E14" i="16"/>
  <c r="E21" i="16" s="1"/>
  <c r="D13" i="16"/>
  <c r="E13" i="16" s="1"/>
  <c r="E12" i="16"/>
  <c r="D12" i="16"/>
  <c r="F12" i="16" s="1"/>
  <c r="D8" i="16"/>
  <c r="E8" i="16" s="1"/>
  <c r="E7" i="16"/>
  <c r="D7" i="16"/>
  <c r="F7" i="16" s="1"/>
  <c r="D6" i="16"/>
  <c r="E6" i="16" s="1"/>
  <c r="E5" i="16"/>
  <c r="D5" i="16"/>
  <c r="F5" i="16" s="1"/>
  <c r="C3" i="16"/>
  <c r="C58" i="7"/>
  <c r="E3" i="17" l="1"/>
  <c r="E4" i="17" s="1"/>
  <c r="E6" i="17" s="1"/>
  <c r="F2" i="17"/>
  <c r="C10" i="16"/>
  <c r="E4" i="16"/>
  <c r="F4" i="16"/>
  <c r="D22" i="16"/>
  <c r="E22" i="16" s="1"/>
  <c r="E31" i="16" s="1"/>
  <c r="F15" i="16"/>
  <c r="F14" i="16"/>
  <c r="C59" i="16"/>
  <c r="D3" i="16"/>
  <c r="F6" i="16"/>
  <c r="F8" i="16"/>
  <c r="F13" i="16"/>
  <c r="F17" i="16"/>
  <c r="D31" i="16"/>
  <c r="C31" i="16" s="1"/>
  <c r="C32" i="16" s="1"/>
  <c r="F16" i="16"/>
  <c r="C52" i="7"/>
  <c r="D17" i="7" s="1"/>
  <c r="G2" i="17" l="1"/>
  <c r="F3" i="17"/>
  <c r="F4" i="17" s="1"/>
  <c r="F6" i="17" s="1"/>
  <c r="E3" i="16"/>
  <c r="E10" i="16" s="1"/>
  <c r="E32" i="16" s="1"/>
  <c r="D10" i="16"/>
  <c r="D32" i="16" s="1"/>
  <c r="F3" i="16"/>
  <c r="F10" i="16" s="1"/>
  <c r="F21" i="16"/>
  <c r="F31" i="16" s="1"/>
  <c r="D16" i="7"/>
  <c r="D21" i="7" s="1"/>
  <c r="G3" i="17" l="1"/>
  <c r="G4" i="17" s="1"/>
  <c r="G6" i="17" s="1"/>
  <c r="H2" i="17"/>
  <c r="F32" i="16"/>
  <c r="I2" i="17" l="1"/>
  <c r="H3" i="17"/>
  <c r="H4" i="17" s="1"/>
  <c r="H6" i="17" s="1"/>
  <c r="F22" i="7"/>
  <c r="D13" i="7"/>
  <c r="D12" i="7"/>
  <c r="C3" i="7"/>
  <c r="I3" i="17" l="1"/>
  <c r="I4" i="17" s="1"/>
  <c r="I6" i="17" s="1"/>
  <c r="J2" i="17"/>
  <c r="C44" i="7"/>
  <c r="C45" i="7" s="1"/>
  <c r="C59" i="7" s="1"/>
  <c r="E17" i="7"/>
  <c r="E16" i="7"/>
  <c r="E15" i="7"/>
  <c r="E14" i="7"/>
  <c r="E13" i="7"/>
  <c r="E12" i="7"/>
  <c r="D8" i="7"/>
  <c r="E8" i="7" s="1"/>
  <c r="D7" i="7"/>
  <c r="F7" i="7" s="1"/>
  <c r="D6" i="7"/>
  <c r="E6" i="7" s="1"/>
  <c r="D5" i="7"/>
  <c r="E5" i="7" s="1"/>
  <c r="D4" i="7"/>
  <c r="E4" i="7" s="1"/>
  <c r="K2" i="17" l="1"/>
  <c r="J3" i="17"/>
  <c r="J4" i="17" s="1"/>
  <c r="J6" i="17" s="1"/>
  <c r="E21" i="7"/>
  <c r="F16" i="7"/>
  <c r="D22" i="7"/>
  <c r="C10" i="7"/>
  <c r="F5" i="7"/>
  <c r="D3" i="7"/>
  <c r="E3" i="7" s="1"/>
  <c r="E7" i="7"/>
  <c r="E22" i="7"/>
  <c r="F17" i="7"/>
  <c r="F15" i="7"/>
  <c r="F14" i="7"/>
  <c r="F13" i="7"/>
  <c r="F12" i="7"/>
  <c r="F4" i="7"/>
  <c r="F6" i="7"/>
  <c r="F8" i="7"/>
  <c r="K3" i="17" l="1"/>
  <c r="K4" i="17" s="1"/>
  <c r="K6" i="17" s="1"/>
  <c r="L2" i="17"/>
  <c r="F21" i="7"/>
  <c r="E31" i="7"/>
  <c r="F31" i="7"/>
  <c r="D10" i="7"/>
  <c r="F3" i="7"/>
  <c r="F10" i="7" s="1"/>
  <c r="E10" i="7"/>
  <c r="D31" i="7"/>
  <c r="C31" i="7" s="1"/>
  <c r="C32" i="7" s="1"/>
  <c r="M2" i="17" l="1"/>
  <c r="M3" i="17" s="1"/>
  <c r="M4" i="17" s="1"/>
  <c r="M6" i="17" s="1"/>
  <c r="L3" i="17"/>
  <c r="L4" i="17" s="1"/>
  <c r="L6" i="17" s="1"/>
  <c r="E32" i="7"/>
  <c r="F32" i="7"/>
  <c r="D32" i="7"/>
  <c r="I12" i="13" l="1"/>
  <c r="I13" i="13"/>
  <c r="I11" i="13"/>
  <c r="I6" i="13"/>
  <c r="I7" i="13"/>
  <c r="I8" i="13"/>
  <c r="I5" i="13"/>
</calcChain>
</file>

<file path=xl/sharedStrings.xml><?xml version="1.0" encoding="utf-8"?>
<sst xmlns="http://schemas.openxmlformats.org/spreadsheetml/2006/main" count="274" uniqueCount="150">
  <si>
    <t>S.No</t>
  </si>
  <si>
    <t>Component</t>
  </si>
  <si>
    <t>Total</t>
  </si>
  <si>
    <t>E&amp;C Charges</t>
  </si>
  <si>
    <t>Freight Charges for DC Chargers</t>
  </si>
  <si>
    <t>AMC Charges for E Buses 10 Nos per year</t>
  </si>
  <si>
    <t>AMC Charges for DC Chargers 4 Nos per year</t>
  </si>
  <si>
    <t>Augmentaton for Electricity Distribution from DMRC terminal point</t>
  </si>
  <si>
    <t>Cost(Lakhs)</t>
  </si>
  <si>
    <t>Cost/Year(Lakhs)</t>
  </si>
  <si>
    <t>Operator Charges</t>
  </si>
  <si>
    <t>Insurance Charges</t>
  </si>
  <si>
    <t>Permit Charges</t>
  </si>
  <si>
    <t>Validator Charges</t>
  </si>
  <si>
    <t>Validator AMC</t>
  </si>
  <si>
    <t>Electricity Charges per year</t>
  </si>
  <si>
    <t>Capital Expediture</t>
  </si>
  <si>
    <t>Operational Expenditure</t>
  </si>
  <si>
    <t>Cost(Rs/Km)</t>
  </si>
  <si>
    <t>Total capex</t>
  </si>
  <si>
    <t>Annual Depot Maintainence</t>
  </si>
  <si>
    <t>Tyre Management</t>
  </si>
  <si>
    <t>Total opex</t>
  </si>
  <si>
    <t xml:space="preserve">Return on Investment </t>
  </si>
  <si>
    <t>Concerned Stakeholder</t>
  </si>
  <si>
    <t>Financer(Brought by BHEL)</t>
  </si>
  <si>
    <t>BHEL</t>
  </si>
  <si>
    <t>Operator(Brought by DIMTS)</t>
  </si>
  <si>
    <t>DIMTS</t>
  </si>
  <si>
    <t>No. of persons per shift</t>
  </si>
  <si>
    <t>No. of shifts</t>
  </si>
  <si>
    <t>Total Manpower</t>
  </si>
  <si>
    <t>Manpower Rate</t>
  </si>
  <si>
    <t>Manpower Cost/ month</t>
  </si>
  <si>
    <t>Cost/ kilometer</t>
  </si>
  <si>
    <t>A</t>
  </si>
  <si>
    <t>Supervisory and Operation Team</t>
  </si>
  <si>
    <t>Manager</t>
  </si>
  <si>
    <t xml:space="preserve">MIS </t>
  </si>
  <si>
    <t>Driver</t>
  </si>
  <si>
    <t>Cleaner &amp; other support</t>
  </si>
  <si>
    <t>B</t>
  </si>
  <si>
    <t>Ticket/ Cash/ Checking Team</t>
  </si>
  <si>
    <t>Cash Section</t>
  </si>
  <si>
    <t>Ticket Checker</t>
  </si>
  <si>
    <t>Conductor</t>
  </si>
  <si>
    <t>C</t>
  </si>
  <si>
    <t>Total Manpower Cost</t>
  </si>
  <si>
    <t>D</t>
  </si>
  <si>
    <t>DIMTS Margin</t>
  </si>
  <si>
    <t>E</t>
  </si>
  <si>
    <t>DIMTS Cost</t>
  </si>
  <si>
    <t>Kilometer/ bus/ day</t>
  </si>
  <si>
    <t>No. of Buses</t>
  </si>
  <si>
    <t>Total Kilometers  /  day</t>
  </si>
  <si>
    <t>Total Kilometers  /  month</t>
  </si>
  <si>
    <t>Nos.</t>
  </si>
  <si>
    <t>Unit Cost</t>
  </si>
  <si>
    <t>Cost / Month</t>
  </si>
  <si>
    <t>Cost for 12 months</t>
  </si>
  <si>
    <t>Cost / km</t>
  </si>
  <si>
    <t>AMC Charges for Bus</t>
  </si>
  <si>
    <t>AMC Charges for Charger</t>
  </si>
  <si>
    <t>Power Charges</t>
  </si>
  <si>
    <t>Cost/km</t>
  </si>
  <si>
    <t>Consumption kilowatt/ km</t>
  </si>
  <si>
    <t xml:space="preserve">Charging  Requirement </t>
  </si>
  <si>
    <t>Additional Electricity Consumption</t>
  </si>
  <si>
    <t>Power Factor</t>
  </si>
  <si>
    <t>Lossess</t>
  </si>
  <si>
    <t>Power Consumption/ km</t>
  </si>
  <si>
    <t>Unit Rate</t>
  </si>
  <si>
    <t>Total Power Cost</t>
  </si>
  <si>
    <t>Capital Expenditure</t>
  </si>
  <si>
    <t>Bus</t>
  </si>
  <si>
    <t>Charger</t>
  </si>
  <si>
    <t>Electricity Distribution</t>
  </si>
  <si>
    <t>Miscellaneous (Office)</t>
  </si>
  <si>
    <t>Repayment Period</t>
  </si>
  <si>
    <t>Expected Rate</t>
  </si>
  <si>
    <t>WACC</t>
  </si>
  <si>
    <t>Weight</t>
  </si>
  <si>
    <t>Rate</t>
  </si>
  <si>
    <t>Annuity Value / year</t>
  </si>
  <si>
    <t>Rs Lakhs</t>
  </si>
  <si>
    <t>Grant</t>
  </si>
  <si>
    <t>Annuity Value / month</t>
  </si>
  <si>
    <t>Equity</t>
  </si>
  <si>
    <t>Annuity Value / km</t>
  </si>
  <si>
    <t>Rs.</t>
  </si>
  <si>
    <t>Debt</t>
  </si>
  <si>
    <t>Total Cost Per Kilomter</t>
  </si>
  <si>
    <t>Capital Cost</t>
  </si>
  <si>
    <t>Rs./ km</t>
  </si>
  <si>
    <t>Manpower Cost</t>
  </si>
  <si>
    <t>AMC Cost</t>
  </si>
  <si>
    <t>Electricity Cost</t>
  </si>
  <si>
    <t>Based on finalization of aforesaid assumptions, suitable financial model can be developed.</t>
  </si>
  <si>
    <t>Annual inflation would need to be considered for</t>
  </si>
  <si>
    <t>1. Power</t>
  </si>
  <si>
    <t>2. Manpower</t>
  </si>
  <si>
    <t>3. AMC (covers eletromechnical incl. batteries, tyres, lubricants)</t>
  </si>
  <si>
    <t>Cleaner &amp;Other Support</t>
  </si>
  <si>
    <t>Number of Guaranteed Kms per bus per day</t>
  </si>
  <si>
    <t>Number of Bus</t>
  </si>
  <si>
    <t>Number of Guaranteed Kms per  day</t>
  </si>
  <si>
    <t>Number of Guaranteed Kms per  year</t>
  </si>
  <si>
    <t>Monitoring-Manager</t>
  </si>
  <si>
    <t>Monitoring-MIS</t>
  </si>
  <si>
    <t>FCM-Cash Section</t>
  </si>
  <si>
    <t>FCM-Ticket Checker</t>
  </si>
  <si>
    <t>FCM-Conductor</t>
  </si>
  <si>
    <t>Cost/Month(Lakhs)</t>
  </si>
  <si>
    <t>Number of Years</t>
  </si>
  <si>
    <t>Cost per Bus</t>
  </si>
  <si>
    <t>Cost per Charger</t>
  </si>
  <si>
    <t>Number of Chargers</t>
  </si>
  <si>
    <t>AMC per bus</t>
  </si>
  <si>
    <t>AMC per charger</t>
  </si>
  <si>
    <t>Unit/Km</t>
  </si>
  <si>
    <t>Unit Charge(Rs)</t>
  </si>
  <si>
    <t>Number of Drivers per shift</t>
  </si>
  <si>
    <t>Number of shifts</t>
  </si>
  <si>
    <t>Number of Cleaners per Shift</t>
  </si>
  <si>
    <t>Supply of 120 KW DC fast Chargers 2 Nos (GB/T)</t>
  </si>
  <si>
    <t>Freight Charges for E Buses 5 Nos (12 M)</t>
  </si>
  <si>
    <t>Project Cost(Lakhs)</t>
  </si>
  <si>
    <t>Tentative Cost Per Km</t>
  </si>
  <si>
    <t>Tentative Number of Years</t>
  </si>
  <si>
    <t>Bus Monitoring</t>
  </si>
  <si>
    <t xml:space="preserve"> Fare Mangement Collection Charges</t>
  </si>
  <si>
    <t>DMRC</t>
  </si>
  <si>
    <t>Parameters</t>
  </si>
  <si>
    <t>Cost per Bus(Lakhs)</t>
  </si>
  <si>
    <t>Cost per Charger(Lakhs)</t>
  </si>
  <si>
    <t>Subsidy per bus(Lakhs)</t>
  </si>
  <si>
    <t>Subsidy on chargers(Lakhs)</t>
  </si>
  <si>
    <t xml:space="preserve">Supply of 5 E Buses </t>
  </si>
  <si>
    <t xml:space="preserve">AMC Charges for E Buses 5 Nos </t>
  </si>
  <si>
    <t xml:space="preserve">AMC Charges for DC Chargers 2 Nos </t>
  </si>
  <si>
    <t>Driver Rate(Rs)</t>
  </si>
  <si>
    <t>Cleaner Rate(Rs)</t>
  </si>
  <si>
    <t>Monitoring Manger(Rs/Month)</t>
  </si>
  <si>
    <t>MIS(Rs/Month)</t>
  </si>
  <si>
    <t>Subsidized Supply E Buses 5 Nos (12 M)</t>
  </si>
  <si>
    <t>Subsidized Supply of 120 KW DC fast Chargers 2 Nos (GB/T)</t>
  </si>
  <si>
    <t>Year</t>
  </si>
  <si>
    <t>Insurance Cost Per Km</t>
  </si>
  <si>
    <t>Insurance Per Year(Lakhs)</t>
  </si>
  <si>
    <t>Misc Cost per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</si>
</sst>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4" formatCode="&quot;₹&quot;\ #,##0.00;[Red]&quot;₹&quot;\ \-#,##0.00"/>
    <numFmt numFmtId="165" formatCode="_ * #,##0.00_ ;_ * \-#,##0.00_ ;_ * &quot;-&quot;??_ ;_ @_ "/>
    <numFmt numFmtId="166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5" fontId="0" fillId="0" borderId="0" xfId="2" applyFont="1"/>
    <xf numFmtId="166" fontId="0" fillId="0" borderId="0" xfId="2" applyNumberFormat="1" applyFont="1"/>
    <xf numFmtId="166" fontId="0" fillId="0" borderId="0" xfId="0" applyNumberFormat="1"/>
    <xf numFmtId="165" fontId="0" fillId="0" borderId="0" xfId="2" applyNumberFormat="1" applyFont="1"/>
    <xf numFmtId="9" fontId="0" fillId="0" borderId="0" xfId="0" applyNumberFormat="1"/>
    <xf numFmtId="165" fontId="0" fillId="0" borderId="0" xfId="0" applyNumberFormat="1"/>
    <xf numFmtId="0" fontId="5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/>
    <xf numFmtId="9" fontId="0" fillId="0" borderId="0" xfId="1" applyFont="1" applyAlignment="1">
      <alignment horizontal="center"/>
    </xf>
    <xf numFmtId="10" fontId="0" fillId="0" borderId="0" xfId="0" applyNumberFormat="1"/>
    <xf numFmtId="0" fontId="5" fillId="0" borderId="0" xfId="0" applyFont="1" applyAlignment="1">
      <alignment horizontal="center"/>
    </xf>
    <xf numFmtId="165" fontId="5" fillId="0" borderId="0" xfId="2" applyNumberFormat="1" applyFont="1"/>
    <xf numFmtId="0" fontId="4" fillId="0" borderId="0" xfId="0" applyFont="1"/>
    <xf numFmtId="0" fontId="6" fillId="0" borderId="0" xfId="0" applyFont="1"/>
    <xf numFmtId="8" fontId="0" fillId="0" borderId="0" xfId="0" applyNumberFormat="1"/>
    <xf numFmtId="9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</cellXfs>
  <cellStyles count="3">
    <cellStyle name="Comma 2" xfId="2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7"/>
  <sheetViews>
    <sheetView workbookViewId="0">
      <selection activeCell="H11" sqref="H11:H13"/>
    </sheetView>
  </sheetViews>
  <sheetFormatPr defaultRowHeight="15" x14ac:dyDescent="0.25"/>
  <cols>
    <col min="2" max="2" width="19" customWidth="1"/>
    <col min="7" max="7" width="17" customWidth="1"/>
  </cols>
  <sheetData>
    <row r="3" spans="1:9" ht="45" x14ac:dyDescent="0.25">
      <c r="A3" s="14"/>
      <c r="B3" s="14"/>
      <c r="C3" s="16" t="s">
        <v>29</v>
      </c>
      <c r="D3" s="16" t="s">
        <v>30</v>
      </c>
      <c r="E3" s="16" t="s">
        <v>31</v>
      </c>
      <c r="F3" s="16" t="s">
        <v>32</v>
      </c>
      <c r="G3" s="16" t="s">
        <v>33</v>
      </c>
      <c r="H3" s="16" t="s">
        <v>34</v>
      </c>
    </row>
    <row r="4" spans="1:9" x14ac:dyDescent="0.25">
      <c r="A4" s="25" t="s">
        <v>35</v>
      </c>
      <c r="B4" s="23" t="s">
        <v>36</v>
      </c>
      <c r="C4" s="16"/>
      <c r="D4" s="16"/>
      <c r="E4" s="16"/>
      <c r="F4" s="16"/>
      <c r="G4" s="16"/>
      <c r="H4" s="16"/>
    </row>
    <row r="5" spans="1:9" x14ac:dyDescent="0.25">
      <c r="A5" s="25">
        <v>1</v>
      </c>
      <c r="B5" s="14" t="s">
        <v>37</v>
      </c>
      <c r="C5" s="25">
        <v>1</v>
      </c>
      <c r="D5" s="14">
        <v>1</v>
      </c>
      <c r="E5" s="14">
        <v>1</v>
      </c>
      <c r="F5" s="14">
        <v>50000</v>
      </c>
      <c r="G5" s="14">
        <v>50000</v>
      </c>
      <c r="H5" s="20">
        <v>1.0957703265395573</v>
      </c>
      <c r="I5">
        <f>G5*12</f>
        <v>600000</v>
      </c>
    </row>
    <row r="6" spans="1:9" x14ac:dyDescent="0.25">
      <c r="A6" s="25">
        <v>2</v>
      </c>
      <c r="B6" s="14" t="s">
        <v>38</v>
      </c>
      <c r="C6" s="25">
        <v>2</v>
      </c>
      <c r="D6" s="14">
        <v>1</v>
      </c>
      <c r="E6" s="14">
        <v>2</v>
      </c>
      <c r="F6" s="14">
        <v>25000</v>
      </c>
      <c r="G6" s="14">
        <v>50000</v>
      </c>
      <c r="H6" s="20">
        <v>1.0957703265395573</v>
      </c>
      <c r="I6" s="14">
        <f t="shared" ref="I6:I8" si="0">G6*12</f>
        <v>600000</v>
      </c>
    </row>
    <row r="7" spans="1:9" x14ac:dyDescent="0.25">
      <c r="A7" s="25">
        <v>3</v>
      </c>
      <c r="B7" s="14" t="s">
        <v>39</v>
      </c>
      <c r="C7" s="25">
        <v>10</v>
      </c>
      <c r="D7" s="14">
        <v>60.84</v>
      </c>
      <c r="E7" s="14">
        <v>608.40000000000009</v>
      </c>
      <c r="F7" s="14">
        <v>1000</v>
      </c>
      <c r="G7" s="14">
        <v>608400.00000000012</v>
      </c>
      <c r="H7" s="20">
        <v>13.333333333333336</v>
      </c>
      <c r="I7" s="14">
        <f t="shared" si="0"/>
        <v>7300800.0000000019</v>
      </c>
    </row>
    <row r="8" spans="1:9" x14ac:dyDescent="0.25">
      <c r="A8" s="25">
        <v>4</v>
      </c>
      <c r="B8" s="14" t="s">
        <v>40</v>
      </c>
      <c r="C8" s="25">
        <v>8</v>
      </c>
      <c r="D8" s="14">
        <v>60.84</v>
      </c>
      <c r="E8" s="14">
        <v>486.72</v>
      </c>
      <c r="F8" s="14">
        <v>900</v>
      </c>
      <c r="G8" s="14">
        <v>438048</v>
      </c>
      <c r="H8" s="20">
        <v>9.6</v>
      </c>
      <c r="I8" s="14">
        <f t="shared" si="0"/>
        <v>5256576</v>
      </c>
    </row>
    <row r="9" spans="1:9" x14ac:dyDescent="0.25">
      <c r="A9" s="14"/>
      <c r="B9" s="14"/>
      <c r="C9" s="14"/>
      <c r="D9" s="14"/>
      <c r="E9" s="14"/>
      <c r="F9" s="14"/>
      <c r="G9" s="18">
        <v>1146448</v>
      </c>
      <c r="H9" s="20">
        <v>25.12487398641245</v>
      </c>
    </row>
    <row r="10" spans="1:9" x14ac:dyDescent="0.25">
      <c r="A10" s="25" t="s">
        <v>41</v>
      </c>
      <c r="B10" s="23" t="s">
        <v>42</v>
      </c>
      <c r="C10" s="14"/>
      <c r="D10" s="14"/>
      <c r="E10" s="14"/>
      <c r="F10" s="14"/>
      <c r="G10" s="14"/>
      <c r="H10" s="20"/>
    </row>
    <row r="11" spans="1:9" x14ac:dyDescent="0.25">
      <c r="A11" s="25">
        <v>1</v>
      </c>
      <c r="B11" s="14" t="s">
        <v>43</v>
      </c>
      <c r="C11" s="25">
        <v>5</v>
      </c>
      <c r="D11" s="14">
        <v>1</v>
      </c>
      <c r="E11" s="14">
        <v>5</v>
      </c>
      <c r="F11" s="14">
        <v>20000</v>
      </c>
      <c r="G11" s="14">
        <v>100000</v>
      </c>
      <c r="H11" s="20">
        <v>2.1915406530791146</v>
      </c>
      <c r="I11">
        <f>G11*12</f>
        <v>1200000</v>
      </c>
    </row>
    <row r="12" spans="1:9" x14ac:dyDescent="0.25">
      <c r="A12" s="25">
        <v>2</v>
      </c>
      <c r="B12" s="14" t="s">
        <v>44</v>
      </c>
      <c r="C12" s="25">
        <v>4</v>
      </c>
      <c r="D12" s="14">
        <v>2</v>
      </c>
      <c r="E12" s="14">
        <v>8</v>
      </c>
      <c r="F12" s="14">
        <v>20000</v>
      </c>
      <c r="G12" s="14">
        <v>160000</v>
      </c>
      <c r="H12" s="20">
        <v>3.5064650449265833</v>
      </c>
      <c r="I12" s="14">
        <f t="shared" ref="I12:I13" si="1">G12*12</f>
        <v>1920000</v>
      </c>
    </row>
    <row r="13" spans="1:9" x14ac:dyDescent="0.25">
      <c r="A13" s="25">
        <v>3</v>
      </c>
      <c r="B13" s="14" t="s">
        <v>45</v>
      </c>
      <c r="C13" s="25">
        <v>10</v>
      </c>
      <c r="D13" s="14">
        <v>60.84</v>
      </c>
      <c r="E13" s="14">
        <v>608.40000000000009</v>
      </c>
      <c r="F13" s="14">
        <v>900</v>
      </c>
      <c r="G13" s="14">
        <v>547560.00000000012</v>
      </c>
      <c r="H13" s="20">
        <v>12.000000000000002</v>
      </c>
      <c r="I13" s="14">
        <f t="shared" si="1"/>
        <v>6570720.0000000019</v>
      </c>
    </row>
    <row r="14" spans="1:9" x14ac:dyDescent="0.25">
      <c r="A14" s="14"/>
      <c r="B14" s="14"/>
      <c r="C14" s="14"/>
      <c r="D14" s="14"/>
      <c r="E14" s="14"/>
      <c r="F14" s="14"/>
      <c r="G14" s="18">
        <v>807560.00000000012</v>
      </c>
      <c r="H14" s="20">
        <v>17.698005698005701</v>
      </c>
    </row>
    <row r="15" spans="1:9" x14ac:dyDescent="0.25">
      <c r="A15" s="14"/>
      <c r="B15" s="14"/>
      <c r="C15" s="14"/>
      <c r="D15" s="14"/>
      <c r="E15" s="14"/>
      <c r="F15" s="14"/>
      <c r="G15" s="18"/>
      <c r="H15" s="20"/>
    </row>
    <row r="16" spans="1:9" x14ac:dyDescent="0.25">
      <c r="A16" s="25" t="s">
        <v>46</v>
      </c>
      <c r="B16" s="14" t="s">
        <v>47</v>
      </c>
      <c r="C16" s="14"/>
      <c r="D16" s="14"/>
      <c r="E16" s="14"/>
      <c r="F16" s="14"/>
      <c r="G16" s="19">
        <v>1954008</v>
      </c>
      <c r="H16" s="20">
        <v>42.822879684418147</v>
      </c>
    </row>
    <row r="18" spans="1:8" x14ac:dyDescent="0.25">
      <c r="A18" s="25" t="s">
        <v>48</v>
      </c>
      <c r="B18" s="14" t="s">
        <v>49</v>
      </c>
      <c r="C18" s="26">
        <v>0.2</v>
      </c>
      <c r="D18" s="14"/>
      <c r="E18" s="14"/>
      <c r="F18" s="14"/>
      <c r="G18" s="22">
        <v>390801.60000000003</v>
      </c>
      <c r="H18" s="22">
        <v>8.5645759368836298</v>
      </c>
    </row>
    <row r="20" spans="1:8" x14ac:dyDescent="0.25">
      <c r="A20" s="25" t="s">
        <v>50</v>
      </c>
      <c r="B20" s="14" t="s">
        <v>51</v>
      </c>
      <c r="C20" s="14"/>
      <c r="D20" s="14"/>
      <c r="E20" s="14"/>
      <c r="F20" s="14"/>
      <c r="G20" s="22">
        <v>2344809.6</v>
      </c>
      <c r="H20" s="22">
        <v>51.387455621301775</v>
      </c>
    </row>
    <row r="22" spans="1:8" x14ac:dyDescent="0.25">
      <c r="A22" s="14"/>
      <c r="B22" s="14" t="s">
        <v>52</v>
      </c>
      <c r="C22" s="25">
        <v>150</v>
      </c>
      <c r="D22" s="14"/>
      <c r="E22" s="14"/>
      <c r="F22" s="14"/>
      <c r="G22" s="14"/>
      <c r="H22" s="14"/>
    </row>
    <row r="23" spans="1:8" x14ac:dyDescent="0.25">
      <c r="A23" s="14"/>
      <c r="B23" s="14" t="s">
        <v>53</v>
      </c>
      <c r="C23" s="25">
        <v>10</v>
      </c>
      <c r="D23" s="14"/>
      <c r="E23" s="14"/>
      <c r="F23" s="14"/>
      <c r="G23" s="14"/>
      <c r="H23" s="14"/>
    </row>
    <row r="24" spans="1:8" x14ac:dyDescent="0.25">
      <c r="A24" s="14"/>
      <c r="B24" s="14" t="s">
        <v>54</v>
      </c>
      <c r="C24" s="25">
        <v>1500</v>
      </c>
      <c r="D24" s="14"/>
      <c r="E24" s="14"/>
      <c r="F24" s="14"/>
      <c r="G24" s="14"/>
      <c r="H24" s="14"/>
    </row>
    <row r="25" spans="1:8" x14ac:dyDescent="0.25">
      <c r="A25" s="14"/>
      <c r="B25" s="14" t="s">
        <v>55</v>
      </c>
      <c r="C25" s="25">
        <v>45630</v>
      </c>
      <c r="D25" s="14"/>
      <c r="E25" s="14"/>
      <c r="F25" s="14"/>
      <c r="G25" s="14"/>
      <c r="H25" s="14"/>
    </row>
    <row r="27" spans="1:8" ht="45" x14ac:dyDescent="0.25">
      <c r="A27" s="14"/>
      <c r="B27" s="14"/>
      <c r="C27" s="25" t="s">
        <v>56</v>
      </c>
      <c r="D27" s="14" t="s">
        <v>57</v>
      </c>
      <c r="E27" s="14" t="s">
        <v>58</v>
      </c>
      <c r="F27" s="15" t="s">
        <v>59</v>
      </c>
      <c r="G27" s="25" t="s">
        <v>60</v>
      </c>
      <c r="H27" s="14"/>
    </row>
    <row r="28" spans="1:8" x14ac:dyDescent="0.25">
      <c r="A28" s="14"/>
      <c r="B28" s="14" t="s">
        <v>61</v>
      </c>
      <c r="C28" s="25">
        <v>10</v>
      </c>
      <c r="D28" s="14">
        <v>1.9400000000000002</v>
      </c>
      <c r="E28" s="14">
        <v>19.400000000000002</v>
      </c>
      <c r="F28" s="14">
        <v>232.8</v>
      </c>
      <c r="G28" s="24">
        <v>42.515888669734828</v>
      </c>
      <c r="H28" s="14"/>
    </row>
    <row r="29" spans="1:8" x14ac:dyDescent="0.25">
      <c r="A29" s="14"/>
      <c r="B29" s="14" t="s">
        <v>62</v>
      </c>
      <c r="C29" s="25">
        <v>4</v>
      </c>
      <c r="D29" s="24">
        <v>6.7083333333333342E-2</v>
      </c>
      <c r="E29" s="24">
        <v>0.26833333333333337</v>
      </c>
      <c r="F29" s="14">
        <v>3.2200000000000006</v>
      </c>
      <c r="G29" s="24">
        <v>0.58806340857622919</v>
      </c>
      <c r="H29" s="14"/>
    </row>
    <row r="30" spans="1:8" x14ac:dyDescent="0.25">
      <c r="A30" s="14"/>
      <c r="B30" s="14" t="s">
        <v>2</v>
      </c>
      <c r="C30" s="14"/>
      <c r="D30" s="14"/>
      <c r="E30" s="14"/>
      <c r="F30" s="14"/>
      <c r="G30" s="24">
        <v>43.10395207831106</v>
      </c>
      <c r="H30" s="14"/>
    </row>
    <row r="32" spans="1:8" x14ac:dyDescent="0.25">
      <c r="A32" s="14"/>
      <c r="B32" s="14" t="s">
        <v>63</v>
      </c>
      <c r="C32" s="14"/>
      <c r="D32" s="14"/>
      <c r="E32" s="14"/>
      <c r="F32" s="14"/>
      <c r="G32" s="25" t="s">
        <v>64</v>
      </c>
      <c r="H32" s="14"/>
    </row>
    <row r="33" spans="2:7" x14ac:dyDescent="0.25">
      <c r="B33" s="32" t="s">
        <v>65</v>
      </c>
      <c r="C33" s="14"/>
      <c r="D33" s="14"/>
      <c r="E33" s="14"/>
      <c r="F33" s="14"/>
      <c r="G33" s="33">
        <v>9.8399999999999981</v>
      </c>
    </row>
    <row r="34" spans="2:7" x14ac:dyDescent="0.25">
      <c r="B34" s="32" t="s">
        <v>66</v>
      </c>
      <c r="C34" s="14"/>
      <c r="D34" s="14"/>
      <c r="E34" s="14"/>
      <c r="F34" s="14"/>
      <c r="G34" s="14"/>
    </row>
    <row r="35" spans="2:7" x14ac:dyDescent="0.25">
      <c r="B35" s="32" t="s">
        <v>67</v>
      </c>
      <c r="C35" s="14"/>
      <c r="D35" s="14"/>
      <c r="E35" s="14"/>
      <c r="F35" s="14"/>
      <c r="G35" s="14"/>
    </row>
    <row r="36" spans="2:7" x14ac:dyDescent="0.25">
      <c r="B36" s="32" t="s">
        <v>68</v>
      </c>
      <c r="C36" s="14"/>
      <c r="D36" s="14"/>
      <c r="E36" s="14"/>
      <c r="F36" s="14"/>
      <c r="G36" s="14"/>
    </row>
    <row r="37" spans="2:7" x14ac:dyDescent="0.25">
      <c r="B37" s="32" t="s">
        <v>69</v>
      </c>
      <c r="C37" s="14"/>
      <c r="D37" s="14"/>
      <c r="E37" s="14"/>
      <c r="F37" s="14"/>
      <c r="G37" s="14"/>
    </row>
    <row r="38" spans="2:7" x14ac:dyDescent="0.25">
      <c r="B38" s="32" t="s">
        <v>70</v>
      </c>
      <c r="C38" s="25">
        <v>1.2</v>
      </c>
      <c r="D38" s="14"/>
      <c r="E38" s="14"/>
      <c r="F38" s="14"/>
      <c r="G38" s="14"/>
    </row>
    <row r="39" spans="2:7" x14ac:dyDescent="0.25">
      <c r="B39" s="32" t="s">
        <v>71</v>
      </c>
      <c r="C39" s="25">
        <v>8.1999999999999993</v>
      </c>
      <c r="D39" s="14"/>
      <c r="E39" s="14"/>
      <c r="F39" s="14"/>
      <c r="G39" s="14"/>
    </row>
    <row r="40" spans="2:7" x14ac:dyDescent="0.25">
      <c r="B40" s="32" t="s">
        <v>72</v>
      </c>
      <c r="C40" s="25">
        <v>9.8399999999999981</v>
      </c>
      <c r="D40" s="14"/>
      <c r="E40" s="14"/>
      <c r="F40" s="14"/>
      <c r="G40" s="14"/>
    </row>
    <row r="42" spans="2:7" x14ac:dyDescent="0.25">
      <c r="B42" s="23" t="s">
        <v>73</v>
      </c>
      <c r="C42" s="14"/>
      <c r="D42" s="14"/>
      <c r="E42" s="14"/>
      <c r="F42" s="14"/>
      <c r="G42" s="25" t="s">
        <v>64</v>
      </c>
    </row>
    <row r="43" spans="2:7" x14ac:dyDescent="0.25">
      <c r="B43" s="14" t="s">
        <v>74</v>
      </c>
      <c r="C43" s="25">
        <v>10</v>
      </c>
      <c r="D43" s="14">
        <v>152.93</v>
      </c>
      <c r="E43" s="14">
        <v>1529.3000000000002</v>
      </c>
      <c r="F43" s="14"/>
      <c r="G43" s="14">
        <v>63.196556441972469</v>
      </c>
    </row>
    <row r="44" spans="2:7" x14ac:dyDescent="0.25">
      <c r="B44" s="14" t="s">
        <v>75</v>
      </c>
      <c r="C44" s="25">
        <v>4</v>
      </c>
      <c r="D44" s="14">
        <v>35.484999999999999</v>
      </c>
      <c r="E44" s="14">
        <v>141.94</v>
      </c>
      <c r="F44" s="14"/>
      <c r="G44" s="14"/>
    </row>
    <row r="45" spans="2:7" x14ac:dyDescent="0.25">
      <c r="B45" s="14" t="s">
        <v>76</v>
      </c>
      <c r="C45" s="25">
        <v>1</v>
      </c>
      <c r="D45" s="14">
        <v>34.89</v>
      </c>
      <c r="E45" s="14">
        <v>34.89</v>
      </c>
      <c r="F45" s="14"/>
      <c r="G45" s="14"/>
    </row>
    <row r="46" spans="2:7" x14ac:dyDescent="0.25">
      <c r="B46" s="14" t="s">
        <v>3</v>
      </c>
      <c r="C46" s="25">
        <v>1</v>
      </c>
      <c r="D46" s="14">
        <v>20.56</v>
      </c>
      <c r="E46" s="14">
        <v>20.56</v>
      </c>
      <c r="F46" s="14"/>
      <c r="G46" s="14"/>
    </row>
    <row r="47" spans="2:7" x14ac:dyDescent="0.25">
      <c r="B47" s="14" t="s">
        <v>77</v>
      </c>
      <c r="C47" s="25">
        <v>1</v>
      </c>
      <c r="D47" s="14">
        <v>10</v>
      </c>
      <c r="E47" s="14">
        <v>10</v>
      </c>
      <c r="F47" s="14"/>
      <c r="G47" s="14"/>
    </row>
    <row r="48" spans="2:7" x14ac:dyDescent="0.25">
      <c r="B48" s="14" t="s">
        <v>2</v>
      </c>
      <c r="C48" s="14"/>
      <c r="D48" s="14"/>
      <c r="E48" s="14">
        <v>1736.6900000000003</v>
      </c>
      <c r="F48" s="14"/>
      <c r="G48" s="14"/>
    </row>
    <row r="49" spans="2:9" x14ac:dyDescent="0.25">
      <c r="B49" s="14" t="s">
        <v>78</v>
      </c>
      <c r="C49" s="14"/>
      <c r="D49" s="14">
        <v>10</v>
      </c>
      <c r="E49" s="14"/>
      <c r="F49" s="14"/>
      <c r="G49" s="14"/>
      <c r="H49" s="14"/>
      <c r="I49" s="14"/>
    </row>
    <row r="50" spans="2:9" x14ac:dyDescent="0.25">
      <c r="B50" s="14" t="s">
        <v>79</v>
      </c>
      <c r="C50" s="14"/>
      <c r="D50" s="21">
        <v>0.15</v>
      </c>
      <c r="E50" s="14"/>
      <c r="F50" s="14" t="s">
        <v>80</v>
      </c>
      <c r="G50" s="28" t="s">
        <v>81</v>
      </c>
      <c r="H50" s="14" t="s">
        <v>82</v>
      </c>
      <c r="I50" s="14"/>
    </row>
    <row r="51" spans="2:9" x14ac:dyDescent="0.25">
      <c r="B51" s="14" t="s">
        <v>83</v>
      </c>
      <c r="C51" s="25" t="s">
        <v>84</v>
      </c>
      <c r="D51" s="27">
        <v>-346.03906445366403</v>
      </c>
      <c r="E51" s="34"/>
      <c r="F51" s="14" t="s">
        <v>85</v>
      </c>
      <c r="G51" s="17">
        <v>0</v>
      </c>
      <c r="H51" s="21">
        <v>0</v>
      </c>
      <c r="I51" s="14">
        <v>0</v>
      </c>
    </row>
    <row r="52" spans="2:9" x14ac:dyDescent="0.25">
      <c r="B52" s="14" t="s">
        <v>86</v>
      </c>
      <c r="C52" s="25" t="s">
        <v>84</v>
      </c>
      <c r="D52" s="27">
        <v>-28.836588704472</v>
      </c>
      <c r="E52" s="34"/>
      <c r="F52" s="14" t="s">
        <v>87</v>
      </c>
      <c r="G52" s="17">
        <v>1</v>
      </c>
      <c r="H52" s="21">
        <v>0.15</v>
      </c>
      <c r="I52" s="14">
        <v>0.15</v>
      </c>
    </row>
    <row r="53" spans="2:9" x14ac:dyDescent="0.25">
      <c r="B53" s="14" t="s">
        <v>88</v>
      </c>
      <c r="C53" s="25" t="s">
        <v>89</v>
      </c>
      <c r="D53" s="27">
        <v>-63.196556441972469</v>
      </c>
      <c r="E53" s="14"/>
      <c r="F53" s="14" t="s">
        <v>90</v>
      </c>
      <c r="G53" s="17">
        <v>0</v>
      </c>
      <c r="H53" s="21">
        <v>0.12</v>
      </c>
      <c r="I53" s="14">
        <v>0</v>
      </c>
    </row>
    <row r="54" spans="2:9" x14ac:dyDescent="0.25">
      <c r="B54" s="14"/>
      <c r="C54" s="14"/>
      <c r="D54" s="14"/>
      <c r="E54" s="14"/>
      <c r="F54" s="14" t="s">
        <v>2</v>
      </c>
      <c r="G54" s="29">
        <v>0.15</v>
      </c>
      <c r="H54" s="14"/>
      <c r="I54" s="24">
        <v>0.15</v>
      </c>
    </row>
    <row r="55" spans="2:9" x14ac:dyDescent="0.25">
      <c r="B55" s="23" t="s">
        <v>91</v>
      </c>
      <c r="C55" s="14"/>
      <c r="D55" s="14"/>
      <c r="E55" s="14"/>
      <c r="F55" s="14"/>
      <c r="G55" s="14"/>
      <c r="H55" s="14"/>
      <c r="I55" s="14"/>
    </row>
    <row r="56" spans="2:9" x14ac:dyDescent="0.25">
      <c r="B56" s="14" t="s">
        <v>92</v>
      </c>
      <c r="C56" s="25" t="s">
        <v>93</v>
      </c>
      <c r="D56" s="20">
        <v>63.196556441972469</v>
      </c>
      <c r="E56" s="14"/>
      <c r="F56" s="14"/>
      <c r="G56" s="14"/>
      <c r="H56" s="14"/>
      <c r="I56" s="14"/>
    </row>
    <row r="57" spans="2:9" x14ac:dyDescent="0.25">
      <c r="B57" s="14" t="s">
        <v>94</v>
      </c>
      <c r="C57" s="25" t="s">
        <v>93</v>
      </c>
      <c r="D57" s="20">
        <v>51.387455621301775</v>
      </c>
      <c r="E57" s="14"/>
      <c r="F57" s="14"/>
      <c r="G57" s="14"/>
      <c r="H57" s="14"/>
      <c r="I57" s="14"/>
    </row>
    <row r="58" spans="2:9" x14ac:dyDescent="0.25">
      <c r="B58" s="14" t="s">
        <v>95</v>
      </c>
      <c r="C58" s="25" t="s">
        <v>93</v>
      </c>
      <c r="D58" s="20">
        <v>43.10395207831106</v>
      </c>
      <c r="E58" s="14"/>
      <c r="F58" s="14"/>
      <c r="G58" s="14"/>
      <c r="H58" s="14"/>
      <c r="I58" s="14"/>
    </row>
    <row r="59" spans="2:9" x14ac:dyDescent="0.25">
      <c r="B59" s="14" t="s">
        <v>96</v>
      </c>
      <c r="C59" s="25" t="s">
        <v>93</v>
      </c>
      <c r="D59" s="20">
        <v>9.8399999999999981</v>
      </c>
      <c r="E59" s="14"/>
      <c r="F59" s="14"/>
      <c r="G59" s="14"/>
      <c r="H59" s="14"/>
      <c r="I59" s="14"/>
    </row>
    <row r="60" spans="2:9" x14ac:dyDescent="0.25">
      <c r="B60" s="23" t="s">
        <v>91</v>
      </c>
      <c r="C60" s="30" t="s">
        <v>93</v>
      </c>
      <c r="D60" s="31">
        <v>167.5279641415853</v>
      </c>
      <c r="E60" s="14"/>
      <c r="F60" s="14"/>
      <c r="G60" s="14"/>
      <c r="H60" s="14"/>
      <c r="I60" s="14"/>
    </row>
    <row r="63" spans="2:9" x14ac:dyDescent="0.25">
      <c r="B63" s="14" t="s">
        <v>97</v>
      </c>
      <c r="C63" s="14"/>
      <c r="D63" s="14"/>
      <c r="E63" s="14"/>
      <c r="F63" s="14"/>
      <c r="G63" s="14"/>
      <c r="H63" s="14"/>
      <c r="I63" s="14"/>
    </row>
    <row r="64" spans="2:9" x14ac:dyDescent="0.25">
      <c r="B64" s="14" t="s">
        <v>98</v>
      </c>
      <c r="C64" s="14"/>
      <c r="D64" s="14"/>
      <c r="E64" s="14"/>
      <c r="F64" s="14"/>
      <c r="G64" s="14"/>
      <c r="H64" s="14"/>
      <c r="I64" s="14"/>
    </row>
    <row r="65" spans="2:2" x14ac:dyDescent="0.25">
      <c r="B65" s="14" t="s">
        <v>99</v>
      </c>
    </row>
    <row r="66" spans="2:2" x14ac:dyDescent="0.25">
      <c r="B66" s="14" t="s">
        <v>100</v>
      </c>
    </row>
    <row r="67" spans="2:2" x14ac:dyDescent="0.25">
      <c r="B67" s="14" t="s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topLeftCell="A7" workbookViewId="0">
      <selection activeCell="C15" sqref="C15"/>
    </sheetView>
  </sheetViews>
  <sheetFormatPr defaultRowHeight="15.75" x14ac:dyDescent="0.25"/>
  <cols>
    <col min="1" max="1" width="17" style="2" customWidth="1"/>
    <col min="2" max="2" width="48.140625" style="2" customWidth="1"/>
    <col min="3" max="3" width="15.5703125" style="2" customWidth="1"/>
    <col min="4" max="4" width="19.28515625" style="2" customWidth="1"/>
    <col min="5" max="5" width="23.7109375" style="2" customWidth="1"/>
    <col min="6" max="6" width="21.28515625" style="2" customWidth="1"/>
    <col min="7" max="7" width="26.7109375" style="2" customWidth="1"/>
    <col min="8" max="8" width="20.85546875" style="2" customWidth="1"/>
    <col min="9" max="16384" width="9.140625" style="2"/>
  </cols>
  <sheetData>
    <row r="1" spans="1:8" ht="31.5" x14ac:dyDescent="0.25">
      <c r="A1" s="12" t="s">
        <v>0</v>
      </c>
      <c r="B1" s="12" t="s">
        <v>1</v>
      </c>
      <c r="C1" s="12" t="s">
        <v>8</v>
      </c>
      <c r="D1" s="12" t="s">
        <v>9</v>
      </c>
      <c r="E1" s="12" t="s">
        <v>112</v>
      </c>
      <c r="F1" s="12" t="s">
        <v>18</v>
      </c>
      <c r="G1" s="12" t="s">
        <v>24</v>
      </c>
    </row>
    <row r="2" spans="1:8" x14ac:dyDescent="0.25">
      <c r="A2" s="3"/>
      <c r="B2" s="1" t="s">
        <v>16</v>
      </c>
      <c r="C2" s="3"/>
      <c r="D2" s="3"/>
      <c r="E2" s="3"/>
      <c r="F2" s="3"/>
      <c r="G2" s="3"/>
    </row>
    <row r="3" spans="1:8" x14ac:dyDescent="0.25">
      <c r="A3" s="3">
        <v>1</v>
      </c>
      <c r="B3" s="3" t="s">
        <v>137</v>
      </c>
      <c r="C3" s="4">
        <f>C34*C37-C46*C37</f>
        <v>764.65000000000009</v>
      </c>
      <c r="D3" s="4">
        <f>-1*+PMT($C$40,$C$41,C3)</f>
        <v>152.35808960407124</v>
      </c>
      <c r="E3" s="4">
        <f>D3/12</f>
        <v>12.696507467005937</v>
      </c>
      <c r="F3" s="4">
        <f t="shared" ref="F3:F8" si="0">D3*10^5/$C$45</f>
        <v>55.649824532132087</v>
      </c>
      <c r="G3" s="4" t="s">
        <v>25</v>
      </c>
    </row>
    <row r="4" spans="1:8" x14ac:dyDescent="0.25">
      <c r="A4" s="3">
        <v>2</v>
      </c>
      <c r="B4" s="3" t="s">
        <v>124</v>
      </c>
      <c r="C4" s="4">
        <f>C35*C36-C47</f>
        <v>68.239999999999995</v>
      </c>
      <c r="D4" s="4">
        <f>-1*+PMT($C$40,$C$41,C4)</f>
        <v>13.596960746199986</v>
      </c>
      <c r="E4" s="4">
        <f t="shared" ref="E4:E22" si="1">D4/12</f>
        <v>1.1330800621833321</v>
      </c>
      <c r="F4" s="4">
        <f t="shared" si="0"/>
        <v>4.9663820389363673</v>
      </c>
      <c r="G4" s="4" t="s">
        <v>25</v>
      </c>
    </row>
    <row r="5" spans="1:8" x14ac:dyDescent="0.25">
      <c r="A5" s="3">
        <v>3</v>
      </c>
      <c r="B5" s="3" t="s">
        <v>125</v>
      </c>
      <c r="C5" s="4">
        <v>0</v>
      </c>
      <c r="D5" s="4">
        <f>-1*+PMT(0%,$C$41,C5)</f>
        <v>0</v>
      </c>
      <c r="E5" s="4">
        <f t="shared" si="1"/>
        <v>0</v>
      </c>
      <c r="F5" s="4">
        <f t="shared" si="0"/>
        <v>0</v>
      </c>
      <c r="G5" s="4" t="s">
        <v>26</v>
      </c>
    </row>
    <row r="6" spans="1:8" x14ac:dyDescent="0.25">
      <c r="A6" s="3">
        <v>4</v>
      </c>
      <c r="B6" s="3" t="s">
        <v>4</v>
      </c>
      <c r="C6" s="4">
        <v>2.73</v>
      </c>
      <c r="D6" s="4">
        <f>-1*+PMT(0%,$C$41,C6)</f>
        <v>0.27300000000000002</v>
      </c>
      <c r="E6" s="4">
        <f t="shared" si="1"/>
        <v>2.2750000000000003E-2</v>
      </c>
      <c r="F6" s="4">
        <f t="shared" si="0"/>
        <v>9.9715099715099731E-2</v>
      </c>
      <c r="G6" s="4" t="s">
        <v>26</v>
      </c>
    </row>
    <row r="7" spans="1:8" ht="31.5" x14ac:dyDescent="0.25">
      <c r="A7" s="3">
        <v>5</v>
      </c>
      <c r="B7" s="3" t="s">
        <v>7</v>
      </c>
      <c r="C7" s="4">
        <v>34.89</v>
      </c>
      <c r="D7" s="4">
        <f>-1*+PMT(0%,$C$41,C7)</f>
        <v>3.4889999999999999</v>
      </c>
      <c r="E7" s="4">
        <f t="shared" si="1"/>
        <v>0.29075000000000001</v>
      </c>
      <c r="F7" s="4">
        <f t="shared" si="0"/>
        <v>1.2743808897655051</v>
      </c>
      <c r="G7" s="4" t="s">
        <v>26</v>
      </c>
    </row>
    <row r="8" spans="1:8" x14ac:dyDescent="0.25">
      <c r="A8" s="3">
        <v>6</v>
      </c>
      <c r="B8" s="3" t="s">
        <v>3</v>
      </c>
      <c r="C8" s="4">
        <v>10.28</v>
      </c>
      <c r="D8" s="4">
        <f>-1*+PMT(0%,$C$41,C8)</f>
        <v>1.028</v>
      </c>
      <c r="E8" s="4">
        <f t="shared" si="1"/>
        <v>8.5666666666666669E-2</v>
      </c>
      <c r="F8" s="4">
        <f t="shared" si="0"/>
        <v>0.37548396522755495</v>
      </c>
      <c r="G8" s="4" t="s">
        <v>26</v>
      </c>
    </row>
    <row r="9" spans="1:8" x14ac:dyDescent="0.25">
      <c r="A9" s="3">
        <v>7</v>
      </c>
      <c r="B9" s="3" t="s">
        <v>13</v>
      </c>
      <c r="C9" s="4"/>
      <c r="D9" s="4"/>
      <c r="E9" s="4"/>
      <c r="F9" s="4"/>
      <c r="G9" s="4"/>
    </row>
    <row r="10" spans="1:8" x14ac:dyDescent="0.25">
      <c r="B10" s="1" t="s">
        <v>19</v>
      </c>
      <c r="C10" s="5">
        <f>SUM(C3:C8)</f>
        <v>880.79000000000008</v>
      </c>
      <c r="D10" s="5">
        <f>SUM(D3:D8)</f>
        <v>170.74505035027121</v>
      </c>
      <c r="E10" s="5">
        <f>SUM(E3:E8)</f>
        <v>14.228754195855934</v>
      </c>
      <c r="F10" s="5">
        <f>SUM(F3:F8)</f>
        <v>62.365786525776606</v>
      </c>
      <c r="G10" s="5"/>
    </row>
    <row r="11" spans="1:8" x14ac:dyDescent="0.25">
      <c r="A11" s="3"/>
      <c r="B11" s="1" t="s">
        <v>17</v>
      </c>
      <c r="C11" s="4"/>
      <c r="D11" s="4"/>
      <c r="E11" s="4"/>
      <c r="F11" s="4"/>
      <c r="G11" s="4"/>
    </row>
    <row r="12" spans="1:8" x14ac:dyDescent="0.25">
      <c r="A12" s="3">
        <v>8</v>
      </c>
      <c r="B12" s="6" t="s">
        <v>138</v>
      </c>
      <c r="C12" s="7"/>
      <c r="D12" s="7">
        <f>C38*C37</f>
        <v>116.4</v>
      </c>
      <c r="E12" s="4">
        <f t="shared" si="1"/>
        <v>9.7000000000000011</v>
      </c>
      <c r="F12" s="7">
        <f>D12*10^5/$C$45</f>
        <v>42.515888669734821</v>
      </c>
      <c r="G12" s="4" t="s">
        <v>26</v>
      </c>
    </row>
    <row r="13" spans="1:8" x14ac:dyDescent="0.25">
      <c r="A13" s="3">
        <v>9</v>
      </c>
      <c r="B13" s="6" t="s">
        <v>139</v>
      </c>
      <c r="C13" s="7"/>
      <c r="D13" s="7">
        <f>C39*C36</f>
        <v>4.0250000000000004</v>
      </c>
      <c r="E13" s="4">
        <f t="shared" si="1"/>
        <v>0.3354166666666667</v>
      </c>
      <c r="F13" s="7">
        <f>D13*10^5/$C$45</f>
        <v>1.470158521440573</v>
      </c>
      <c r="G13" s="4" t="s">
        <v>26</v>
      </c>
    </row>
    <row r="14" spans="1:8" x14ac:dyDescent="0.25">
      <c r="A14" s="3">
        <v>10</v>
      </c>
      <c r="B14" s="2" t="s">
        <v>107</v>
      </c>
      <c r="D14" s="7">
        <v>6</v>
      </c>
      <c r="E14" s="4">
        <f t="shared" si="1"/>
        <v>0.5</v>
      </c>
      <c r="F14" s="7">
        <f>D14*10^5/($C$45)</f>
        <v>2.1915406530791146</v>
      </c>
      <c r="G14" s="2" t="s">
        <v>28</v>
      </c>
      <c r="H14" s="7"/>
    </row>
    <row r="15" spans="1:8" x14ac:dyDescent="0.25">
      <c r="A15" s="3">
        <v>11</v>
      </c>
      <c r="B15" s="2" t="s">
        <v>108</v>
      </c>
      <c r="D15" s="7">
        <v>6</v>
      </c>
      <c r="E15" s="4">
        <f t="shared" si="1"/>
        <v>0.5</v>
      </c>
      <c r="F15" s="7">
        <f>D15*10^5/($C$45)</f>
        <v>2.1915406530791146</v>
      </c>
      <c r="G15" s="2" t="s">
        <v>28</v>
      </c>
      <c r="H15" s="7"/>
    </row>
    <row r="16" spans="1:8" x14ac:dyDescent="0.25">
      <c r="A16" s="3">
        <v>12</v>
      </c>
      <c r="B16" s="2" t="s">
        <v>39</v>
      </c>
      <c r="D16" s="7">
        <f>C50*C52*C53*12/10^5</f>
        <v>36.504000000000012</v>
      </c>
      <c r="E16" s="4">
        <f t="shared" si="1"/>
        <v>3.0420000000000011</v>
      </c>
      <c r="F16" s="7">
        <f>D16*10^5/($C$45)</f>
        <v>13.333333333333339</v>
      </c>
      <c r="G16" s="2" t="s">
        <v>27</v>
      </c>
      <c r="H16" s="7"/>
    </row>
    <row r="17" spans="1:8" x14ac:dyDescent="0.25">
      <c r="A17" s="3">
        <v>13</v>
      </c>
      <c r="B17" s="2" t="s">
        <v>102</v>
      </c>
      <c r="D17" s="7">
        <f>C51*C52*C54*12/10^5</f>
        <v>26.282879999999999</v>
      </c>
      <c r="E17" s="4">
        <f t="shared" si="1"/>
        <v>2.1902399999999997</v>
      </c>
      <c r="F17" s="7">
        <f>D17*10^5/($C$45)</f>
        <v>9.6</v>
      </c>
      <c r="G17" s="2" t="s">
        <v>27</v>
      </c>
      <c r="H17" s="7"/>
    </row>
    <row r="18" spans="1:8" x14ac:dyDescent="0.25">
      <c r="A18" s="3">
        <v>14</v>
      </c>
      <c r="B18" s="2" t="s">
        <v>109</v>
      </c>
      <c r="D18" s="7"/>
      <c r="E18" s="4"/>
      <c r="F18" s="7"/>
      <c r="G18" s="2" t="s">
        <v>131</v>
      </c>
      <c r="H18" s="7"/>
    </row>
    <row r="19" spans="1:8" x14ac:dyDescent="0.25">
      <c r="A19" s="3">
        <v>15</v>
      </c>
      <c r="B19" s="2" t="s">
        <v>110</v>
      </c>
      <c r="D19" s="7"/>
      <c r="E19" s="4"/>
      <c r="F19" s="7"/>
      <c r="G19" s="2" t="s">
        <v>131</v>
      </c>
      <c r="H19" s="7"/>
    </row>
    <row r="20" spans="1:8" x14ac:dyDescent="0.25">
      <c r="A20" s="3">
        <v>16</v>
      </c>
      <c r="B20" s="2" t="s">
        <v>111</v>
      </c>
      <c r="D20" s="7"/>
      <c r="E20" s="4"/>
      <c r="F20" s="7"/>
      <c r="G20" s="2" t="s">
        <v>131</v>
      </c>
      <c r="H20" s="7"/>
    </row>
    <row r="21" spans="1:8" x14ac:dyDescent="0.25">
      <c r="A21" s="3">
        <v>17</v>
      </c>
      <c r="B21" s="2" t="s">
        <v>49</v>
      </c>
      <c r="D21" s="9">
        <f>$C$57*SUM(D14:D20)</f>
        <v>11.218032000000001</v>
      </c>
      <c r="E21" s="9">
        <f>$C$57*SUM(E14:E20)</f>
        <v>0.93483600000000011</v>
      </c>
      <c r="F21" s="9">
        <f>$C$57*SUM(F14:F20)</f>
        <v>4.0974621959237352</v>
      </c>
      <c r="G21" s="2" t="s">
        <v>28</v>
      </c>
    </row>
    <row r="22" spans="1:8" ht="31.5" x14ac:dyDescent="0.25">
      <c r="A22" s="3">
        <v>18</v>
      </c>
      <c r="B22" s="3" t="s">
        <v>15</v>
      </c>
      <c r="C22" s="7"/>
      <c r="D22" s="8">
        <f>F22*$C$45/10^5</f>
        <v>22.586849999999998</v>
      </c>
      <c r="E22" s="4">
        <f t="shared" si="1"/>
        <v>1.8822374999999998</v>
      </c>
      <c r="F22" s="8">
        <f>C48*C49</f>
        <v>8.25</v>
      </c>
      <c r="G22" s="7" t="s">
        <v>27</v>
      </c>
    </row>
    <row r="23" spans="1:8" ht="31.5" x14ac:dyDescent="0.25">
      <c r="A23" s="3">
        <v>19</v>
      </c>
      <c r="B23" s="6" t="s">
        <v>20</v>
      </c>
      <c r="C23" s="7"/>
      <c r="D23" s="7"/>
      <c r="E23" s="4"/>
      <c r="F23" s="7"/>
      <c r="G23" s="7" t="s">
        <v>27</v>
      </c>
    </row>
    <row r="24" spans="1:8" ht="31.5" x14ac:dyDescent="0.25">
      <c r="A24" s="3">
        <v>20</v>
      </c>
      <c r="B24" s="3" t="s">
        <v>10</v>
      </c>
      <c r="C24" s="7"/>
      <c r="D24" s="4"/>
      <c r="E24" s="4"/>
      <c r="F24" s="4"/>
      <c r="G24" s="7" t="s">
        <v>27</v>
      </c>
    </row>
    <row r="25" spans="1:8" x14ac:dyDescent="0.25">
      <c r="A25" s="3">
        <v>21</v>
      </c>
      <c r="B25" s="3" t="s">
        <v>11</v>
      </c>
      <c r="C25" s="8"/>
      <c r="D25" s="4"/>
      <c r="E25" s="4"/>
      <c r="F25" s="4"/>
      <c r="G25" s="4"/>
    </row>
    <row r="26" spans="1:8" x14ac:dyDescent="0.25">
      <c r="A26" s="3">
        <v>22</v>
      </c>
      <c r="B26" s="3" t="s">
        <v>12</v>
      </c>
      <c r="C26" s="8"/>
      <c r="D26" s="8"/>
      <c r="E26" s="4"/>
      <c r="F26" s="8"/>
      <c r="G26" s="8"/>
    </row>
    <row r="27" spans="1:8" x14ac:dyDescent="0.25">
      <c r="A27" s="3">
        <v>23</v>
      </c>
      <c r="B27" s="3" t="s">
        <v>129</v>
      </c>
      <c r="C27" s="7"/>
      <c r="D27" s="4"/>
      <c r="E27" s="4"/>
      <c r="F27" s="9"/>
      <c r="G27" s="9" t="s">
        <v>28</v>
      </c>
    </row>
    <row r="28" spans="1:8" x14ac:dyDescent="0.25">
      <c r="A28" s="3">
        <v>24</v>
      </c>
      <c r="B28" s="2" t="s">
        <v>130</v>
      </c>
      <c r="C28" s="7"/>
      <c r="D28" s="4"/>
      <c r="E28" s="4"/>
      <c r="F28" s="9"/>
      <c r="G28" s="9" t="s">
        <v>28</v>
      </c>
    </row>
    <row r="29" spans="1:8" x14ac:dyDescent="0.25">
      <c r="A29" s="3">
        <v>25</v>
      </c>
      <c r="B29" s="3" t="s">
        <v>14</v>
      </c>
      <c r="E29" s="4"/>
      <c r="G29" s="2" t="s">
        <v>131</v>
      </c>
    </row>
    <row r="30" spans="1:8" x14ac:dyDescent="0.25">
      <c r="A30" s="3">
        <v>26</v>
      </c>
      <c r="B30" s="2" t="s">
        <v>21</v>
      </c>
      <c r="E30" s="4"/>
    </row>
    <row r="31" spans="1:8" x14ac:dyDescent="0.25">
      <c r="B31" s="1" t="s">
        <v>22</v>
      </c>
      <c r="C31" s="13">
        <f>10*D31</f>
        <v>2290.1676200000002</v>
      </c>
      <c r="D31" s="5">
        <f>SUM(D12:D28)</f>
        <v>229.01676200000003</v>
      </c>
      <c r="E31" s="5">
        <f>SUM(E12:E28)</f>
        <v>19.08473016666667</v>
      </c>
      <c r="F31" s="5">
        <f>SUM(F12:F28)</f>
        <v>83.649924026590696</v>
      </c>
    </row>
    <row r="32" spans="1:8" x14ac:dyDescent="0.25">
      <c r="B32" s="1" t="s">
        <v>2</v>
      </c>
      <c r="C32" s="10">
        <f>C10+C31</f>
        <v>3170.9576200000001</v>
      </c>
      <c r="D32" s="10">
        <f>D10+D31</f>
        <v>399.76181235027127</v>
      </c>
      <c r="E32" s="10">
        <f>E10+E31</f>
        <v>33.313484362522601</v>
      </c>
      <c r="F32" s="10">
        <f>F10+F31</f>
        <v>146.0157105523673</v>
      </c>
    </row>
    <row r="33" spans="2:7" x14ac:dyDescent="0.25">
      <c r="B33" s="1" t="s">
        <v>132</v>
      </c>
      <c r="C33" s="4"/>
      <c r="D33" s="8"/>
      <c r="E33" s="8"/>
      <c r="F33" s="8"/>
    </row>
    <row r="34" spans="2:7" x14ac:dyDescent="0.25">
      <c r="B34" s="2" t="s">
        <v>114</v>
      </c>
      <c r="C34" s="2">
        <v>152.93</v>
      </c>
    </row>
    <row r="35" spans="2:7" x14ac:dyDescent="0.25">
      <c r="B35" s="2" t="s">
        <v>115</v>
      </c>
      <c r="C35" s="2">
        <v>34.119999999999997</v>
      </c>
    </row>
    <row r="36" spans="2:7" x14ac:dyDescent="0.25">
      <c r="B36" s="2" t="s">
        <v>116</v>
      </c>
      <c r="C36" s="2">
        <v>2</v>
      </c>
    </row>
    <row r="37" spans="2:7" x14ac:dyDescent="0.25">
      <c r="B37" s="2" t="s">
        <v>104</v>
      </c>
      <c r="C37" s="2">
        <v>5</v>
      </c>
    </row>
    <row r="38" spans="2:7" x14ac:dyDescent="0.25">
      <c r="B38" s="2" t="s">
        <v>117</v>
      </c>
      <c r="C38" s="2">
        <v>23.28</v>
      </c>
    </row>
    <row r="39" spans="2:7" x14ac:dyDescent="0.25">
      <c r="B39" s="2" t="s">
        <v>118</v>
      </c>
      <c r="C39" s="2">
        <v>2.0125000000000002</v>
      </c>
      <c r="G39" s="5"/>
    </row>
    <row r="40" spans="2:7" x14ac:dyDescent="0.25">
      <c r="B40" s="3" t="s">
        <v>23</v>
      </c>
      <c r="C40" s="11">
        <v>0.15</v>
      </c>
      <c r="G40" s="8"/>
    </row>
    <row r="41" spans="2:7" x14ac:dyDescent="0.25">
      <c r="B41" s="2" t="s">
        <v>113</v>
      </c>
      <c r="C41" s="2">
        <v>10</v>
      </c>
    </row>
    <row r="42" spans="2:7" x14ac:dyDescent="0.25">
      <c r="B42" s="2" t="s">
        <v>128</v>
      </c>
      <c r="C42" s="2">
        <v>12</v>
      </c>
    </row>
    <row r="43" spans="2:7" x14ac:dyDescent="0.25">
      <c r="B43" s="2" t="s">
        <v>103</v>
      </c>
      <c r="C43" s="2">
        <v>150</v>
      </c>
    </row>
    <row r="44" spans="2:7" x14ac:dyDescent="0.25">
      <c r="B44" s="2" t="s">
        <v>105</v>
      </c>
      <c r="C44" s="2">
        <f>C43*C37</f>
        <v>750</v>
      </c>
    </row>
    <row r="45" spans="2:7" x14ac:dyDescent="0.25">
      <c r="B45" s="2" t="s">
        <v>106</v>
      </c>
      <c r="C45" s="2">
        <f>C44*30.42*12</f>
        <v>273780</v>
      </c>
    </row>
    <row r="46" spans="2:7" x14ac:dyDescent="0.25">
      <c r="B46" s="36" t="s">
        <v>135</v>
      </c>
      <c r="C46" s="3">
        <v>0</v>
      </c>
    </row>
    <row r="47" spans="2:7" x14ac:dyDescent="0.25">
      <c r="B47" s="36" t="s">
        <v>136</v>
      </c>
      <c r="C47" s="3">
        <v>0</v>
      </c>
    </row>
    <row r="48" spans="2:7" x14ac:dyDescent="0.25">
      <c r="B48" s="2" t="s">
        <v>120</v>
      </c>
      <c r="C48" s="2">
        <v>5.5</v>
      </c>
    </row>
    <row r="49" spans="2:3" x14ac:dyDescent="0.25">
      <c r="B49" s="2" t="s">
        <v>119</v>
      </c>
      <c r="C49" s="2">
        <v>1.5</v>
      </c>
    </row>
    <row r="50" spans="2:3" x14ac:dyDescent="0.25">
      <c r="B50" s="2" t="s">
        <v>121</v>
      </c>
      <c r="C50" s="2">
        <v>5</v>
      </c>
    </row>
    <row r="51" spans="2:3" x14ac:dyDescent="0.25">
      <c r="B51" s="2" t="s">
        <v>123</v>
      </c>
      <c r="C51" s="2">
        <v>4</v>
      </c>
    </row>
    <row r="52" spans="2:3" x14ac:dyDescent="0.25">
      <c r="B52" s="2" t="s">
        <v>122</v>
      </c>
      <c r="C52" s="2">
        <f>30.42*2</f>
        <v>60.84</v>
      </c>
    </row>
    <row r="53" spans="2:3" x14ac:dyDescent="0.25">
      <c r="B53" s="2" t="s">
        <v>140</v>
      </c>
      <c r="C53" s="2">
        <v>1000</v>
      </c>
    </row>
    <row r="54" spans="2:3" x14ac:dyDescent="0.25">
      <c r="B54" s="2" t="s">
        <v>141</v>
      </c>
      <c r="C54" s="2">
        <v>900</v>
      </c>
    </row>
    <row r="55" spans="2:3" x14ac:dyDescent="0.25">
      <c r="B55" s="2" t="s">
        <v>142</v>
      </c>
      <c r="C55" s="2">
        <v>50000</v>
      </c>
    </row>
    <row r="56" spans="2:3" x14ac:dyDescent="0.25">
      <c r="B56" s="2" t="s">
        <v>143</v>
      </c>
      <c r="C56" s="2">
        <v>50000</v>
      </c>
    </row>
    <row r="57" spans="2:3" x14ac:dyDescent="0.25">
      <c r="B57" s="2" t="s">
        <v>49</v>
      </c>
      <c r="C57" s="35">
        <v>0.15</v>
      </c>
    </row>
    <row r="58" spans="2:3" x14ac:dyDescent="0.25">
      <c r="B58" s="2" t="s">
        <v>126</v>
      </c>
      <c r="C58" s="2">
        <f>48.56*100*100/118</f>
        <v>4115.2542372881353</v>
      </c>
    </row>
    <row r="59" spans="2:3" x14ac:dyDescent="0.25">
      <c r="B59" s="36" t="s">
        <v>127</v>
      </c>
      <c r="C59" s="36">
        <f>(C58*10^5)/(C45*C42)</f>
        <v>125.26037442740325</v>
      </c>
    </row>
  </sheetData>
  <pageMargins left="0.7" right="0.7" top="0.75" bottom="0.75" header="0.3" footer="0.3"/>
  <pageSetup paperSize="9"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1" workbookViewId="0">
      <selection activeCell="B44" sqref="B44"/>
    </sheetView>
  </sheetViews>
  <sheetFormatPr defaultRowHeight="15.75" x14ac:dyDescent="0.25"/>
  <cols>
    <col min="1" max="1" width="17" style="2" customWidth="1"/>
    <col min="2" max="2" width="48.140625" style="2" customWidth="1"/>
    <col min="3" max="3" width="15.5703125" style="2" customWidth="1"/>
    <col min="4" max="4" width="19.28515625" style="2" customWidth="1"/>
    <col min="5" max="5" width="23.7109375" style="2" customWidth="1"/>
    <col min="6" max="6" width="21.28515625" style="2" customWidth="1"/>
    <col min="7" max="7" width="26.7109375" style="2" customWidth="1"/>
    <col min="8" max="8" width="20.85546875" style="2" customWidth="1"/>
    <col min="9" max="16384" width="9.140625" style="2"/>
  </cols>
  <sheetData>
    <row r="1" spans="1:8" x14ac:dyDescent="0.25">
      <c r="A1" s="12" t="s">
        <v>0</v>
      </c>
      <c r="B1" s="12" t="s">
        <v>1</v>
      </c>
      <c r="C1" s="12" t="s">
        <v>8</v>
      </c>
      <c r="D1" s="12" t="s">
        <v>9</v>
      </c>
      <c r="E1" s="12" t="s">
        <v>112</v>
      </c>
      <c r="F1" s="12" t="s">
        <v>18</v>
      </c>
      <c r="G1" s="12" t="s">
        <v>24</v>
      </c>
    </row>
    <row r="2" spans="1:8" x14ac:dyDescent="0.25">
      <c r="A2" s="3"/>
      <c r="B2" s="1" t="s">
        <v>16</v>
      </c>
      <c r="C2" s="3"/>
      <c r="D2" s="3"/>
      <c r="E2" s="3"/>
      <c r="F2" s="3"/>
      <c r="G2" s="3"/>
    </row>
    <row r="3" spans="1:8" x14ac:dyDescent="0.25">
      <c r="A3" s="3">
        <v>1</v>
      </c>
      <c r="B3" s="3" t="s">
        <v>144</v>
      </c>
      <c r="C3" s="4">
        <f>C34*C37-C46*C37</f>
        <v>305.86000000000013</v>
      </c>
      <c r="D3" s="4">
        <f>-1*+PMT($C$40,$C$41,C3)</f>
        <v>60.943235841628521</v>
      </c>
      <c r="E3" s="4">
        <f>D3/12</f>
        <v>5.0786029868023768</v>
      </c>
      <c r="F3" s="4">
        <f t="shared" ref="F3:F8" si="0">D3*10^5/$C$45</f>
        <v>22.259929812852846</v>
      </c>
      <c r="G3" s="4" t="s">
        <v>25</v>
      </c>
    </row>
    <row r="4" spans="1:8" ht="31.5" x14ac:dyDescent="0.25">
      <c r="A4" s="3">
        <v>2</v>
      </c>
      <c r="B4" s="3" t="s">
        <v>145</v>
      </c>
      <c r="C4" s="4">
        <f>C35*C36-C47</f>
        <v>22.36099999999999</v>
      </c>
      <c r="D4" s="4">
        <f>-1*+PMT($C$40,$C$41,C4)</f>
        <v>4.4554753699557121</v>
      </c>
      <c r="E4" s="4">
        <f t="shared" ref="E4:E22" si="1">D4/12</f>
        <v>0.37128961416297601</v>
      </c>
      <c r="F4" s="4">
        <f t="shared" si="0"/>
        <v>1.6273925670084419</v>
      </c>
      <c r="G4" s="4" t="s">
        <v>25</v>
      </c>
    </row>
    <row r="5" spans="1:8" x14ac:dyDescent="0.25">
      <c r="A5" s="3">
        <v>3</v>
      </c>
      <c r="B5" s="3" t="s">
        <v>125</v>
      </c>
      <c r="C5" s="4">
        <v>0</v>
      </c>
      <c r="D5" s="4">
        <f>-1*+PMT(0%,$C$41,C5)</f>
        <v>0</v>
      </c>
      <c r="E5" s="4">
        <f t="shared" si="1"/>
        <v>0</v>
      </c>
      <c r="F5" s="4">
        <f t="shared" si="0"/>
        <v>0</v>
      </c>
      <c r="G5" s="4" t="s">
        <v>26</v>
      </c>
    </row>
    <row r="6" spans="1:8" x14ac:dyDescent="0.25">
      <c r="A6" s="3">
        <v>4</v>
      </c>
      <c r="B6" s="3" t="s">
        <v>4</v>
      </c>
      <c r="C6" s="4">
        <v>2.73</v>
      </c>
      <c r="D6" s="4">
        <f>-1*+PMT(0%,$C$41,C6)</f>
        <v>0.27300000000000002</v>
      </c>
      <c r="E6" s="4">
        <f t="shared" si="1"/>
        <v>2.2750000000000003E-2</v>
      </c>
      <c r="F6" s="4">
        <f t="shared" si="0"/>
        <v>9.9715099715099731E-2</v>
      </c>
      <c r="G6" s="4" t="s">
        <v>26</v>
      </c>
    </row>
    <row r="7" spans="1:8" ht="31.5" x14ac:dyDescent="0.25">
      <c r="A7" s="3">
        <v>5</v>
      </c>
      <c r="B7" s="3" t="s">
        <v>7</v>
      </c>
      <c r="C7" s="4">
        <v>34.89</v>
      </c>
      <c r="D7" s="4">
        <f>-1*+PMT(0%,$C$41,C7)</f>
        <v>3.4889999999999999</v>
      </c>
      <c r="E7" s="4">
        <f t="shared" si="1"/>
        <v>0.29075000000000001</v>
      </c>
      <c r="F7" s="4">
        <f t="shared" si="0"/>
        <v>1.2743808897655051</v>
      </c>
      <c r="G7" s="4" t="s">
        <v>26</v>
      </c>
    </row>
    <row r="8" spans="1:8" x14ac:dyDescent="0.25">
      <c r="A8" s="3">
        <v>6</v>
      </c>
      <c r="B8" s="3" t="s">
        <v>3</v>
      </c>
      <c r="C8" s="4">
        <v>10.28</v>
      </c>
      <c r="D8" s="4">
        <f>-1*+PMT(0%,$C$41,C8)</f>
        <v>1.028</v>
      </c>
      <c r="E8" s="4">
        <f t="shared" si="1"/>
        <v>8.5666666666666669E-2</v>
      </c>
      <c r="F8" s="4">
        <f t="shared" si="0"/>
        <v>0.37548396522755495</v>
      </c>
      <c r="G8" s="4" t="s">
        <v>26</v>
      </c>
    </row>
    <row r="9" spans="1:8" x14ac:dyDescent="0.25">
      <c r="A9" s="3">
        <v>7</v>
      </c>
      <c r="B9" s="3" t="s">
        <v>13</v>
      </c>
      <c r="C9" s="4"/>
      <c r="D9" s="4"/>
      <c r="E9" s="4"/>
      <c r="F9" s="4"/>
      <c r="G9" s="4" t="s">
        <v>131</v>
      </c>
    </row>
    <row r="10" spans="1:8" x14ac:dyDescent="0.25">
      <c r="B10" s="1" t="s">
        <v>19</v>
      </c>
      <c r="C10" s="5">
        <f>SUM(C3:C8)</f>
        <v>376.12100000000009</v>
      </c>
      <c r="D10" s="5">
        <f>SUM(D3:D8)</f>
        <v>70.188711211584234</v>
      </c>
      <c r="E10" s="5">
        <f>SUM(E3:E8)</f>
        <v>5.8490592676320192</v>
      </c>
      <c r="F10" s="5">
        <f>SUM(F3:F8)</f>
        <v>25.636902334569449</v>
      </c>
      <c r="G10" s="5"/>
    </row>
    <row r="11" spans="1:8" x14ac:dyDescent="0.25">
      <c r="A11" s="3"/>
      <c r="B11" s="1" t="s">
        <v>17</v>
      </c>
      <c r="C11" s="4"/>
      <c r="D11" s="4"/>
      <c r="E11" s="4"/>
      <c r="F11" s="4"/>
      <c r="G11" s="4"/>
    </row>
    <row r="12" spans="1:8" x14ac:dyDescent="0.25">
      <c r="A12" s="3">
        <v>8</v>
      </c>
      <c r="B12" s="6" t="s">
        <v>5</v>
      </c>
      <c r="C12" s="7"/>
      <c r="D12" s="7">
        <f>C38*C37</f>
        <v>116.4</v>
      </c>
      <c r="E12" s="4">
        <f t="shared" si="1"/>
        <v>9.7000000000000011</v>
      </c>
      <c r="F12" s="7">
        <f>D12*10^5/$C$45</f>
        <v>42.515888669734821</v>
      </c>
      <c r="G12" s="4" t="s">
        <v>26</v>
      </c>
    </row>
    <row r="13" spans="1:8" x14ac:dyDescent="0.25">
      <c r="A13" s="3">
        <v>9</v>
      </c>
      <c r="B13" s="6" t="s">
        <v>6</v>
      </c>
      <c r="C13" s="7"/>
      <c r="D13" s="7">
        <f>C39*C36</f>
        <v>4.0250000000000004</v>
      </c>
      <c r="E13" s="4">
        <f t="shared" si="1"/>
        <v>0.3354166666666667</v>
      </c>
      <c r="F13" s="7">
        <f>D13*10^5/$C$45</f>
        <v>1.470158521440573</v>
      </c>
      <c r="G13" s="4" t="s">
        <v>26</v>
      </c>
    </row>
    <row r="14" spans="1:8" x14ac:dyDescent="0.25">
      <c r="A14" s="3">
        <v>10</v>
      </c>
      <c r="B14" s="2" t="s">
        <v>107</v>
      </c>
      <c r="D14" s="7">
        <v>6</v>
      </c>
      <c r="E14" s="4">
        <f t="shared" si="1"/>
        <v>0.5</v>
      </c>
      <c r="F14" s="7">
        <f>D14*10^5/($C$45)</f>
        <v>2.1915406530791146</v>
      </c>
      <c r="G14" s="2" t="s">
        <v>28</v>
      </c>
      <c r="H14" s="7"/>
    </row>
    <row r="15" spans="1:8" x14ac:dyDescent="0.25">
      <c r="A15" s="3">
        <v>11</v>
      </c>
      <c r="B15" s="2" t="s">
        <v>108</v>
      </c>
      <c r="D15" s="7">
        <v>6</v>
      </c>
      <c r="E15" s="4">
        <f t="shared" si="1"/>
        <v>0.5</v>
      </c>
      <c r="F15" s="7">
        <f>D15*10^5/($C$45)</f>
        <v>2.1915406530791146</v>
      </c>
      <c r="G15" s="2" t="s">
        <v>28</v>
      </c>
      <c r="H15" s="7"/>
    </row>
    <row r="16" spans="1:8" x14ac:dyDescent="0.25">
      <c r="A16" s="3">
        <v>12</v>
      </c>
      <c r="B16" s="2" t="s">
        <v>39</v>
      </c>
      <c r="D16" s="7">
        <f>C50*C52*C53*12/10^5</f>
        <v>36.504000000000012</v>
      </c>
      <c r="E16" s="4">
        <f t="shared" si="1"/>
        <v>3.0420000000000011</v>
      </c>
      <c r="F16" s="7">
        <f>D16*10^5/($C$45)</f>
        <v>13.333333333333339</v>
      </c>
      <c r="G16" s="2" t="s">
        <v>27</v>
      </c>
      <c r="H16" s="7"/>
    </row>
    <row r="17" spans="1:8" x14ac:dyDescent="0.25">
      <c r="A17" s="3">
        <v>13</v>
      </c>
      <c r="B17" s="2" t="s">
        <v>102</v>
      </c>
      <c r="D17" s="7">
        <f>C51*C52*C54*12/10^5</f>
        <v>26.282879999999999</v>
      </c>
      <c r="E17" s="4">
        <f t="shared" si="1"/>
        <v>2.1902399999999997</v>
      </c>
      <c r="F17" s="7">
        <f>D17*10^5/($C$45)</f>
        <v>9.6</v>
      </c>
      <c r="G17" s="2" t="s">
        <v>27</v>
      </c>
      <c r="H17" s="7"/>
    </row>
    <row r="18" spans="1:8" x14ac:dyDescent="0.25">
      <c r="A18" s="3">
        <v>14</v>
      </c>
      <c r="B18" s="2" t="s">
        <v>109</v>
      </c>
      <c r="D18" s="7"/>
      <c r="E18" s="4"/>
      <c r="F18" s="7"/>
      <c r="G18" s="2" t="s">
        <v>131</v>
      </c>
      <c r="H18" s="7"/>
    </row>
    <row r="19" spans="1:8" x14ac:dyDescent="0.25">
      <c r="A19" s="3">
        <v>15</v>
      </c>
      <c r="B19" s="2" t="s">
        <v>110</v>
      </c>
      <c r="D19" s="7"/>
      <c r="E19" s="4"/>
      <c r="F19" s="7"/>
      <c r="G19" s="2" t="s">
        <v>131</v>
      </c>
      <c r="H19" s="7"/>
    </row>
    <row r="20" spans="1:8" x14ac:dyDescent="0.25">
      <c r="A20" s="3">
        <v>16</v>
      </c>
      <c r="B20" s="2" t="s">
        <v>111</v>
      </c>
      <c r="D20" s="7"/>
      <c r="E20" s="4"/>
      <c r="F20" s="7"/>
      <c r="G20" s="2" t="s">
        <v>131</v>
      </c>
      <c r="H20" s="7"/>
    </row>
    <row r="21" spans="1:8" x14ac:dyDescent="0.25">
      <c r="A21" s="3">
        <v>17</v>
      </c>
      <c r="B21" s="2" t="s">
        <v>49</v>
      </c>
      <c r="D21" s="9">
        <f>$C$57*SUM(D14:D20)</f>
        <v>11.218032000000001</v>
      </c>
      <c r="E21" s="9">
        <f>$C$57*SUM(E14:E20)</f>
        <v>0.93483600000000011</v>
      </c>
      <c r="F21" s="9">
        <f>$C$57*SUM(F14:F20)</f>
        <v>4.0974621959237352</v>
      </c>
      <c r="G21" s="2" t="s">
        <v>28</v>
      </c>
    </row>
    <row r="22" spans="1:8" ht="31.5" x14ac:dyDescent="0.25">
      <c r="A22" s="3">
        <v>18</v>
      </c>
      <c r="B22" s="3" t="s">
        <v>15</v>
      </c>
      <c r="C22" s="7"/>
      <c r="D22" s="8">
        <f>F22*$C$45/10^5</f>
        <v>22.586849999999998</v>
      </c>
      <c r="E22" s="4">
        <f t="shared" si="1"/>
        <v>1.8822374999999998</v>
      </c>
      <c r="F22" s="8">
        <f>C48*C49</f>
        <v>8.25</v>
      </c>
      <c r="G22" s="7" t="s">
        <v>27</v>
      </c>
    </row>
    <row r="23" spans="1:8" ht="31.5" x14ac:dyDescent="0.25">
      <c r="A23" s="3">
        <v>19</v>
      </c>
      <c r="B23" s="6" t="s">
        <v>20</v>
      </c>
      <c r="C23" s="7"/>
      <c r="D23" s="7"/>
      <c r="E23" s="4"/>
      <c r="F23" s="7"/>
      <c r="G23" s="7" t="s">
        <v>27</v>
      </c>
    </row>
    <row r="24" spans="1:8" ht="31.5" x14ac:dyDescent="0.25">
      <c r="A24" s="3">
        <v>20</v>
      </c>
      <c r="B24" s="3" t="s">
        <v>10</v>
      </c>
      <c r="C24" s="7"/>
      <c r="D24" s="4"/>
      <c r="E24" s="4"/>
      <c r="F24" s="4"/>
      <c r="G24" s="7" t="s">
        <v>27</v>
      </c>
    </row>
    <row r="25" spans="1:8" x14ac:dyDescent="0.25">
      <c r="A25" s="3">
        <v>21</v>
      </c>
      <c r="B25" s="3" t="s">
        <v>11</v>
      </c>
      <c r="C25" s="8"/>
      <c r="D25" s="4"/>
      <c r="E25" s="4"/>
      <c r="F25" s="4"/>
      <c r="G25" s="4"/>
    </row>
    <row r="26" spans="1:8" x14ac:dyDescent="0.25">
      <c r="A26" s="3">
        <v>22</v>
      </c>
      <c r="B26" s="3" t="s">
        <v>12</v>
      </c>
      <c r="C26" s="8"/>
      <c r="D26" s="8"/>
      <c r="E26" s="4"/>
      <c r="F26" s="8"/>
      <c r="G26" s="8"/>
    </row>
    <row r="27" spans="1:8" x14ac:dyDescent="0.25">
      <c r="A27" s="3">
        <v>23</v>
      </c>
      <c r="B27" s="3" t="s">
        <v>129</v>
      </c>
      <c r="C27" s="7"/>
      <c r="D27" s="4"/>
      <c r="E27" s="4"/>
      <c r="F27" s="9"/>
      <c r="G27" s="9" t="s">
        <v>28</v>
      </c>
    </row>
    <row r="28" spans="1:8" x14ac:dyDescent="0.25">
      <c r="A28" s="3">
        <v>24</v>
      </c>
      <c r="B28" s="2" t="s">
        <v>130</v>
      </c>
      <c r="C28" s="7"/>
      <c r="D28" s="4"/>
      <c r="E28" s="4"/>
      <c r="F28" s="9"/>
      <c r="G28" s="9" t="s">
        <v>28</v>
      </c>
    </row>
    <row r="29" spans="1:8" x14ac:dyDescent="0.25">
      <c r="A29" s="3">
        <v>25</v>
      </c>
      <c r="B29" s="3" t="s">
        <v>14</v>
      </c>
      <c r="E29" s="4"/>
      <c r="G29" s="2" t="s">
        <v>131</v>
      </c>
    </row>
    <row r="30" spans="1:8" x14ac:dyDescent="0.25">
      <c r="A30" s="3">
        <v>26</v>
      </c>
      <c r="B30" s="2" t="s">
        <v>21</v>
      </c>
      <c r="E30" s="4"/>
    </row>
    <row r="31" spans="1:8" x14ac:dyDescent="0.25">
      <c r="B31" s="1" t="s">
        <v>22</v>
      </c>
      <c r="C31" s="13">
        <f>10*D31</f>
        <v>2290.1676200000002</v>
      </c>
      <c r="D31" s="5">
        <f>SUM(D12:D28)</f>
        <v>229.01676200000003</v>
      </c>
      <c r="E31" s="5">
        <f>SUM(E12:E28)</f>
        <v>19.08473016666667</v>
      </c>
      <c r="F31" s="5">
        <f>SUM(F12:F28)</f>
        <v>83.649924026590696</v>
      </c>
    </row>
    <row r="32" spans="1:8" x14ac:dyDescent="0.25">
      <c r="B32" s="1" t="s">
        <v>2</v>
      </c>
      <c r="C32" s="10">
        <f>C10+C31</f>
        <v>2666.2886200000003</v>
      </c>
      <c r="D32" s="10">
        <f>D10+D31</f>
        <v>299.20547321158426</v>
      </c>
      <c r="E32" s="10">
        <f>E10+E31</f>
        <v>24.933789434298689</v>
      </c>
      <c r="F32" s="10">
        <f>F10+F31</f>
        <v>109.28682636116014</v>
      </c>
    </row>
    <row r="33" spans="2:7" x14ac:dyDescent="0.25">
      <c r="B33" s="1" t="s">
        <v>132</v>
      </c>
      <c r="C33" s="4"/>
      <c r="D33" s="8"/>
      <c r="E33" s="8"/>
      <c r="F33" s="8"/>
    </row>
    <row r="34" spans="2:7" x14ac:dyDescent="0.25">
      <c r="B34" s="2" t="s">
        <v>133</v>
      </c>
      <c r="C34" s="2">
        <v>152.93</v>
      </c>
    </row>
    <row r="35" spans="2:7" x14ac:dyDescent="0.25">
      <c r="B35" s="2" t="s">
        <v>134</v>
      </c>
      <c r="C35" s="2">
        <v>34.119999999999997</v>
      </c>
    </row>
    <row r="36" spans="2:7" x14ac:dyDescent="0.25">
      <c r="B36" s="2" t="s">
        <v>116</v>
      </c>
      <c r="C36" s="2">
        <v>2</v>
      </c>
    </row>
    <row r="37" spans="2:7" x14ac:dyDescent="0.25">
      <c r="B37" s="2" t="s">
        <v>104</v>
      </c>
      <c r="C37" s="2">
        <v>5</v>
      </c>
    </row>
    <row r="38" spans="2:7" x14ac:dyDescent="0.25">
      <c r="B38" s="2" t="s">
        <v>117</v>
      </c>
      <c r="C38" s="2">
        <v>23.28</v>
      </c>
    </row>
    <row r="39" spans="2:7" x14ac:dyDescent="0.25">
      <c r="B39" s="2" t="s">
        <v>118</v>
      </c>
      <c r="C39" s="2">
        <v>2.0125000000000002</v>
      </c>
      <c r="G39" s="5"/>
    </row>
    <row r="40" spans="2:7" x14ac:dyDescent="0.25">
      <c r="B40" s="3" t="s">
        <v>23</v>
      </c>
      <c r="C40" s="11">
        <v>0.15</v>
      </c>
      <c r="G40" s="8"/>
    </row>
    <row r="41" spans="2:7" x14ac:dyDescent="0.25">
      <c r="B41" s="2" t="s">
        <v>113</v>
      </c>
      <c r="C41" s="2">
        <v>10</v>
      </c>
    </row>
    <row r="42" spans="2:7" x14ac:dyDescent="0.25">
      <c r="B42" s="2" t="s">
        <v>128</v>
      </c>
      <c r="C42" s="2">
        <v>12</v>
      </c>
    </row>
    <row r="43" spans="2:7" x14ac:dyDescent="0.25">
      <c r="B43" s="2" t="s">
        <v>103</v>
      </c>
      <c r="C43" s="2">
        <v>150</v>
      </c>
    </row>
    <row r="44" spans="2:7" x14ac:dyDescent="0.25">
      <c r="B44" s="2" t="s">
        <v>105</v>
      </c>
      <c r="C44" s="2">
        <f>C43*C37</f>
        <v>750</v>
      </c>
    </row>
    <row r="45" spans="2:7" x14ac:dyDescent="0.25">
      <c r="B45" s="2" t="s">
        <v>106</v>
      </c>
      <c r="C45" s="2">
        <f>C44*30.42*12</f>
        <v>273780</v>
      </c>
    </row>
    <row r="46" spans="2:7" x14ac:dyDescent="0.25">
      <c r="B46" s="36" t="s">
        <v>135</v>
      </c>
      <c r="C46" s="1">
        <f>0.6*C34</f>
        <v>91.757999999999996</v>
      </c>
    </row>
    <row r="47" spans="2:7" x14ac:dyDescent="0.25">
      <c r="B47" s="36" t="s">
        <v>136</v>
      </c>
      <c r="C47" s="1">
        <f>0.1*C46*C37</f>
        <v>45.879000000000005</v>
      </c>
    </row>
    <row r="48" spans="2:7" x14ac:dyDescent="0.25">
      <c r="B48" s="2" t="s">
        <v>120</v>
      </c>
      <c r="C48" s="2">
        <v>5.5</v>
      </c>
    </row>
    <row r="49" spans="2:3" x14ac:dyDescent="0.25">
      <c r="B49" s="2" t="s">
        <v>119</v>
      </c>
      <c r="C49" s="2">
        <v>1.5</v>
      </c>
    </row>
    <row r="50" spans="2:3" x14ac:dyDescent="0.25">
      <c r="B50" s="2" t="s">
        <v>121</v>
      </c>
      <c r="C50" s="2">
        <v>5</v>
      </c>
    </row>
    <row r="51" spans="2:3" x14ac:dyDescent="0.25">
      <c r="B51" s="2" t="s">
        <v>123</v>
      </c>
      <c r="C51" s="2">
        <v>4</v>
      </c>
    </row>
    <row r="52" spans="2:3" x14ac:dyDescent="0.25">
      <c r="B52" s="2" t="s">
        <v>122</v>
      </c>
      <c r="C52" s="2">
        <f>30.42*2</f>
        <v>60.84</v>
      </c>
    </row>
    <row r="53" spans="2:3" x14ac:dyDescent="0.25">
      <c r="B53" s="2" t="s">
        <v>140</v>
      </c>
      <c r="C53" s="2">
        <v>1000</v>
      </c>
    </row>
    <row r="54" spans="2:3" x14ac:dyDescent="0.25">
      <c r="B54" s="2" t="s">
        <v>141</v>
      </c>
      <c r="C54" s="2">
        <v>900</v>
      </c>
    </row>
    <row r="55" spans="2:3" x14ac:dyDescent="0.25">
      <c r="B55" s="2" t="s">
        <v>142</v>
      </c>
      <c r="C55" s="2">
        <v>50000</v>
      </c>
    </row>
    <row r="56" spans="2:3" x14ac:dyDescent="0.25">
      <c r="B56" s="2" t="s">
        <v>143</v>
      </c>
      <c r="C56" s="2">
        <v>50000</v>
      </c>
    </row>
    <row r="57" spans="2:3" x14ac:dyDescent="0.25">
      <c r="B57" s="2" t="s">
        <v>49</v>
      </c>
      <c r="C57" s="35">
        <v>0.15</v>
      </c>
    </row>
    <row r="58" spans="2:3" x14ac:dyDescent="0.25">
      <c r="B58" s="2" t="s">
        <v>126</v>
      </c>
      <c r="C58" s="2">
        <f>48.56*100*100/118</f>
        <v>4115.2542372881353</v>
      </c>
    </row>
    <row r="59" spans="2:3" x14ac:dyDescent="0.25">
      <c r="B59" s="36" t="s">
        <v>127</v>
      </c>
      <c r="C59" s="36">
        <f>(C58*10^5)/(C45*C42)</f>
        <v>125.26037442740325</v>
      </c>
    </row>
  </sheetData>
  <pageMargins left="0.7" right="0.7" top="0.75" bottom="0.75" header="0.3" footer="0.3"/>
  <pageSetup paperSize="9"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C17" sqref="C17"/>
    </sheetView>
  </sheetViews>
  <sheetFormatPr defaultRowHeight="15" x14ac:dyDescent="0.25"/>
  <cols>
    <col min="1" max="1" width="39.7109375" customWidth="1"/>
    <col min="2" max="2" width="20.28515625" style="15" customWidth="1"/>
    <col min="5" max="5" width="10.42578125" customWidth="1"/>
  </cols>
  <sheetData>
    <row r="1" spans="1:13" ht="15.75" x14ac:dyDescent="0.25">
      <c r="A1" s="36" t="s">
        <v>146</v>
      </c>
      <c r="B1" s="36">
        <v>1</v>
      </c>
      <c r="C1" s="36">
        <v>2</v>
      </c>
      <c r="D1" s="36">
        <v>3</v>
      </c>
      <c r="E1" s="36">
        <v>4</v>
      </c>
      <c r="F1" s="36">
        <v>5</v>
      </c>
      <c r="G1" s="36">
        <v>6</v>
      </c>
      <c r="H1" s="36">
        <v>7</v>
      </c>
      <c r="I1" s="36">
        <v>8</v>
      </c>
      <c r="J1" s="36">
        <v>9</v>
      </c>
      <c r="K1" s="36">
        <v>10</v>
      </c>
      <c r="L1" s="36">
        <v>11</v>
      </c>
      <c r="M1" s="36">
        <v>12</v>
      </c>
    </row>
    <row r="2" spans="1:13" ht="15.75" x14ac:dyDescent="0.25">
      <c r="A2" s="2" t="s">
        <v>8</v>
      </c>
      <c r="B2" s="2">
        <f>B8*B11</f>
        <v>764.65000000000009</v>
      </c>
      <c r="C2" s="2">
        <f t="shared" ref="C2:M2" si="0">B2*0.85</f>
        <v>649.9525000000001</v>
      </c>
      <c r="D2" s="2">
        <f t="shared" si="0"/>
        <v>552.45962500000007</v>
      </c>
      <c r="E2" s="2">
        <f t="shared" si="0"/>
        <v>469.59068125000005</v>
      </c>
      <c r="F2" s="2">
        <f t="shared" si="0"/>
        <v>399.15207906250004</v>
      </c>
      <c r="G2" s="2">
        <f t="shared" si="0"/>
        <v>339.27926720312502</v>
      </c>
      <c r="H2" s="2">
        <f t="shared" si="0"/>
        <v>288.38737712265623</v>
      </c>
      <c r="I2" s="2">
        <f t="shared" si="0"/>
        <v>245.1292705542578</v>
      </c>
      <c r="J2" s="2">
        <f t="shared" si="0"/>
        <v>208.35987997111911</v>
      </c>
      <c r="K2" s="2">
        <f t="shared" si="0"/>
        <v>177.10589797545123</v>
      </c>
      <c r="L2" s="2">
        <f t="shared" si="0"/>
        <v>150.54001327913355</v>
      </c>
      <c r="M2" s="2">
        <f t="shared" si="0"/>
        <v>127.95901128726351</v>
      </c>
    </row>
    <row r="3" spans="1:13" ht="15.75" x14ac:dyDescent="0.25">
      <c r="A3" s="2" t="s">
        <v>148</v>
      </c>
      <c r="B3" s="2">
        <f t="shared" ref="B3:M3" si="1">2%*B2</f>
        <v>15.293000000000003</v>
      </c>
      <c r="C3" s="2">
        <f t="shared" si="1"/>
        <v>12.999050000000002</v>
      </c>
      <c r="D3" s="2">
        <f t="shared" si="1"/>
        <v>11.049192500000002</v>
      </c>
      <c r="E3" s="2">
        <f t="shared" si="1"/>
        <v>9.3918136250000011</v>
      </c>
      <c r="F3" s="2">
        <f t="shared" si="1"/>
        <v>7.9830415812500011</v>
      </c>
      <c r="G3" s="2">
        <f t="shared" si="1"/>
        <v>6.7855853440625005</v>
      </c>
      <c r="H3" s="2">
        <f t="shared" si="1"/>
        <v>5.767747542453125</v>
      </c>
      <c r="I3" s="2">
        <f t="shared" si="1"/>
        <v>4.9025854110851563</v>
      </c>
      <c r="J3" s="2">
        <f t="shared" si="1"/>
        <v>4.1671975994223827</v>
      </c>
      <c r="K3" s="2">
        <f t="shared" si="1"/>
        <v>3.5421179595090244</v>
      </c>
      <c r="L3" s="2">
        <f t="shared" si="1"/>
        <v>3.0108002655826711</v>
      </c>
      <c r="M3" s="2">
        <f t="shared" si="1"/>
        <v>2.55918022574527</v>
      </c>
    </row>
    <row r="4" spans="1:13" ht="15.75" x14ac:dyDescent="0.25">
      <c r="A4" s="2" t="s">
        <v>147</v>
      </c>
      <c r="B4" s="2">
        <f t="shared" ref="B4:M4" si="2">B3*10^5/$B$16</f>
        <v>5.5858718679231512</v>
      </c>
      <c r="C4" s="2">
        <f t="shared" si="2"/>
        <v>4.747991087734678</v>
      </c>
      <c r="D4" s="2">
        <f t="shared" si="2"/>
        <v>4.0357924245744767</v>
      </c>
      <c r="E4" s="2">
        <f t="shared" si="2"/>
        <v>3.4304235608883049</v>
      </c>
      <c r="F4" s="2">
        <f t="shared" si="2"/>
        <v>2.915860026755059</v>
      </c>
      <c r="G4" s="2">
        <f t="shared" si="2"/>
        <v>2.4784810227417999</v>
      </c>
      <c r="H4" s="2">
        <f t="shared" si="2"/>
        <v>2.10670886933053</v>
      </c>
      <c r="I4" s="2">
        <f t="shared" si="2"/>
        <v>1.7907025389309505</v>
      </c>
      <c r="J4" s="2">
        <f t="shared" si="2"/>
        <v>1.5220971580913079</v>
      </c>
      <c r="K4" s="2">
        <f t="shared" si="2"/>
        <v>1.2937825843776114</v>
      </c>
      <c r="L4" s="2">
        <f t="shared" si="2"/>
        <v>1.09971519672097</v>
      </c>
      <c r="M4" s="2">
        <f t="shared" si="2"/>
        <v>0.9347579172128242</v>
      </c>
    </row>
    <row r="5" spans="1:13" ht="15.75" x14ac:dyDescent="0.25">
      <c r="A5" s="2" t="s">
        <v>149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</row>
    <row r="6" spans="1:13" ht="15.75" x14ac:dyDescent="0.25">
      <c r="A6" s="2" t="s">
        <v>2</v>
      </c>
      <c r="B6" s="2">
        <f>B5+B4</f>
        <v>6.5858718679231512</v>
      </c>
      <c r="C6" s="2">
        <f t="shared" ref="C6:M6" si="3">C5+C4</f>
        <v>5.747991087734678</v>
      </c>
      <c r="D6" s="2">
        <f t="shared" si="3"/>
        <v>5.0357924245744767</v>
      </c>
      <c r="E6" s="2">
        <f t="shared" si="3"/>
        <v>4.4304235608883049</v>
      </c>
      <c r="F6" s="2">
        <f t="shared" si="3"/>
        <v>3.915860026755059</v>
      </c>
      <c r="G6" s="2">
        <f t="shared" si="3"/>
        <v>3.4784810227417999</v>
      </c>
      <c r="H6" s="2">
        <f t="shared" si="3"/>
        <v>3.10670886933053</v>
      </c>
      <c r="I6" s="2">
        <f t="shared" si="3"/>
        <v>2.7907025389309505</v>
      </c>
      <c r="J6" s="2">
        <f t="shared" si="3"/>
        <v>2.5220971580913076</v>
      </c>
      <c r="K6" s="2">
        <f t="shared" si="3"/>
        <v>2.2937825843776114</v>
      </c>
      <c r="L6" s="2">
        <f t="shared" si="3"/>
        <v>2.09971519672097</v>
      </c>
      <c r="M6" s="2">
        <f t="shared" si="3"/>
        <v>1.9347579172128242</v>
      </c>
    </row>
    <row r="7" spans="1:13" ht="15.7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ht="15.75" x14ac:dyDescent="0.25">
      <c r="A8" s="2" t="s">
        <v>114</v>
      </c>
      <c r="B8" s="2">
        <v>152.93</v>
      </c>
      <c r="C8" s="37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ht="15.75" x14ac:dyDescent="0.25">
      <c r="A9" s="2" t="s">
        <v>115</v>
      </c>
      <c r="B9" s="2">
        <v>34.119999999999997</v>
      </c>
      <c r="C9" s="37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ht="15.75" x14ac:dyDescent="0.25">
      <c r="A10" s="2" t="s">
        <v>116</v>
      </c>
      <c r="B10" s="2">
        <v>2</v>
      </c>
      <c r="C10" s="37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ht="15.75" x14ac:dyDescent="0.25">
      <c r="A11" s="2" t="s">
        <v>104</v>
      </c>
      <c r="B11" s="2">
        <v>5</v>
      </c>
      <c r="C11" s="37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15.75" x14ac:dyDescent="0.25">
      <c r="A12" s="2" t="s">
        <v>113</v>
      </c>
      <c r="B12" s="2">
        <v>10</v>
      </c>
      <c r="C12" s="37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ht="15.75" x14ac:dyDescent="0.25">
      <c r="A13" s="2" t="s">
        <v>128</v>
      </c>
      <c r="B13" s="2">
        <v>12</v>
      </c>
      <c r="C13" s="37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15.75" x14ac:dyDescent="0.25">
      <c r="A14" s="2" t="s">
        <v>103</v>
      </c>
      <c r="B14" s="2">
        <v>150</v>
      </c>
      <c r="C14" s="37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ht="15.75" x14ac:dyDescent="0.25">
      <c r="A15" s="2" t="s">
        <v>105</v>
      </c>
      <c r="B15" s="2">
        <f>B14*B11</f>
        <v>750</v>
      </c>
      <c r="C15" s="37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ht="15.75" x14ac:dyDescent="0.25">
      <c r="A16" s="2" t="s">
        <v>106</v>
      </c>
      <c r="B16" s="2">
        <f>B15*30.42*12</f>
        <v>273780</v>
      </c>
      <c r="C16" s="37"/>
      <c r="D16" s="2"/>
      <c r="E16" s="2"/>
      <c r="F16" s="2"/>
      <c r="G16" s="2"/>
      <c r="H16" s="2"/>
      <c r="I16" s="2"/>
      <c r="J16" s="2"/>
      <c r="K16" s="2"/>
      <c r="L16" s="2"/>
      <c r="M16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BP_Costing</vt:lpstr>
      <vt:lpstr>WithoutSubsidy</vt:lpstr>
      <vt:lpstr>Subsidy</vt:lpstr>
      <vt:lpstr>Insurance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2018-04-27T05:11:17Z</dcterms:modified>
</cp:coreProperties>
</file>