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CapexModel" sheetId="19" r:id="rId1"/>
  </sheets>
  <calcPr calcId="145621"/>
</workbook>
</file>

<file path=xl/calcChain.xml><?xml version="1.0" encoding="utf-8"?>
<calcChain xmlns="http://schemas.openxmlformats.org/spreadsheetml/2006/main">
  <c r="F14" i="19" l="1"/>
  <c r="C14" i="19"/>
  <c r="C39" i="19" l="1"/>
  <c r="C29" i="19"/>
  <c r="C36" i="19" s="1"/>
  <c r="D29" i="19"/>
  <c r="D36" i="19" s="1"/>
  <c r="E29" i="19"/>
  <c r="E36" i="19" s="1"/>
  <c r="F29" i="19"/>
  <c r="F36" i="19" s="1"/>
  <c r="C11" i="19" l="1"/>
  <c r="C60" i="19" l="1"/>
  <c r="D22" i="19" s="1"/>
  <c r="C51" i="19"/>
  <c r="C53" i="19" s="1"/>
  <c r="F35" i="19"/>
  <c r="D31" i="19"/>
  <c r="F26" i="19"/>
  <c r="F34" i="19" s="1"/>
  <c r="D19" i="19"/>
  <c r="E18" i="19"/>
  <c r="C18" i="19"/>
  <c r="E17" i="19"/>
  <c r="E31" i="19" s="1"/>
  <c r="C17" i="19"/>
  <c r="C19" i="19" s="1"/>
  <c r="D14" i="19"/>
  <c r="E14" i="19" s="1"/>
  <c r="D13" i="19"/>
  <c r="D8" i="19"/>
  <c r="D7" i="19"/>
  <c r="E7" i="19" s="1"/>
  <c r="D6" i="19"/>
  <c r="D15" i="19" l="1"/>
  <c r="D11" i="19"/>
  <c r="D30" i="19"/>
  <c r="C13" i="19"/>
  <c r="E13" i="19"/>
  <c r="E15" i="19" s="1"/>
  <c r="C52" i="19"/>
  <c r="E19" i="19"/>
  <c r="E4" i="19"/>
  <c r="F4" i="19"/>
  <c r="F17" i="19"/>
  <c r="D26" i="19"/>
  <c r="F18" i="19"/>
  <c r="E22" i="19"/>
  <c r="C22" i="19"/>
  <c r="F22" i="19"/>
  <c r="F6" i="19"/>
  <c r="F8" i="19"/>
  <c r="E6" i="19"/>
  <c r="F7" i="19"/>
  <c r="E8" i="19"/>
  <c r="F13" i="19"/>
  <c r="D21" i="19"/>
  <c r="D25" i="19" s="1"/>
  <c r="C30" i="19"/>
  <c r="C31" i="19"/>
  <c r="E35" i="19" l="1"/>
  <c r="E27" i="19"/>
  <c r="D27" i="19" s="1"/>
  <c r="E23" i="19"/>
  <c r="D23" i="19" s="1"/>
  <c r="C23" i="19" s="1"/>
  <c r="C15" i="19"/>
  <c r="E30" i="19"/>
  <c r="F11" i="19"/>
  <c r="E11" i="19"/>
  <c r="D35" i="19"/>
  <c r="C27" i="19"/>
  <c r="C35" i="19" s="1"/>
  <c r="F30" i="19"/>
  <c r="F15" i="19"/>
  <c r="D34" i="19"/>
  <c r="E26" i="19"/>
  <c r="E34" i="19" s="1"/>
  <c r="C26" i="19"/>
  <c r="C34" i="19" s="1"/>
  <c r="E21" i="19"/>
  <c r="E25" i="19" s="1"/>
  <c r="C21" i="19"/>
  <c r="C25" i="19" s="1"/>
  <c r="F21" i="19"/>
  <c r="F25" i="19" s="1"/>
  <c r="E3" i="19"/>
  <c r="F3" i="19"/>
  <c r="F31" i="19"/>
  <c r="F19" i="19"/>
  <c r="F32" i="19" l="1"/>
  <c r="F24" i="19"/>
  <c r="F38" i="19" s="1"/>
  <c r="C32" i="19"/>
  <c r="C24" i="19"/>
  <c r="C38" i="19" s="1"/>
  <c r="D32" i="19"/>
  <c r="E32" i="19"/>
  <c r="E24" i="19"/>
  <c r="D24" i="19"/>
  <c r="D38" i="19" s="1"/>
  <c r="E38" i="19"/>
  <c r="D33" i="19" l="1"/>
  <c r="D37" i="19" s="1"/>
  <c r="C33" i="19"/>
  <c r="C37" i="19" s="1"/>
  <c r="F33" i="19"/>
  <c r="F37" i="19" s="1"/>
  <c r="E33" i="19"/>
  <c r="E37" i="19" s="1"/>
</calcChain>
</file>

<file path=xl/sharedStrings.xml><?xml version="1.0" encoding="utf-8"?>
<sst xmlns="http://schemas.openxmlformats.org/spreadsheetml/2006/main" count="95" uniqueCount="78">
  <si>
    <t>S.No</t>
  </si>
  <si>
    <t>Component</t>
  </si>
  <si>
    <t>E&amp;C Charges</t>
  </si>
  <si>
    <t>Augmentaton for Electricity Distribution from DMRC terminal point</t>
  </si>
  <si>
    <t>Cost(Lakhs)</t>
  </si>
  <si>
    <t>Cost/Year(Lakhs)</t>
  </si>
  <si>
    <t>Electricity Charges per year</t>
  </si>
  <si>
    <t>Capital Expediture</t>
  </si>
  <si>
    <t>Operational Expenditure</t>
  </si>
  <si>
    <t>Cost(Rs/Km)</t>
  </si>
  <si>
    <t>Total opex</t>
  </si>
  <si>
    <t xml:space="preserve">Return on Investment </t>
  </si>
  <si>
    <t>Concerned Stakeholder</t>
  </si>
  <si>
    <t>BHEL</t>
  </si>
  <si>
    <t>DIMTS</t>
  </si>
  <si>
    <t>Driver</t>
  </si>
  <si>
    <t>DIMTS Margin</t>
  </si>
  <si>
    <t>Cleaner &amp;Other Support</t>
  </si>
  <si>
    <t>Number of Guaranteed Kms per bus per day</t>
  </si>
  <si>
    <t>Number of Bus</t>
  </si>
  <si>
    <t>Number of Guaranteed Kms per  day</t>
  </si>
  <si>
    <t>Number of Guaranteed Kms per  year</t>
  </si>
  <si>
    <t>Monitoring-Manager</t>
  </si>
  <si>
    <t>Monitoring-MIS</t>
  </si>
  <si>
    <t>Cost/Month(Lakhs)</t>
  </si>
  <si>
    <t>Number of Years</t>
  </si>
  <si>
    <t>Number of Chargers</t>
  </si>
  <si>
    <t>Unit/Km</t>
  </si>
  <si>
    <t>Unit Charge(Rs)</t>
  </si>
  <si>
    <t>Number of Drivers per shift</t>
  </si>
  <si>
    <t>Number of shifts</t>
  </si>
  <si>
    <t>Number of Cleaners per Shift</t>
  </si>
  <si>
    <t>Supply of 120 KW DC fast Chargers 2 Nos (GB/T)</t>
  </si>
  <si>
    <t>Tentative Number of Years</t>
  </si>
  <si>
    <t>DMRC</t>
  </si>
  <si>
    <t>Parameters</t>
  </si>
  <si>
    <t>Cost per Bus(Lakhs)</t>
  </si>
  <si>
    <t>Cost per Charger(Lakhs)</t>
  </si>
  <si>
    <t>Subsidy per bus(Lakhs)</t>
  </si>
  <si>
    <t>Subsidy on chargers(Lakhs)</t>
  </si>
  <si>
    <t xml:space="preserve">Supply of 5 E Buses </t>
  </si>
  <si>
    <t xml:space="preserve">AMC Charges for E Buses 5 Nos </t>
  </si>
  <si>
    <t xml:space="preserve">AMC Charges for DC Chargers 2 Nos </t>
  </si>
  <si>
    <t>Driver Rate(Rs)</t>
  </si>
  <si>
    <t>Cleaner Rate(Rs)</t>
  </si>
  <si>
    <t>Monitoring Manger(Rs/Month)</t>
  </si>
  <si>
    <t>MIS(Rs/Month)</t>
  </si>
  <si>
    <t>AMC per bus per year(Lakhs)</t>
  </si>
  <si>
    <t>AMC per charger year(Lakhs)</t>
  </si>
  <si>
    <t>Misc</t>
  </si>
  <si>
    <t>Insurance+Permit Charges</t>
  </si>
  <si>
    <t>Number of Guaranteed Kms per  month</t>
  </si>
  <si>
    <t>AMC</t>
  </si>
  <si>
    <t>AMC Total</t>
  </si>
  <si>
    <t>Supervision</t>
  </si>
  <si>
    <t>Supervision Total</t>
  </si>
  <si>
    <t>Other Manpower</t>
  </si>
  <si>
    <t>Manpower Total</t>
  </si>
  <si>
    <t>Misc Charges</t>
  </si>
  <si>
    <t>BHEL Handling</t>
  </si>
  <si>
    <t>BHEL Profit Margin</t>
  </si>
  <si>
    <t>BHEL Opex Total</t>
  </si>
  <si>
    <t>BHEL AMC Total</t>
  </si>
  <si>
    <t>DIMTS Supervision Total</t>
  </si>
  <si>
    <t>DIMTS Manpower Total</t>
  </si>
  <si>
    <t>BHEL Electricity  Total</t>
  </si>
  <si>
    <t>Overheads</t>
  </si>
  <si>
    <t>Vehicle and Charger purchase and owned by DMRC,this is to facilitate FAME Incentive scheme</t>
  </si>
  <si>
    <t xml:space="preserve">The Proposed Timeline of the Pilot Project should be 1-1.5 years, which could be extended to full form of commercial operations based on the experiences achieved from the pilot project. </t>
  </si>
  <si>
    <t>Assumptions</t>
  </si>
  <si>
    <t>DIMTS Margin Total</t>
  </si>
  <si>
    <t>BHEL Insuranc &amp; Permit Total</t>
  </si>
  <si>
    <t>BHEL Total</t>
  </si>
  <si>
    <t>DIMTS Total</t>
  </si>
  <si>
    <t>Fare Collection Management,inclusive of Validators , its AMC, &amp; FCM staff will be done by DMRC</t>
  </si>
  <si>
    <t xml:space="preserve">Operational Control Center and Backend to be provided by DMRC </t>
  </si>
  <si>
    <t>Total Capex</t>
  </si>
  <si>
    <t>All assets inclusive of worshops &amp; depot to be owned and commissioned  by DMRC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</si>
</sst>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wrapText="1"/>
    </xf>
    <xf numFmtId="9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vertical="top"/>
    </xf>
    <xf numFmtId="2" fontId="2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top" wrapText="1"/>
    </xf>
    <xf numFmtId="2" fontId="2" fillId="4" borderId="1" xfId="0" applyNumberFormat="1" applyFont="1" applyFill="1" applyBorder="1" applyAlignment="1">
      <alignment horizontal="center" vertical="center" wrapText="1"/>
    </xf>
  </cellXfs>
  <cellStyles count="2">
    <cellStyle name="Comma 2" xfId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abSelected="1" topLeftCell="A58" workbookViewId="0">
      <selection activeCell="E59" sqref="E59"/>
    </sheetView>
  </sheetViews>
  <sheetFormatPr defaultRowHeight="15" x14ac:dyDescent="0.25"/>
  <cols>
    <col min="2" max="2" width="45.5703125" customWidth="1"/>
    <col min="3" max="3" width="15" customWidth="1"/>
    <col min="4" max="4" width="19.5703125" customWidth="1"/>
    <col min="5" max="5" width="20" customWidth="1"/>
    <col min="6" max="6" width="15.28515625" customWidth="1"/>
    <col min="7" max="7" width="26.42578125" customWidth="1"/>
    <col min="11" max="11" width="55" style="14" customWidth="1"/>
  </cols>
  <sheetData>
    <row r="1" spans="1:11" ht="31.5" x14ac:dyDescent="0.25">
      <c r="A1" s="11" t="s">
        <v>0</v>
      </c>
      <c r="B1" s="11" t="s">
        <v>1</v>
      </c>
      <c r="C1" s="11" t="s">
        <v>4</v>
      </c>
      <c r="D1" s="11" t="s">
        <v>5</v>
      </c>
      <c r="E1" s="11" t="s">
        <v>24</v>
      </c>
      <c r="F1" s="11" t="s">
        <v>9</v>
      </c>
      <c r="G1" s="11" t="s">
        <v>12</v>
      </c>
      <c r="J1" s="11" t="s">
        <v>0</v>
      </c>
      <c r="K1" s="11" t="s">
        <v>69</v>
      </c>
    </row>
    <row r="2" spans="1:11" s="20" customFormat="1" ht="31.5" x14ac:dyDescent="0.25">
      <c r="A2" s="18"/>
      <c r="B2" s="19" t="s">
        <v>7</v>
      </c>
      <c r="C2" s="18"/>
      <c r="D2" s="18"/>
      <c r="E2" s="18"/>
      <c r="F2" s="18"/>
      <c r="G2" s="18"/>
      <c r="J2" s="22">
        <v>1</v>
      </c>
      <c r="K2" s="22" t="s">
        <v>67</v>
      </c>
    </row>
    <row r="3" spans="1:11" s="20" customFormat="1" ht="31.5" x14ac:dyDescent="0.25">
      <c r="A3" s="18">
        <v>1</v>
      </c>
      <c r="B3" s="18" t="s">
        <v>40</v>
      </c>
      <c r="C3" s="21">
        <v>1000</v>
      </c>
      <c r="D3" s="21"/>
      <c r="E3" s="21">
        <f>D3/12</f>
        <v>0</v>
      </c>
      <c r="F3" s="23">
        <f>D3*10^5/$C$53</f>
        <v>0</v>
      </c>
      <c r="G3" s="21" t="s">
        <v>34</v>
      </c>
      <c r="J3" s="22">
        <v>2</v>
      </c>
      <c r="K3" s="22" t="s">
        <v>74</v>
      </c>
    </row>
    <row r="4" spans="1:11" ht="31.5" x14ac:dyDescent="0.25">
      <c r="A4" s="3">
        <v>2</v>
      </c>
      <c r="B4" s="3" t="s">
        <v>32</v>
      </c>
      <c r="C4" s="4">
        <v>75</v>
      </c>
      <c r="D4" s="4"/>
      <c r="E4" s="4">
        <f t="shared" ref="E4:E26" si="0">D4/12</f>
        <v>0</v>
      </c>
      <c r="F4" s="24">
        <f>D4*10^5/$C$53</f>
        <v>0</v>
      </c>
      <c r="G4" s="4" t="s">
        <v>34</v>
      </c>
      <c r="J4" s="22">
        <v>3</v>
      </c>
      <c r="K4" s="22" t="s">
        <v>77</v>
      </c>
    </row>
    <row r="5" spans="1:11" s="13" customFormat="1" ht="31.5" x14ac:dyDescent="0.25">
      <c r="A5" s="3"/>
      <c r="B5" s="1" t="s">
        <v>8</v>
      </c>
      <c r="C5" s="4"/>
      <c r="D5" s="4"/>
      <c r="E5" s="4"/>
      <c r="F5" s="4"/>
      <c r="G5" s="4"/>
      <c r="J5" s="22">
        <v>4</v>
      </c>
      <c r="K5" s="22" t="s">
        <v>75</v>
      </c>
    </row>
    <row r="6" spans="1:11" ht="63" x14ac:dyDescent="0.25">
      <c r="A6" s="3">
        <v>5</v>
      </c>
      <c r="B6" s="3" t="s">
        <v>3</v>
      </c>
      <c r="C6" s="4">
        <v>10</v>
      </c>
      <c r="D6" s="4">
        <f>-1*+PMT(0%,$C$48,C6)</f>
        <v>1</v>
      </c>
      <c r="E6" s="4">
        <f t="shared" si="0"/>
        <v>8.3333333333333329E-2</v>
      </c>
      <c r="F6" s="4">
        <f>D6*10^5/$C$53</f>
        <v>0.27394258163488933</v>
      </c>
      <c r="G6" s="4" t="s">
        <v>13</v>
      </c>
      <c r="J6" s="22">
        <v>5</v>
      </c>
      <c r="K6" s="22" t="s">
        <v>68</v>
      </c>
    </row>
    <row r="7" spans="1:11" ht="15.75" x14ac:dyDescent="0.25">
      <c r="A7" s="3">
        <v>6</v>
      </c>
      <c r="B7" s="3" t="s">
        <v>2</v>
      </c>
      <c r="C7" s="4">
        <v>11.25</v>
      </c>
      <c r="D7" s="4">
        <f>-1*+PMT(0%,$C$48,C7)</f>
        <v>1.125</v>
      </c>
      <c r="E7" s="4">
        <f t="shared" si="0"/>
        <v>9.375E-2</v>
      </c>
      <c r="F7" s="4">
        <f>D7*10^5/$C$53</f>
        <v>0.30818540433925051</v>
      </c>
      <c r="G7" s="4" t="s">
        <v>13</v>
      </c>
    </row>
    <row r="8" spans="1:11" ht="15.75" x14ac:dyDescent="0.25">
      <c r="A8" s="3">
        <v>7</v>
      </c>
      <c r="B8" s="3" t="s">
        <v>58</v>
      </c>
      <c r="C8" s="4">
        <v>5</v>
      </c>
      <c r="D8" s="4">
        <f>-1*+PMT(0%,$C$48,C8)</f>
        <v>0.5</v>
      </c>
      <c r="E8" s="4">
        <f>D8/12</f>
        <v>4.1666666666666664E-2</v>
      </c>
      <c r="F8" s="4">
        <f>D8*10^5/$C$53</f>
        <v>0.13697129081744466</v>
      </c>
      <c r="G8" s="4" t="s">
        <v>13</v>
      </c>
    </row>
    <row r="9" spans="1:11" ht="15.75" x14ac:dyDescent="0.25">
      <c r="A9" s="3"/>
      <c r="B9" s="3" t="s">
        <v>59</v>
      </c>
      <c r="C9" s="4">
        <v>132.15</v>
      </c>
      <c r="D9" s="4">
        <v>21.309155939843997</v>
      </c>
      <c r="E9" s="4">
        <v>1.7757629949869997</v>
      </c>
      <c r="F9" s="4">
        <v>5.837485190621301</v>
      </c>
      <c r="G9" s="4" t="s">
        <v>13</v>
      </c>
    </row>
    <row r="10" spans="1:11" ht="15.75" x14ac:dyDescent="0.25">
      <c r="A10" s="3"/>
      <c r="B10" s="3" t="s">
        <v>60</v>
      </c>
      <c r="C10" s="4">
        <v>123.34000000000002</v>
      </c>
      <c r="D10" s="4">
        <v>19.888545543854402</v>
      </c>
      <c r="E10" s="4">
        <v>1.6573787953211998</v>
      </c>
      <c r="F10" s="4">
        <v>5.4483195112465488</v>
      </c>
      <c r="G10" s="4" t="s">
        <v>13</v>
      </c>
    </row>
    <row r="11" spans="1:11" ht="15.75" x14ac:dyDescent="0.25">
      <c r="A11" s="2"/>
      <c r="B11" s="1" t="s">
        <v>61</v>
      </c>
      <c r="C11" s="5">
        <f>SUM(C6:C10)</f>
        <v>281.74</v>
      </c>
      <c r="D11" s="5">
        <f>SUM(D6:D10)</f>
        <v>43.822701483698395</v>
      </c>
      <c r="E11" s="5">
        <f>SUM(E6:E10)</f>
        <v>3.6518917903081993</v>
      </c>
      <c r="F11" s="5">
        <f>SUM(F6:F10)</f>
        <v>12.004903978659435</v>
      </c>
      <c r="G11" s="5"/>
    </row>
    <row r="12" spans="1:11" ht="15.75" x14ac:dyDescent="0.25">
      <c r="A12" s="3"/>
      <c r="B12" s="1" t="s">
        <v>52</v>
      </c>
      <c r="C12" s="4"/>
      <c r="D12" s="4"/>
      <c r="E12" s="4"/>
      <c r="F12" s="4"/>
      <c r="G12" s="4"/>
    </row>
    <row r="13" spans="1:11" ht="15.75" x14ac:dyDescent="0.25">
      <c r="A13" s="3">
        <v>8</v>
      </c>
      <c r="B13" s="6" t="s">
        <v>41</v>
      </c>
      <c r="C13" s="7">
        <f>$C$48*D13</f>
        <v>584</v>
      </c>
      <c r="D13" s="7">
        <f>C45*C44</f>
        <v>58.4</v>
      </c>
      <c r="E13" s="4">
        <f t="shared" si="0"/>
        <v>4.8666666666666663</v>
      </c>
      <c r="F13" s="7">
        <f>D13*10^5/$C$53</f>
        <v>15.998246767477537</v>
      </c>
      <c r="G13" s="4" t="s">
        <v>13</v>
      </c>
    </row>
    <row r="14" spans="1:11" ht="15.75" x14ac:dyDescent="0.25">
      <c r="A14" s="3">
        <v>9</v>
      </c>
      <c r="B14" s="6" t="s">
        <v>42</v>
      </c>
      <c r="C14" s="7">
        <f>$C$48*D14</f>
        <v>39</v>
      </c>
      <c r="D14" s="7">
        <f>C46*C43</f>
        <v>3.9000000000000004</v>
      </c>
      <c r="E14" s="4">
        <f t="shared" si="0"/>
        <v>0.32500000000000001</v>
      </c>
      <c r="F14" s="7">
        <f>D14*10^5/$C$53</f>
        <v>1.0683760683760686</v>
      </c>
      <c r="G14" s="4" t="s">
        <v>13</v>
      </c>
    </row>
    <row r="15" spans="1:11" ht="15.75" x14ac:dyDescent="0.25">
      <c r="A15" s="3"/>
      <c r="B15" s="17" t="s">
        <v>53</v>
      </c>
      <c r="C15" s="12">
        <f>SUM(C13:C14)</f>
        <v>623</v>
      </c>
      <c r="D15" s="12">
        <f t="shared" ref="D15:F15" si="1">SUM(D13:D14)</f>
        <v>62.3</v>
      </c>
      <c r="E15" s="12">
        <f t="shared" si="1"/>
        <v>5.1916666666666664</v>
      </c>
      <c r="F15" s="12">
        <f t="shared" si="1"/>
        <v>17.066622835853607</v>
      </c>
      <c r="G15" s="4"/>
    </row>
    <row r="16" spans="1:11" ht="15.75" x14ac:dyDescent="0.25">
      <c r="A16" s="3"/>
      <c r="B16" s="17" t="s">
        <v>54</v>
      </c>
      <c r="C16" s="7"/>
      <c r="D16" s="7"/>
      <c r="E16" s="4"/>
      <c r="F16" s="7"/>
      <c r="G16" s="4"/>
    </row>
    <row r="17" spans="1:11" ht="15.75" x14ac:dyDescent="0.25">
      <c r="A17" s="3">
        <v>10</v>
      </c>
      <c r="B17" s="2" t="s">
        <v>22</v>
      </c>
      <c r="C17" s="7">
        <f>$C$48*D17</f>
        <v>60</v>
      </c>
      <c r="D17" s="7">
        <v>6</v>
      </c>
      <c r="E17" s="4">
        <f t="shared" si="0"/>
        <v>0.5</v>
      </c>
      <c r="F17" s="7">
        <f>D17*10^5/($C$53)</f>
        <v>1.6436554898093361</v>
      </c>
      <c r="G17" s="2" t="s">
        <v>14</v>
      </c>
    </row>
    <row r="18" spans="1:11" ht="15.75" x14ac:dyDescent="0.25">
      <c r="A18" s="3">
        <v>11</v>
      </c>
      <c r="B18" s="2" t="s">
        <v>23</v>
      </c>
      <c r="C18" s="7">
        <f>$C$48*D18</f>
        <v>60</v>
      </c>
      <c r="D18" s="7">
        <v>6</v>
      </c>
      <c r="E18" s="4">
        <f t="shared" si="0"/>
        <v>0.5</v>
      </c>
      <c r="F18" s="7">
        <f>D18*10^5/($C$53)</f>
        <v>1.6436554898093361</v>
      </c>
      <c r="G18" s="2" t="s">
        <v>14</v>
      </c>
    </row>
    <row r="19" spans="1:11" ht="15.75" x14ac:dyDescent="0.25">
      <c r="A19" s="3"/>
      <c r="B19" s="16" t="s">
        <v>55</v>
      </c>
      <c r="C19" s="12">
        <f>SUM(C17:C18)</f>
        <v>120</v>
      </c>
      <c r="D19" s="12">
        <f>SUM(D17:D18)</f>
        <v>12</v>
      </c>
      <c r="E19" s="12">
        <f>SUM(E17:E18)</f>
        <v>1</v>
      </c>
      <c r="F19" s="12">
        <f>SUM(F17:F18)</f>
        <v>3.2873109796186721</v>
      </c>
      <c r="G19" s="2"/>
    </row>
    <row r="20" spans="1:11" ht="15.75" x14ac:dyDescent="0.25">
      <c r="A20" s="3"/>
      <c r="B20" s="2" t="s">
        <v>56</v>
      </c>
      <c r="C20" s="7"/>
      <c r="D20" s="7"/>
      <c r="E20" s="4"/>
      <c r="F20" s="7"/>
      <c r="G20" s="2"/>
    </row>
    <row r="21" spans="1:11" ht="15.75" x14ac:dyDescent="0.25">
      <c r="A21" s="3">
        <v>12</v>
      </c>
      <c r="B21" s="2" t="s">
        <v>15</v>
      </c>
      <c r="C21" s="7">
        <f>$C$48*D21</f>
        <v>401.54400000000004</v>
      </c>
      <c r="D21" s="7">
        <f>C58*C60*C61*12/10^5</f>
        <v>40.154400000000003</v>
      </c>
      <c r="E21" s="4">
        <f t="shared" si="0"/>
        <v>3.3462000000000001</v>
      </c>
      <c r="F21" s="7">
        <f>D21*10^5/($C$53)</f>
        <v>11.000000000000002</v>
      </c>
      <c r="G21" s="2" t="s">
        <v>14</v>
      </c>
    </row>
    <row r="22" spans="1:11" ht="15.75" x14ac:dyDescent="0.25">
      <c r="A22" s="3">
        <v>13</v>
      </c>
      <c r="B22" s="2" t="s">
        <v>17</v>
      </c>
      <c r="C22" s="7">
        <f>$C$48*D22</f>
        <v>262.8288</v>
      </c>
      <c r="D22" s="7">
        <f>C59*C60*C62*12/10^5</f>
        <v>26.282879999999999</v>
      </c>
      <c r="E22" s="4">
        <f t="shared" si="0"/>
        <v>2.1902399999999997</v>
      </c>
      <c r="F22" s="7">
        <f>D22*10^5/($C$53)</f>
        <v>7.2</v>
      </c>
      <c r="G22" s="2" t="s">
        <v>14</v>
      </c>
    </row>
    <row r="23" spans="1:11" s="13" customFormat="1" ht="15.75" x14ac:dyDescent="0.25">
      <c r="A23" s="3"/>
      <c r="B23" s="2" t="s">
        <v>66</v>
      </c>
      <c r="C23" s="7">
        <f>$C$48*D23</f>
        <v>146.01600000000002</v>
      </c>
      <c r="D23" s="4">
        <f>E23*12</f>
        <v>14.601600000000001</v>
      </c>
      <c r="E23" s="4">
        <f>F23*$C$52/10^5</f>
        <v>1.2168000000000001</v>
      </c>
      <c r="F23" s="7">
        <v>4</v>
      </c>
      <c r="G23" s="2" t="s">
        <v>14</v>
      </c>
      <c r="K23" s="14"/>
    </row>
    <row r="24" spans="1:11" ht="15.75" x14ac:dyDescent="0.25">
      <c r="A24" s="3"/>
      <c r="B24" s="16" t="s">
        <v>57</v>
      </c>
      <c r="C24" s="12">
        <f>SUM(C21:C23)</f>
        <v>810.38880000000017</v>
      </c>
      <c r="D24" s="12">
        <f>SUM(D21:D23)</f>
        <v>81.038880000000006</v>
      </c>
      <c r="E24" s="12">
        <f>SUM(E21:E23)</f>
        <v>6.7532399999999999</v>
      </c>
      <c r="F24" s="12">
        <f>SUM(F21:F23)</f>
        <v>22.200000000000003</v>
      </c>
      <c r="G24" s="2"/>
    </row>
    <row r="25" spans="1:11" ht="15.75" x14ac:dyDescent="0.25">
      <c r="A25" s="3">
        <v>17</v>
      </c>
      <c r="B25" s="2" t="s">
        <v>16</v>
      </c>
      <c r="C25" s="9">
        <f>$C$65*(C22+C21+C18+C17+C23)</f>
        <v>186.07776000000004</v>
      </c>
      <c r="D25" s="9">
        <f>$C$65*(D22+D21+D18+D17+D23)</f>
        <v>18.607776000000001</v>
      </c>
      <c r="E25" s="9">
        <f>$C$65*(E22+E21+E18+E17+E23)</f>
        <v>1.550648</v>
      </c>
      <c r="F25" s="9">
        <f>$C$65*(F22+F21+F18+F17+F23)</f>
        <v>5.0974621959237361</v>
      </c>
      <c r="G25" s="2" t="s">
        <v>14</v>
      </c>
    </row>
    <row r="26" spans="1:11" ht="15.75" x14ac:dyDescent="0.25">
      <c r="A26" s="3">
        <v>18</v>
      </c>
      <c r="B26" s="3" t="s">
        <v>6</v>
      </c>
      <c r="C26" s="7">
        <f>$C$48*D26</f>
        <v>332.18639999999999</v>
      </c>
      <c r="D26" s="8">
        <f>F26*$C$53/10^5</f>
        <v>33.218640000000001</v>
      </c>
      <c r="E26" s="4">
        <f t="shared" si="0"/>
        <v>2.7682199999999999</v>
      </c>
      <c r="F26" s="8">
        <f>C56*C57</f>
        <v>9.1</v>
      </c>
      <c r="G26" s="7" t="s">
        <v>13</v>
      </c>
    </row>
    <row r="27" spans="1:11" ht="15.75" x14ac:dyDescent="0.25">
      <c r="A27" s="3">
        <v>21</v>
      </c>
      <c r="B27" s="3" t="s">
        <v>50</v>
      </c>
      <c r="C27" s="7">
        <f>$C$48*D27</f>
        <v>219.024</v>
      </c>
      <c r="D27" s="4">
        <f>E27*12</f>
        <v>21.9024</v>
      </c>
      <c r="E27" s="4">
        <f>F27*$C$52/10^5</f>
        <v>1.8251999999999999</v>
      </c>
      <c r="F27" s="4">
        <v>6</v>
      </c>
      <c r="G27" s="4" t="s">
        <v>13</v>
      </c>
    </row>
    <row r="28" spans="1:11" ht="15.75" x14ac:dyDescent="0.25">
      <c r="A28" s="3">
        <v>22</v>
      </c>
      <c r="B28" s="3" t="s">
        <v>49</v>
      </c>
      <c r="C28" s="8"/>
      <c r="D28" s="8"/>
      <c r="E28" s="4"/>
      <c r="F28" s="8"/>
      <c r="G28" s="8"/>
    </row>
    <row r="29" spans="1:11" ht="15.75" x14ac:dyDescent="0.25">
      <c r="A29" s="1"/>
      <c r="B29" s="16" t="s">
        <v>61</v>
      </c>
      <c r="C29" s="5">
        <f>SUM(C6:C10)</f>
        <v>281.74</v>
      </c>
      <c r="D29" s="5">
        <f>SUM(D6:D10)</f>
        <v>43.822701483698395</v>
      </c>
      <c r="E29" s="5">
        <f>SUM(E6:E10)</f>
        <v>3.6518917903081993</v>
      </c>
      <c r="F29" s="5">
        <f>SUM(F6:F10)</f>
        <v>12.004903978659435</v>
      </c>
      <c r="G29" s="2"/>
    </row>
    <row r="30" spans="1:11" ht="15.75" x14ac:dyDescent="0.25">
      <c r="A30" s="3"/>
      <c r="B30" s="17" t="s">
        <v>62</v>
      </c>
      <c r="C30" s="12">
        <f>SUM(C13:C14)</f>
        <v>623</v>
      </c>
      <c r="D30" s="12">
        <f>SUM(D13:D14)</f>
        <v>62.3</v>
      </c>
      <c r="E30" s="12">
        <f>SUM(E13:E14)</f>
        <v>5.1916666666666664</v>
      </c>
      <c r="F30" s="12">
        <f>SUM(F13:F14)</f>
        <v>17.066622835853607</v>
      </c>
      <c r="G30" s="4"/>
    </row>
    <row r="31" spans="1:11" ht="15.75" x14ac:dyDescent="0.25">
      <c r="A31" s="3"/>
      <c r="B31" s="16" t="s">
        <v>63</v>
      </c>
      <c r="C31" s="12">
        <f>SUM(C17:C18)</f>
        <v>120</v>
      </c>
      <c r="D31" s="12">
        <f>SUM(D17:D18)</f>
        <v>12</v>
      </c>
      <c r="E31" s="12">
        <f>SUM(E17:E18)</f>
        <v>1</v>
      </c>
      <c r="F31" s="12">
        <f>SUM(F17:F18)</f>
        <v>3.2873109796186721</v>
      </c>
      <c r="G31" s="2"/>
    </row>
    <row r="32" spans="1:11" ht="15.75" x14ac:dyDescent="0.25">
      <c r="A32" s="3"/>
      <c r="B32" s="16" t="s">
        <v>64</v>
      </c>
      <c r="C32" s="12">
        <f>SUM(C21:C23)</f>
        <v>810.38880000000017</v>
      </c>
      <c r="D32" s="12">
        <f>SUM(D21:D23)</f>
        <v>81.038880000000006</v>
      </c>
      <c r="E32" s="12">
        <f>SUM(E21:E23)</f>
        <v>6.7532399999999999</v>
      </c>
      <c r="F32" s="12">
        <f>SUM(F21:F23)</f>
        <v>22.200000000000003</v>
      </c>
      <c r="G32" s="2"/>
    </row>
    <row r="33" spans="1:11" s="13" customFormat="1" ht="15.75" x14ac:dyDescent="0.25">
      <c r="A33" s="3"/>
      <c r="B33" s="16" t="s">
        <v>70</v>
      </c>
      <c r="C33" s="12">
        <f>$C$65*(C32+C31)</f>
        <v>186.07776000000004</v>
      </c>
      <c r="D33" s="12">
        <f>$C$65*(D32+D31)</f>
        <v>18.607776000000001</v>
      </c>
      <c r="E33" s="12">
        <f>$C$65*(E32+E31)</f>
        <v>1.550648</v>
      </c>
      <c r="F33" s="12">
        <f>$C$65*(F32+F31)</f>
        <v>5.0974621959237361</v>
      </c>
      <c r="G33" s="2"/>
      <c r="K33" s="14"/>
    </row>
    <row r="34" spans="1:11" ht="15.75" x14ac:dyDescent="0.25">
      <c r="A34" s="3"/>
      <c r="B34" s="16" t="s">
        <v>65</v>
      </c>
      <c r="C34" s="12">
        <f>C26</f>
        <v>332.18639999999999</v>
      </c>
      <c r="D34" s="12">
        <f>D26</f>
        <v>33.218640000000001</v>
      </c>
      <c r="E34" s="12">
        <f>E26</f>
        <v>2.7682199999999999</v>
      </c>
      <c r="F34" s="12">
        <f>F26</f>
        <v>9.1</v>
      </c>
      <c r="G34" s="2"/>
    </row>
    <row r="35" spans="1:11" ht="15.75" x14ac:dyDescent="0.25">
      <c r="A35" s="3"/>
      <c r="B35" s="16" t="s">
        <v>71</v>
      </c>
      <c r="C35" s="12">
        <f>SUM(C27:C28)</f>
        <v>219.024</v>
      </c>
      <c r="D35" s="12">
        <f>SUM(D27:D28)</f>
        <v>21.9024</v>
      </c>
      <c r="E35" s="12">
        <f>SUM(E27:E28)</f>
        <v>1.8251999999999999</v>
      </c>
      <c r="F35" s="12">
        <f>SUM(F27:F28)</f>
        <v>6</v>
      </c>
      <c r="G35" s="2"/>
    </row>
    <row r="36" spans="1:11" s="13" customFormat="1" ht="15.75" x14ac:dyDescent="0.25">
      <c r="A36" s="3"/>
      <c r="B36" s="16" t="s">
        <v>72</v>
      </c>
      <c r="C36" s="12">
        <f>C29+C30+C34+C35</f>
        <v>1455.9504000000002</v>
      </c>
      <c r="D36" s="12">
        <f>D29+D30+D34+D35</f>
        <v>161.24374148369839</v>
      </c>
      <c r="E36" s="12">
        <f>E29+E30+E34+E35</f>
        <v>13.436978456974865</v>
      </c>
      <c r="F36" s="12">
        <f>F29+F30+F34+F35</f>
        <v>44.171526814513044</v>
      </c>
      <c r="G36" s="2"/>
      <c r="K36" s="14"/>
    </row>
    <row r="37" spans="1:11" s="13" customFormat="1" ht="15.75" x14ac:dyDescent="0.25">
      <c r="A37" s="3"/>
      <c r="B37" s="16" t="s">
        <v>73</v>
      </c>
      <c r="C37" s="12">
        <f>C31+C32+C33</f>
        <v>1116.4665600000003</v>
      </c>
      <c r="D37" s="12">
        <f>D31+D32+D33</f>
        <v>111.64665600000001</v>
      </c>
      <c r="E37" s="12">
        <f>E31+E32+E33</f>
        <v>9.3038880000000006</v>
      </c>
      <c r="F37" s="12">
        <f>F31+F32+F33</f>
        <v>30.584773175542413</v>
      </c>
      <c r="G37" s="2"/>
      <c r="K37" s="14"/>
    </row>
    <row r="38" spans="1:11" ht="15.75" x14ac:dyDescent="0.25">
      <c r="A38" s="2"/>
      <c r="B38" s="1" t="s">
        <v>10</v>
      </c>
      <c r="C38" s="5">
        <f>SUM(C11:C28)-C15-C19-C24</f>
        <v>2572.41696</v>
      </c>
      <c r="D38" s="5">
        <f>SUM(D11:D28)-D15-D19-D24</f>
        <v>272.89039748369839</v>
      </c>
      <c r="E38" s="5">
        <f>SUM(E11:E28)-E15-E19-E24</f>
        <v>22.740866456974864</v>
      </c>
      <c r="F38" s="5">
        <f>SUM(F11:F28)-F15-F19-F24</f>
        <v>74.756299990055453</v>
      </c>
      <c r="G38" s="2"/>
    </row>
    <row r="39" spans="1:11" s="13" customFormat="1" ht="15.75" x14ac:dyDescent="0.25">
      <c r="A39" s="2"/>
      <c r="B39" s="1" t="s">
        <v>76</v>
      </c>
      <c r="C39" s="5">
        <f>C3+C4</f>
        <v>1075</v>
      </c>
      <c r="D39" s="5"/>
      <c r="E39" s="5"/>
      <c r="F39" s="5"/>
      <c r="G39" s="2"/>
      <c r="K39" s="14"/>
    </row>
    <row r="40" spans="1:11" ht="15.75" x14ac:dyDescent="0.25">
      <c r="A40" s="2"/>
      <c r="B40" s="1" t="s">
        <v>35</v>
      </c>
      <c r="C40" s="4"/>
      <c r="D40" s="8"/>
      <c r="E40" s="8"/>
      <c r="F40" s="8"/>
      <c r="G40" s="2"/>
    </row>
    <row r="41" spans="1:11" ht="15.75" x14ac:dyDescent="0.25">
      <c r="A41" s="2"/>
      <c r="B41" s="2" t="s">
        <v>36</v>
      </c>
      <c r="C41" s="2">
        <v>200</v>
      </c>
      <c r="D41" s="2"/>
      <c r="E41" s="2"/>
      <c r="F41" s="2"/>
      <c r="G41" s="5"/>
    </row>
    <row r="42" spans="1:11" ht="15.75" x14ac:dyDescent="0.25">
      <c r="A42" s="2"/>
      <c r="B42" s="2" t="s">
        <v>37</v>
      </c>
      <c r="C42" s="2">
        <v>25</v>
      </c>
      <c r="D42" s="2"/>
      <c r="E42" s="2"/>
      <c r="F42" s="2"/>
      <c r="G42" s="8"/>
    </row>
    <row r="43" spans="1:11" ht="15.75" x14ac:dyDescent="0.25">
      <c r="A43" s="2"/>
      <c r="B43" s="2" t="s">
        <v>26</v>
      </c>
      <c r="C43" s="2">
        <v>3</v>
      </c>
      <c r="D43" s="2"/>
      <c r="E43" s="2"/>
      <c r="F43" s="2"/>
      <c r="G43" s="2"/>
    </row>
    <row r="44" spans="1:11" ht="15.75" x14ac:dyDescent="0.25">
      <c r="A44" s="2"/>
      <c r="B44" s="2" t="s">
        <v>19</v>
      </c>
      <c r="C44" s="2">
        <v>5</v>
      </c>
      <c r="D44" s="2"/>
      <c r="E44" s="2"/>
      <c r="F44" s="2"/>
      <c r="G44" s="2"/>
    </row>
    <row r="45" spans="1:11" ht="15.75" x14ac:dyDescent="0.25">
      <c r="A45" s="2"/>
      <c r="B45" s="2" t="s">
        <v>47</v>
      </c>
      <c r="C45" s="2">
        <v>11.68</v>
      </c>
      <c r="D45" s="2"/>
      <c r="E45" s="2"/>
      <c r="F45" s="2"/>
      <c r="G45" s="2"/>
    </row>
    <row r="46" spans="1:11" ht="15.75" x14ac:dyDescent="0.25">
      <c r="A46" s="2"/>
      <c r="B46" s="2" t="s">
        <v>48</v>
      </c>
      <c r="C46" s="2">
        <v>1.3</v>
      </c>
      <c r="D46" s="2"/>
      <c r="E46" s="2"/>
      <c r="F46" s="2"/>
      <c r="G46" s="2"/>
    </row>
    <row r="47" spans="1:11" ht="15.75" x14ac:dyDescent="0.25">
      <c r="A47" s="2"/>
      <c r="B47" s="3" t="s">
        <v>11</v>
      </c>
      <c r="C47" s="10">
        <v>0.1</v>
      </c>
      <c r="D47" s="2"/>
      <c r="E47" s="2"/>
      <c r="F47" s="2"/>
      <c r="G47" s="2"/>
    </row>
    <row r="48" spans="1:11" ht="15.75" x14ac:dyDescent="0.25">
      <c r="A48" s="2"/>
      <c r="B48" s="2" t="s">
        <v>25</v>
      </c>
      <c r="C48" s="2">
        <v>10</v>
      </c>
      <c r="D48" s="2"/>
      <c r="E48" s="2"/>
      <c r="F48" s="2"/>
      <c r="G48" s="2"/>
    </row>
    <row r="49" spans="1:7" ht="15.75" x14ac:dyDescent="0.25">
      <c r="A49" s="2"/>
      <c r="B49" s="2" t="s">
        <v>33</v>
      </c>
      <c r="C49" s="2">
        <v>12</v>
      </c>
      <c r="D49" s="2"/>
      <c r="E49" s="2"/>
      <c r="F49" s="2"/>
      <c r="G49" s="2"/>
    </row>
    <row r="50" spans="1:7" ht="15.75" x14ac:dyDescent="0.25">
      <c r="A50" s="2"/>
      <c r="B50" s="2" t="s">
        <v>18</v>
      </c>
      <c r="C50" s="2">
        <v>200</v>
      </c>
      <c r="D50" s="2"/>
      <c r="E50" s="2"/>
      <c r="F50" s="2"/>
      <c r="G50" s="2"/>
    </row>
    <row r="51" spans="1:7" ht="15.75" x14ac:dyDescent="0.25">
      <c r="A51" s="2"/>
      <c r="B51" s="2" t="s">
        <v>20</v>
      </c>
      <c r="C51" s="2">
        <f>C50*C44</f>
        <v>1000</v>
      </c>
      <c r="D51" s="2"/>
      <c r="E51" s="2"/>
      <c r="F51" s="2"/>
      <c r="G51" s="2"/>
    </row>
    <row r="52" spans="1:7" ht="15.75" x14ac:dyDescent="0.25">
      <c r="A52" s="2"/>
      <c r="B52" s="2" t="s">
        <v>51</v>
      </c>
      <c r="C52" s="2">
        <f>C51*30.42</f>
        <v>30420</v>
      </c>
      <c r="D52" s="2"/>
      <c r="E52" s="2"/>
      <c r="F52" s="2"/>
      <c r="G52" s="2"/>
    </row>
    <row r="53" spans="1:7" ht="15.75" x14ac:dyDescent="0.25">
      <c r="A53" s="2"/>
      <c r="B53" s="2" t="s">
        <v>21</v>
      </c>
      <c r="C53" s="2">
        <f>C51*30.42*12</f>
        <v>365040</v>
      </c>
      <c r="D53" s="2"/>
      <c r="E53" s="2"/>
      <c r="F53" s="2"/>
      <c r="G53" s="2"/>
    </row>
    <row r="54" spans="1:7" ht="15.75" x14ac:dyDescent="0.25">
      <c r="A54" s="2"/>
      <c r="B54" s="16" t="s">
        <v>38</v>
      </c>
      <c r="C54" s="3">
        <v>0</v>
      </c>
      <c r="D54" s="2"/>
      <c r="E54" s="2"/>
      <c r="F54" s="2"/>
      <c r="G54" s="2"/>
    </row>
    <row r="55" spans="1:7" ht="15.75" x14ac:dyDescent="0.25">
      <c r="A55" s="2"/>
      <c r="B55" s="16" t="s">
        <v>39</v>
      </c>
      <c r="C55" s="3">
        <v>0</v>
      </c>
      <c r="D55" s="2"/>
      <c r="E55" s="2"/>
      <c r="F55" s="2"/>
      <c r="G55" s="2"/>
    </row>
    <row r="56" spans="1:7" ht="15.75" x14ac:dyDescent="0.25">
      <c r="A56" s="2"/>
      <c r="B56" s="2" t="s">
        <v>28</v>
      </c>
      <c r="C56" s="2">
        <v>7</v>
      </c>
      <c r="D56" s="2"/>
      <c r="E56" s="2"/>
      <c r="F56" s="2"/>
      <c r="G56" s="2"/>
    </row>
    <row r="57" spans="1:7" ht="15.75" x14ac:dyDescent="0.25">
      <c r="A57" s="2"/>
      <c r="B57" s="2" t="s">
        <v>27</v>
      </c>
      <c r="C57" s="2">
        <v>1.3</v>
      </c>
      <c r="D57" s="2"/>
      <c r="E57" s="2"/>
      <c r="F57" s="2"/>
      <c r="G57" s="2"/>
    </row>
    <row r="58" spans="1:7" ht="15.75" x14ac:dyDescent="0.25">
      <c r="A58" s="2"/>
      <c r="B58" s="2" t="s">
        <v>29</v>
      </c>
      <c r="C58" s="2">
        <v>5.5</v>
      </c>
      <c r="D58" s="2"/>
      <c r="E58" s="2"/>
      <c r="F58" s="2"/>
      <c r="G58" s="2"/>
    </row>
    <row r="59" spans="1:7" ht="15.75" x14ac:dyDescent="0.25">
      <c r="A59" s="2"/>
      <c r="B59" s="2" t="s">
        <v>31</v>
      </c>
      <c r="C59" s="2">
        <v>4</v>
      </c>
      <c r="D59" s="2"/>
      <c r="E59" s="2"/>
      <c r="F59" s="2"/>
      <c r="G59" s="2"/>
    </row>
    <row r="60" spans="1:7" ht="15.75" x14ac:dyDescent="0.25">
      <c r="A60" s="2"/>
      <c r="B60" s="2" t="s">
        <v>30</v>
      </c>
      <c r="C60" s="2">
        <f>30.42*2</f>
        <v>60.84</v>
      </c>
      <c r="D60" s="2"/>
      <c r="E60" s="2"/>
      <c r="F60" s="2"/>
      <c r="G60" s="2"/>
    </row>
    <row r="61" spans="1:7" ht="15.75" x14ac:dyDescent="0.25">
      <c r="A61" s="2"/>
      <c r="B61" s="2" t="s">
        <v>43</v>
      </c>
      <c r="C61" s="2">
        <v>1000</v>
      </c>
      <c r="D61" s="2"/>
      <c r="E61" s="2"/>
      <c r="F61" s="2"/>
      <c r="G61" s="2"/>
    </row>
    <row r="62" spans="1:7" ht="15.75" x14ac:dyDescent="0.25">
      <c r="A62" s="2"/>
      <c r="B62" s="2" t="s">
        <v>44</v>
      </c>
      <c r="C62" s="2">
        <v>900</v>
      </c>
      <c r="D62" s="2"/>
      <c r="E62" s="2"/>
      <c r="F62" s="2"/>
      <c r="G62" s="2"/>
    </row>
    <row r="63" spans="1:7" ht="15.75" x14ac:dyDescent="0.25">
      <c r="A63" s="2"/>
      <c r="B63" s="2" t="s">
        <v>45</v>
      </c>
      <c r="C63" s="2">
        <v>50000</v>
      </c>
      <c r="D63" s="2"/>
      <c r="E63" s="2"/>
      <c r="F63" s="2"/>
      <c r="G63" s="2"/>
    </row>
    <row r="64" spans="1:7" ht="15.75" x14ac:dyDescent="0.25">
      <c r="A64" s="2"/>
      <c r="B64" s="2" t="s">
        <v>46</v>
      </c>
      <c r="C64" s="2">
        <v>50000</v>
      </c>
      <c r="D64" s="2"/>
      <c r="E64" s="2"/>
      <c r="F64" s="2"/>
      <c r="G64" s="2"/>
    </row>
    <row r="65" spans="1:7" ht="15.75" x14ac:dyDescent="0.25">
      <c r="A65" s="2"/>
      <c r="B65" s="2" t="s">
        <v>16</v>
      </c>
      <c r="C65" s="15">
        <v>0.2</v>
      </c>
      <c r="D65" s="2"/>
      <c r="E65" s="2"/>
      <c r="F65" s="2"/>
      <c r="G65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CapexModel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2018-05-04T10:05:06Z</dcterms:modified>
</cp:coreProperties>
</file>