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activeTab="3"/>
  </bookViews>
  <sheets>
    <sheet name="BP_Costing" sheetId="13" r:id="rId1"/>
    <sheet name="WithoutSubsidy" sheetId="7" r:id="rId2"/>
    <sheet name="CapexModel" sheetId="19" r:id="rId3"/>
    <sheet name="Subsidy" sheetId="18" r:id="rId4"/>
    <sheet name="Insurance" sheetId="17" r:id="rId5"/>
  </sheets>
  <calcPr calcId="145621"/>
</workbook>
</file>

<file path=xl/calcChain.xml><?xml version="1.0" encoding="utf-8"?>
<calcChain xmlns="http://schemas.openxmlformats.org/spreadsheetml/2006/main">
  <c r="C30" i="18" l="1"/>
  <c r="D30" i="18"/>
  <c r="E30" i="18"/>
  <c r="F30" i="18"/>
  <c r="C26" i="18"/>
  <c r="D26" i="18"/>
  <c r="E26" i="18"/>
  <c r="F26" i="18"/>
  <c r="C15" i="18"/>
  <c r="C61" i="18"/>
  <c r="D23" i="18"/>
  <c r="C25" i="18"/>
  <c r="D25" i="18"/>
  <c r="E25" i="18"/>
  <c r="C10" i="18"/>
  <c r="C8" i="18"/>
  <c r="C11" i="18" l="1"/>
  <c r="C12" i="18" s="1"/>
  <c r="C59" i="18" l="1"/>
  <c r="D16" i="18" l="1"/>
  <c r="C73" i="19" l="1"/>
  <c r="C67" i="19"/>
  <c r="D23" i="19" s="1"/>
  <c r="C59" i="19"/>
  <c r="C58" i="19"/>
  <c r="C60" i="19" s="1"/>
  <c r="F43" i="19"/>
  <c r="F42" i="19"/>
  <c r="D40" i="19"/>
  <c r="D39" i="19"/>
  <c r="E32" i="19"/>
  <c r="E43" i="19" s="1"/>
  <c r="F29" i="19"/>
  <c r="D20" i="19"/>
  <c r="E19" i="19"/>
  <c r="E20" i="19" s="1"/>
  <c r="C19" i="19"/>
  <c r="E18" i="19"/>
  <c r="E40" i="19" s="1"/>
  <c r="C18" i="19"/>
  <c r="C20" i="19" s="1"/>
  <c r="E15" i="19"/>
  <c r="D15" i="19"/>
  <c r="C15" i="19"/>
  <c r="E14" i="19"/>
  <c r="E16" i="19" s="1"/>
  <c r="D14" i="19"/>
  <c r="D16" i="19" s="1"/>
  <c r="C14" i="19"/>
  <c r="C16" i="19" s="1"/>
  <c r="D8" i="19"/>
  <c r="E8" i="19" s="1"/>
  <c r="D7" i="19"/>
  <c r="D6" i="19"/>
  <c r="E6" i="19" s="1"/>
  <c r="D5" i="19"/>
  <c r="D4" i="19"/>
  <c r="E4" i="19" l="1"/>
  <c r="F4" i="19"/>
  <c r="F46" i="19"/>
  <c r="F18" i="19"/>
  <c r="D29" i="19"/>
  <c r="F19" i="19"/>
  <c r="E23" i="19"/>
  <c r="C23" i="19"/>
  <c r="F23" i="19"/>
  <c r="F5" i="19"/>
  <c r="F7" i="19"/>
  <c r="F15" i="19"/>
  <c r="C74" i="19"/>
  <c r="D3" i="19"/>
  <c r="E5" i="19"/>
  <c r="F6" i="19"/>
  <c r="E7" i="19"/>
  <c r="F8" i="19"/>
  <c r="F14" i="19"/>
  <c r="D22" i="19"/>
  <c r="D28" i="19" s="1"/>
  <c r="D32" i="19"/>
  <c r="C39" i="19"/>
  <c r="E39" i="19"/>
  <c r="C40" i="19"/>
  <c r="F10" i="7"/>
  <c r="E10" i="7"/>
  <c r="D10" i="7"/>
  <c r="C10" i="7"/>
  <c r="F9" i="7"/>
  <c r="E9" i="7"/>
  <c r="D9" i="7"/>
  <c r="C9" i="7"/>
  <c r="D8" i="7"/>
  <c r="E8" i="7" s="1"/>
  <c r="C38" i="19" l="1"/>
  <c r="D43" i="19"/>
  <c r="C32" i="19"/>
  <c r="C43" i="19" s="1"/>
  <c r="F39" i="19"/>
  <c r="F16" i="19"/>
  <c r="D42" i="19"/>
  <c r="E29" i="19"/>
  <c r="E42" i="19" s="1"/>
  <c r="C29" i="19"/>
  <c r="C42" i="19" s="1"/>
  <c r="D46" i="19"/>
  <c r="C46" i="19" s="1"/>
  <c r="E46" i="19"/>
  <c r="D41" i="19"/>
  <c r="E22" i="19"/>
  <c r="E28" i="19" s="1"/>
  <c r="C22" i="19"/>
  <c r="D24" i="19"/>
  <c r="D44" i="19" s="1"/>
  <c r="F22" i="19"/>
  <c r="E3" i="19"/>
  <c r="F3" i="19"/>
  <c r="F28" i="19"/>
  <c r="C28" i="19"/>
  <c r="F40" i="19"/>
  <c r="F20" i="19"/>
  <c r="D14" i="7"/>
  <c r="C11" i="19" l="1"/>
  <c r="D38" i="19"/>
  <c r="F41" i="19"/>
  <c r="F24" i="19"/>
  <c r="C24" i="19"/>
  <c r="C44" i="19" s="1"/>
  <c r="C41" i="19"/>
  <c r="F44" i="19"/>
  <c r="D11" i="19"/>
  <c r="D45" i="19" s="1"/>
  <c r="E24" i="19"/>
  <c r="E44" i="19" s="1"/>
  <c r="E41" i="19"/>
  <c r="C45" i="19"/>
  <c r="C4" i="18"/>
  <c r="D4" i="18" s="1"/>
  <c r="C68" i="18"/>
  <c r="C60" i="18"/>
  <c r="E34" i="18" s="1"/>
  <c r="F45" i="18"/>
  <c r="D42" i="18"/>
  <c r="F31" i="18"/>
  <c r="F44" i="18" s="1"/>
  <c r="D24" i="18"/>
  <c r="E24" i="18" s="1"/>
  <c r="D21" i="18"/>
  <c r="E20" i="18"/>
  <c r="C20" i="18"/>
  <c r="E19" i="18"/>
  <c r="E21" i="18" s="1"/>
  <c r="C19" i="18"/>
  <c r="C21" i="18" s="1"/>
  <c r="E16" i="18"/>
  <c r="D15" i="18"/>
  <c r="D41" i="18" s="1"/>
  <c r="D9" i="18"/>
  <c r="D8" i="18"/>
  <c r="E8" i="18" s="1"/>
  <c r="D7" i="18"/>
  <c r="E7" i="18" s="1"/>
  <c r="D6" i="18"/>
  <c r="E6" i="18" s="1"/>
  <c r="D5" i="18"/>
  <c r="E5" i="18" s="1"/>
  <c r="C3" i="18"/>
  <c r="F43" i="7"/>
  <c r="D40" i="7"/>
  <c r="D20" i="7"/>
  <c r="E9" i="18" l="1"/>
  <c r="D10" i="18"/>
  <c r="D11" i="18" s="1"/>
  <c r="D12" i="18"/>
  <c r="D43" i="18"/>
  <c r="E38" i="19"/>
  <c r="F38" i="19"/>
  <c r="E4" i="18"/>
  <c r="E45" i="18"/>
  <c r="D34" i="18"/>
  <c r="D3" i="18"/>
  <c r="D17" i="18"/>
  <c r="C40" i="18"/>
  <c r="C42" i="18"/>
  <c r="E42" i="18"/>
  <c r="E15" i="18"/>
  <c r="C16" i="18"/>
  <c r="C23" i="18"/>
  <c r="E23" i="18"/>
  <c r="C24" i="18"/>
  <c r="D7" i="7"/>
  <c r="C18" i="7"/>
  <c r="C19" i="7"/>
  <c r="E10" i="18" l="1"/>
  <c r="E11" i="18" s="1"/>
  <c r="F11" i="19"/>
  <c r="F45" i="19" s="1"/>
  <c r="E11" i="19"/>
  <c r="E45" i="19" s="1"/>
  <c r="C40" i="7"/>
  <c r="C20" i="7"/>
  <c r="C43" i="18"/>
  <c r="F48" i="18"/>
  <c r="F19" i="18"/>
  <c r="D31" i="18"/>
  <c r="F20" i="18"/>
  <c r="E43" i="18"/>
  <c r="C17" i="18"/>
  <c r="C41" i="18"/>
  <c r="F23" i="18"/>
  <c r="F16" i="18"/>
  <c r="F9" i="18"/>
  <c r="F6" i="18"/>
  <c r="F7" i="18"/>
  <c r="F5" i="18"/>
  <c r="E17" i="18"/>
  <c r="E41" i="18"/>
  <c r="F24" i="18"/>
  <c r="D46" i="18"/>
  <c r="F15" i="18"/>
  <c r="F8" i="18"/>
  <c r="D40" i="18"/>
  <c r="E3" i="18"/>
  <c r="F3" i="18"/>
  <c r="D45" i="18"/>
  <c r="C34" i="18"/>
  <c r="C45" i="18" s="1"/>
  <c r="F4" i="18"/>
  <c r="E7" i="7"/>
  <c r="B2" i="17"/>
  <c r="C2" i="17" s="1"/>
  <c r="B15" i="17"/>
  <c r="B16" i="17" s="1"/>
  <c r="F12" i="18" l="1"/>
  <c r="F10" i="18"/>
  <c r="F11" i="18" s="1"/>
  <c r="E12" i="18"/>
  <c r="D47" i="18"/>
  <c r="F41" i="18"/>
  <c r="F17" i="18"/>
  <c r="F42" i="18"/>
  <c r="F21" i="18"/>
  <c r="F40" i="18"/>
  <c r="E40" i="18"/>
  <c r="F43" i="18"/>
  <c r="D44" i="18"/>
  <c r="E31" i="18"/>
  <c r="E44" i="18" s="1"/>
  <c r="C31" i="18"/>
  <c r="C44" i="18" s="1"/>
  <c r="D48" i="18"/>
  <c r="C48" i="18" s="1"/>
  <c r="E48" i="18"/>
  <c r="C3" i="17"/>
  <c r="C4" i="17" s="1"/>
  <c r="C6" i="17" s="1"/>
  <c r="D2" i="17"/>
  <c r="B3" i="17"/>
  <c r="B4" i="17" s="1"/>
  <c r="B6" i="17" s="1"/>
  <c r="C4" i="7"/>
  <c r="C46" i="18" l="1"/>
  <c r="C47" i="18" s="1"/>
  <c r="F46" i="18"/>
  <c r="F47" i="18" s="1"/>
  <c r="E46" i="18"/>
  <c r="E47" i="18" s="1"/>
  <c r="E2" i="17"/>
  <c r="D3" i="17"/>
  <c r="D4" i="17" s="1"/>
  <c r="D6" i="17" s="1"/>
  <c r="C73" i="7"/>
  <c r="E3" i="17" l="1"/>
  <c r="E4" i="17" s="1"/>
  <c r="E6" i="17" s="1"/>
  <c r="F2" i="17"/>
  <c r="C67" i="7"/>
  <c r="D23" i="7" s="1"/>
  <c r="C23" i="7" l="1"/>
  <c r="G2" i="17"/>
  <c r="F3" i="17"/>
  <c r="F4" i="17" s="1"/>
  <c r="F6" i="17" s="1"/>
  <c r="D22" i="7"/>
  <c r="D41" i="7" s="1"/>
  <c r="D28" i="7" l="1"/>
  <c r="C22" i="7"/>
  <c r="D24" i="7"/>
  <c r="G3" i="17"/>
  <c r="G4" i="17" s="1"/>
  <c r="G6" i="17" s="1"/>
  <c r="H2" i="17"/>
  <c r="C24" i="7" l="1"/>
  <c r="C41" i="7"/>
  <c r="C28" i="7"/>
  <c r="I2" i="17"/>
  <c r="H3" i="17"/>
  <c r="H4" i="17" s="1"/>
  <c r="H6" i="17" s="1"/>
  <c r="F29" i="7"/>
  <c r="F42" i="7" s="1"/>
  <c r="D15" i="7"/>
  <c r="C3" i="7"/>
  <c r="C38" i="7" l="1"/>
  <c r="C15" i="7"/>
  <c r="D39" i="7"/>
  <c r="D16" i="7"/>
  <c r="C14" i="7"/>
  <c r="I3" i="17"/>
  <c r="I4" i="17" s="1"/>
  <c r="I6" i="17" s="1"/>
  <c r="J2" i="17"/>
  <c r="C58" i="7"/>
  <c r="E23" i="7"/>
  <c r="E22" i="7"/>
  <c r="E19" i="7"/>
  <c r="E18" i="7"/>
  <c r="E15" i="7"/>
  <c r="E14" i="7"/>
  <c r="D6" i="7"/>
  <c r="D5" i="7"/>
  <c r="D4" i="7"/>
  <c r="C11" i="7" l="1"/>
  <c r="E20" i="7"/>
  <c r="E40" i="7"/>
  <c r="E41" i="7"/>
  <c r="E4" i="7"/>
  <c r="E39" i="7"/>
  <c r="C16" i="7"/>
  <c r="C39" i="7"/>
  <c r="E6" i="7"/>
  <c r="E16" i="7"/>
  <c r="E24" i="7"/>
  <c r="C60" i="7"/>
  <c r="D29" i="7" s="1"/>
  <c r="C59" i="7"/>
  <c r="E32" i="7" s="1"/>
  <c r="E28" i="7"/>
  <c r="K2" i="17"/>
  <c r="J3" i="17"/>
  <c r="J4" i="17" s="1"/>
  <c r="J6" i="17" s="1"/>
  <c r="D3" i="7"/>
  <c r="E5" i="7"/>
  <c r="F15" i="7"/>
  <c r="F6" i="7"/>
  <c r="F8" i="7" l="1"/>
  <c r="F7" i="7"/>
  <c r="F46" i="7"/>
  <c r="C74" i="7"/>
  <c r="D38" i="7"/>
  <c r="E29" i="7"/>
  <c r="E44" i="7" s="1"/>
  <c r="D42" i="7"/>
  <c r="D32" i="7"/>
  <c r="D44" i="7" s="1"/>
  <c r="E43" i="7"/>
  <c r="D11" i="7"/>
  <c r="F18" i="7"/>
  <c r="F22" i="7"/>
  <c r="F5" i="7"/>
  <c r="F4" i="7"/>
  <c r="F19" i="7"/>
  <c r="F14" i="7"/>
  <c r="F23" i="7"/>
  <c r="C29" i="7"/>
  <c r="E3" i="7"/>
  <c r="K3" i="17"/>
  <c r="K4" i="17" s="1"/>
  <c r="K6" i="17" s="1"/>
  <c r="L2" i="17"/>
  <c r="F3" i="7"/>
  <c r="E42" i="7" l="1"/>
  <c r="F41" i="7"/>
  <c r="F40" i="7"/>
  <c r="F20" i="7"/>
  <c r="E46" i="7"/>
  <c r="D46" i="7"/>
  <c r="C46" i="7" s="1"/>
  <c r="C42" i="7"/>
  <c r="C32" i="7"/>
  <c r="C43" i="7" s="1"/>
  <c r="D43" i="7"/>
  <c r="F38" i="7"/>
  <c r="F11" i="7"/>
  <c r="F39" i="7"/>
  <c r="F28" i="7"/>
  <c r="F16" i="7"/>
  <c r="F44" i="7" s="1"/>
  <c r="F24" i="7"/>
  <c r="M2" i="17"/>
  <c r="M3" i="17" s="1"/>
  <c r="M4" i="17" s="1"/>
  <c r="M6" i="17" s="1"/>
  <c r="L3" i="17"/>
  <c r="L4" i="17" s="1"/>
  <c r="L6" i="17" s="1"/>
  <c r="D45" i="7"/>
  <c r="C44" i="7" l="1"/>
  <c r="C45" i="7" s="1"/>
  <c r="E11" i="7"/>
  <c r="E45" i="7" s="1"/>
  <c r="E38" i="7"/>
  <c r="F45" i="7"/>
  <c r="I12" i="13"/>
  <c r="I13" i="13"/>
  <c r="I11" i="13"/>
  <c r="I6" i="13"/>
  <c r="I7" i="13"/>
  <c r="I8" i="13"/>
  <c r="I5" i="13"/>
</calcChain>
</file>

<file path=xl/sharedStrings.xml><?xml version="1.0" encoding="utf-8"?>
<sst xmlns="http://schemas.openxmlformats.org/spreadsheetml/2006/main" count="400" uniqueCount="165">
  <si>
    <t>S.No</t>
  </si>
  <si>
    <t>Component</t>
  </si>
  <si>
    <t>Total</t>
  </si>
  <si>
    <t>E&amp;C Charges</t>
  </si>
  <si>
    <t>Freight Charges for DC Chargers</t>
  </si>
  <si>
    <t>Augmentaton for Electricity Distribution from DMRC terminal point</t>
  </si>
  <si>
    <t>Cost(Lakhs)</t>
  </si>
  <si>
    <t>Cost/Year(Lakhs)</t>
  </si>
  <si>
    <t>Operator Charges</t>
  </si>
  <si>
    <t>Validator AMC</t>
  </si>
  <si>
    <t>Electricity Charges per year</t>
  </si>
  <si>
    <t>Capital Expediture</t>
  </si>
  <si>
    <t>Operational Expenditure</t>
  </si>
  <si>
    <t>Cost(Rs/Km)</t>
  </si>
  <si>
    <t>Total capex</t>
  </si>
  <si>
    <t>Annual Depot Maintainence</t>
  </si>
  <si>
    <t>Tyre Management</t>
  </si>
  <si>
    <t>Total opex</t>
  </si>
  <si>
    <t xml:space="preserve">Return on Investment </t>
  </si>
  <si>
    <t>Concerned Stakeholder</t>
  </si>
  <si>
    <t>Financer(Brought by BHEL)</t>
  </si>
  <si>
    <t>BHEL</t>
  </si>
  <si>
    <t>Operator(Brought by DIMTS)</t>
  </si>
  <si>
    <t>DIMTS</t>
  </si>
  <si>
    <t>No. of persons per shift</t>
  </si>
  <si>
    <t>No. of shifts</t>
  </si>
  <si>
    <t>Total Manpower</t>
  </si>
  <si>
    <t>Manpower Rate</t>
  </si>
  <si>
    <t>Manpower Cost/ month</t>
  </si>
  <si>
    <t>Cost/ kilometer</t>
  </si>
  <si>
    <t>A</t>
  </si>
  <si>
    <t>Supervisory and Operation Team</t>
  </si>
  <si>
    <t>Manager</t>
  </si>
  <si>
    <t xml:space="preserve">MIS </t>
  </si>
  <si>
    <t>Driver</t>
  </si>
  <si>
    <t>Cleaner &amp; other support</t>
  </si>
  <si>
    <t>B</t>
  </si>
  <si>
    <t>Ticket/ Cash/ Checking Team</t>
  </si>
  <si>
    <t>Cash Section</t>
  </si>
  <si>
    <t>Ticket Checker</t>
  </si>
  <si>
    <t>Conductor</t>
  </si>
  <si>
    <t>C</t>
  </si>
  <si>
    <t>Total Manpower Cost</t>
  </si>
  <si>
    <t>D</t>
  </si>
  <si>
    <t>DIMTS Margin</t>
  </si>
  <si>
    <t>E</t>
  </si>
  <si>
    <t>DIMTS Cost</t>
  </si>
  <si>
    <t>Kilometer/ bus/ day</t>
  </si>
  <si>
    <t>No. of Buses</t>
  </si>
  <si>
    <t>Total Kilometers  /  day</t>
  </si>
  <si>
    <t>Total Kilometers  /  month</t>
  </si>
  <si>
    <t>Nos.</t>
  </si>
  <si>
    <t>Unit Cost</t>
  </si>
  <si>
    <t>Cost / Month</t>
  </si>
  <si>
    <t>Cost for 12 months</t>
  </si>
  <si>
    <t>Cost / km</t>
  </si>
  <si>
    <t>AMC Charges for Bus</t>
  </si>
  <si>
    <t>AMC Charges for Charger</t>
  </si>
  <si>
    <t>Power Charges</t>
  </si>
  <si>
    <t>Cost/km</t>
  </si>
  <si>
    <t>Consumption kilowatt/ km</t>
  </si>
  <si>
    <t xml:space="preserve">Charging  Requirement </t>
  </si>
  <si>
    <t>Additional Electricity Consumption</t>
  </si>
  <si>
    <t>Power Factor</t>
  </si>
  <si>
    <t>Lossess</t>
  </si>
  <si>
    <t>Power Consumption/ km</t>
  </si>
  <si>
    <t>Unit Rate</t>
  </si>
  <si>
    <t>Total Power Cost</t>
  </si>
  <si>
    <t>Capital Expenditure</t>
  </si>
  <si>
    <t>Bus</t>
  </si>
  <si>
    <t>Charger</t>
  </si>
  <si>
    <t>Electricity Distribution</t>
  </si>
  <si>
    <t>Miscellaneous (Office)</t>
  </si>
  <si>
    <t>Repayment Period</t>
  </si>
  <si>
    <t>Expected Rate</t>
  </si>
  <si>
    <t>WACC</t>
  </si>
  <si>
    <t>Weight</t>
  </si>
  <si>
    <t>Rate</t>
  </si>
  <si>
    <t>Annuity Value / year</t>
  </si>
  <si>
    <t>Rs Lakhs</t>
  </si>
  <si>
    <t>Grant</t>
  </si>
  <si>
    <t>Annuity Value / month</t>
  </si>
  <si>
    <t>Equity</t>
  </si>
  <si>
    <t>Annuity Value / km</t>
  </si>
  <si>
    <t>Rs.</t>
  </si>
  <si>
    <t>Debt</t>
  </si>
  <si>
    <t>Total Cost Per Kilomter</t>
  </si>
  <si>
    <t>Capital Cost</t>
  </si>
  <si>
    <t>Rs./ km</t>
  </si>
  <si>
    <t>Manpower Cost</t>
  </si>
  <si>
    <t>AMC Cost</t>
  </si>
  <si>
    <t>Electricity Cost</t>
  </si>
  <si>
    <t>Based on finalization of aforesaid assumptions, suitable financial model can be developed.</t>
  </si>
  <si>
    <t>Annual inflation would need to be considered for</t>
  </si>
  <si>
    <t>1. Power</t>
  </si>
  <si>
    <t>2. Manpower</t>
  </si>
  <si>
    <t>3. AMC (covers eletromechnical incl. batteries, tyres, lubricants)</t>
  </si>
  <si>
    <t>Cleaner &amp;Other Support</t>
  </si>
  <si>
    <t>Number of Guaranteed Kms per bus per day</t>
  </si>
  <si>
    <t>Number of Bus</t>
  </si>
  <si>
    <t>Number of Guaranteed Kms per  day</t>
  </si>
  <si>
    <t>Number of Guaranteed Kms per  year</t>
  </si>
  <si>
    <t>Monitoring-Manager</t>
  </si>
  <si>
    <t>Monitoring-MIS</t>
  </si>
  <si>
    <t>FCM-Cash Section</t>
  </si>
  <si>
    <t>FCM-Ticket Checker</t>
  </si>
  <si>
    <t>FCM-Conductor</t>
  </si>
  <si>
    <t>Cost/Month(Lakhs)</t>
  </si>
  <si>
    <t>Number of Years</t>
  </si>
  <si>
    <t>Cost per Bus</t>
  </si>
  <si>
    <t>Cost per Charger</t>
  </si>
  <si>
    <t>Number of Chargers</t>
  </si>
  <si>
    <t>Unit/Km</t>
  </si>
  <si>
    <t>Unit Charge(Rs)</t>
  </si>
  <si>
    <t>Number of Drivers per shift</t>
  </si>
  <si>
    <t>Number of shifts</t>
  </si>
  <si>
    <t>Number of Cleaners per Shift</t>
  </si>
  <si>
    <t>Supply of 120 KW DC fast Chargers 2 Nos (GB/T)</t>
  </si>
  <si>
    <t>Freight Charges for E Buses 5 Nos (12 M)</t>
  </si>
  <si>
    <t>Project Cost(Lakhs)</t>
  </si>
  <si>
    <t>Tentative Cost Per Km</t>
  </si>
  <si>
    <t>Tentative Number of Years</t>
  </si>
  <si>
    <t>Bus Monitoring</t>
  </si>
  <si>
    <t xml:space="preserve"> Fare Mangement Collection Charges</t>
  </si>
  <si>
    <t>DMRC</t>
  </si>
  <si>
    <t>Parameters</t>
  </si>
  <si>
    <t>Cost per Bus(Lakhs)</t>
  </si>
  <si>
    <t>Cost per Charger(Lakhs)</t>
  </si>
  <si>
    <t>Subsidy per bus(Lakhs)</t>
  </si>
  <si>
    <t>Subsidy on chargers(Lakhs)</t>
  </si>
  <si>
    <t xml:space="preserve">Supply of 5 E Buses </t>
  </si>
  <si>
    <t xml:space="preserve">AMC Charges for E Buses 5 Nos </t>
  </si>
  <si>
    <t xml:space="preserve">AMC Charges for DC Chargers 2 Nos </t>
  </si>
  <si>
    <t>Driver Rate(Rs)</t>
  </si>
  <si>
    <t>Cleaner Rate(Rs)</t>
  </si>
  <si>
    <t>Monitoring Manger(Rs/Month)</t>
  </si>
  <si>
    <t>MIS(Rs/Month)</t>
  </si>
  <si>
    <t>Year</t>
  </si>
  <si>
    <t>Insurance Cost Per Km</t>
  </si>
  <si>
    <t>Insurance Per Year(Lakhs)</t>
  </si>
  <si>
    <t>Misc Cost per Km</t>
  </si>
  <si>
    <t>AMC per bus per year(Lakhs)</t>
  </si>
  <si>
    <t>AMC per charger year(Lakhs)</t>
  </si>
  <si>
    <t>Misc</t>
  </si>
  <si>
    <t>Insurance+Permit Charges</t>
  </si>
  <si>
    <t>Number of Guaranteed Kms per  month</t>
  </si>
  <si>
    <t>AMC</t>
  </si>
  <si>
    <t>AMC Total</t>
  </si>
  <si>
    <t>Supervision</t>
  </si>
  <si>
    <t>Supervision Total</t>
  </si>
  <si>
    <t>Other Manpower</t>
  </si>
  <si>
    <t>Manpower Total</t>
  </si>
  <si>
    <t>Misc Charges</t>
  </si>
  <si>
    <t>Electricity  Total</t>
  </si>
  <si>
    <t>Misc Total</t>
  </si>
  <si>
    <t xml:space="preserve">Tentative Cost </t>
  </si>
  <si>
    <t>BHEL Handling</t>
  </si>
  <si>
    <t>BHEL Profit Margin</t>
  </si>
  <si>
    <t>Insurance</t>
  </si>
  <si>
    <t xml:space="preserve">AMC Charges for E Buses  </t>
  </si>
  <si>
    <t>AMC Charges for DC Chargers</t>
  </si>
  <si>
    <t>Supply of 120 KW DC fast Chargers (GB/T)</t>
  </si>
  <si>
    <t xml:space="preserve">Supply of E Buses </t>
  </si>
  <si>
    <t>BHEL Profit</t>
  </si>
  <si>
    <t>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</si>
</sst>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&quot;₹&quot;\ #,##0.00;[Red]&quot;₹&quot;\ \-#,##0.00"/>
    <numFmt numFmtId="165" formatCode="_ * #,##0.00_ ;_ * \-#,##0.00_ ;_ * &quot;-&quot;??_ ;_ @_ "/>
    <numFmt numFmtId="166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5" fontId="0" fillId="0" borderId="0" xfId="2" applyFont="1"/>
    <xf numFmtId="166" fontId="0" fillId="0" borderId="0" xfId="2" applyNumberFormat="1" applyFont="1"/>
    <xf numFmtId="166" fontId="0" fillId="0" borderId="0" xfId="0" applyNumberFormat="1"/>
    <xf numFmtId="165" fontId="0" fillId="0" borderId="0" xfId="2" applyNumberFormat="1" applyFont="1"/>
    <xf numFmtId="9" fontId="0" fillId="0" borderId="0" xfId="0" applyNumberFormat="1"/>
    <xf numFmtId="165" fontId="0" fillId="0" borderId="0" xfId="0" applyNumberFormat="1"/>
    <xf numFmtId="0" fontId="5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/>
    <xf numFmtId="9" fontId="0" fillId="0" borderId="0" xfId="1" applyFont="1" applyAlignment="1">
      <alignment horizontal="center"/>
    </xf>
    <xf numFmtId="10" fontId="0" fillId="0" borderId="0" xfId="0" applyNumberFormat="1"/>
    <xf numFmtId="0" fontId="5" fillId="0" borderId="0" xfId="0" applyFont="1" applyAlignment="1">
      <alignment horizontal="center"/>
    </xf>
    <xf numFmtId="165" fontId="5" fillId="0" borderId="0" xfId="2" applyNumberFormat="1" applyFont="1"/>
    <xf numFmtId="0" fontId="4" fillId="0" borderId="0" xfId="0" applyFont="1"/>
    <xf numFmtId="0" fontId="6" fillId="0" borderId="0" xfId="0" applyFont="1"/>
    <xf numFmtId="8" fontId="0" fillId="0" borderId="0" xfId="0" applyNumberFormat="1"/>
    <xf numFmtId="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7"/>
  <sheetViews>
    <sheetView workbookViewId="0">
      <selection activeCell="H11" sqref="H11:H13"/>
    </sheetView>
  </sheetViews>
  <sheetFormatPr defaultRowHeight="15" x14ac:dyDescent="0.25"/>
  <cols>
    <col min="2" max="2" width="19" customWidth="1"/>
    <col min="7" max="7" width="17" customWidth="1"/>
  </cols>
  <sheetData>
    <row r="3" spans="1:9" ht="45" x14ac:dyDescent="0.25">
      <c r="A3" s="14"/>
      <c r="B3" s="14"/>
      <c r="C3" s="16" t="s">
        <v>24</v>
      </c>
      <c r="D3" s="16" t="s">
        <v>25</v>
      </c>
      <c r="E3" s="16" t="s">
        <v>26</v>
      </c>
      <c r="F3" s="16" t="s">
        <v>27</v>
      </c>
      <c r="G3" s="16" t="s">
        <v>28</v>
      </c>
      <c r="H3" s="16" t="s">
        <v>29</v>
      </c>
    </row>
    <row r="4" spans="1:9" x14ac:dyDescent="0.25">
      <c r="A4" s="25" t="s">
        <v>30</v>
      </c>
      <c r="B4" s="23" t="s">
        <v>31</v>
      </c>
      <c r="C4" s="16"/>
      <c r="D4" s="16"/>
      <c r="E4" s="16"/>
      <c r="F4" s="16"/>
      <c r="G4" s="16"/>
      <c r="H4" s="16"/>
    </row>
    <row r="5" spans="1:9" x14ac:dyDescent="0.25">
      <c r="A5" s="25">
        <v>1</v>
      </c>
      <c r="B5" s="14" t="s">
        <v>32</v>
      </c>
      <c r="C5" s="25">
        <v>1</v>
      </c>
      <c r="D5" s="14">
        <v>1</v>
      </c>
      <c r="E5" s="14">
        <v>1</v>
      </c>
      <c r="F5" s="14">
        <v>50000</v>
      </c>
      <c r="G5" s="14">
        <v>50000</v>
      </c>
      <c r="H5" s="20">
        <v>1.0957703265395573</v>
      </c>
      <c r="I5">
        <f>G5*12</f>
        <v>600000</v>
      </c>
    </row>
    <row r="6" spans="1:9" x14ac:dyDescent="0.25">
      <c r="A6" s="25">
        <v>2</v>
      </c>
      <c r="B6" s="14" t="s">
        <v>33</v>
      </c>
      <c r="C6" s="25">
        <v>2</v>
      </c>
      <c r="D6" s="14">
        <v>1</v>
      </c>
      <c r="E6" s="14">
        <v>2</v>
      </c>
      <c r="F6" s="14">
        <v>25000</v>
      </c>
      <c r="G6" s="14">
        <v>50000</v>
      </c>
      <c r="H6" s="20">
        <v>1.0957703265395573</v>
      </c>
      <c r="I6" s="14">
        <f t="shared" ref="I6:I8" si="0">G6*12</f>
        <v>600000</v>
      </c>
    </row>
    <row r="7" spans="1:9" x14ac:dyDescent="0.25">
      <c r="A7" s="25">
        <v>3</v>
      </c>
      <c r="B7" s="14" t="s">
        <v>34</v>
      </c>
      <c r="C7" s="25">
        <v>10</v>
      </c>
      <c r="D7" s="14">
        <v>60.84</v>
      </c>
      <c r="E7" s="14">
        <v>608.40000000000009</v>
      </c>
      <c r="F7" s="14">
        <v>1000</v>
      </c>
      <c r="G7" s="14">
        <v>608400.00000000012</v>
      </c>
      <c r="H7" s="20">
        <v>13.333333333333336</v>
      </c>
      <c r="I7" s="14">
        <f t="shared" si="0"/>
        <v>7300800.0000000019</v>
      </c>
    </row>
    <row r="8" spans="1:9" x14ac:dyDescent="0.25">
      <c r="A8" s="25">
        <v>4</v>
      </c>
      <c r="B8" s="14" t="s">
        <v>35</v>
      </c>
      <c r="C8" s="25">
        <v>8</v>
      </c>
      <c r="D8" s="14">
        <v>60.84</v>
      </c>
      <c r="E8" s="14">
        <v>486.72</v>
      </c>
      <c r="F8" s="14">
        <v>900</v>
      </c>
      <c r="G8" s="14">
        <v>438048</v>
      </c>
      <c r="H8" s="20">
        <v>9.6</v>
      </c>
      <c r="I8" s="14">
        <f t="shared" si="0"/>
        <v>5256576</v>
      </c>
    </row>
    <row r="9" spans="1:9" x14ac:dyDescent="0.25">
      <c r="A9" s="14"/>
      <c r="B9" s="14"/>
      <c r="C9" s="14"/>
      <c r="D9" s="14"/>
      <c r="E9" s="14"/>
      <c r="F9" s="14"/>
      <c r="G9" s="18">
        <v>1146448</v>
      </c>
      <c r="H9" s="20">
        <v>25.12487398641245</v>
      </c>
    </row>
    <row r="10" spans="1:9" x14ac:dyDescent="0.25">
      <c r="A10" s="25" t="s">
        <v>36</v>
      </c>
      <c r="B10" s="23" t="s">
        <v>37</v>
      </c>
      <c r="C10" s="14"/>
      <c r="D10" s="14"/>
      <c r="E10" s="14"/>
      <c r="F10" s="14"/>
      <c r="G10" s="14"/>
      <c r="H10" s="20"/>
    </row>
    <row r="11" spans="1:9" x14ac:dyDescent="0.25">
      <c r="A11" s="25">
        <v>1</v>
      </c>
      <c r="B11" s="14" t="s">
        <v>38</v>
      </c>
      <c r="C11" s="25">
        <v>5</v>
      </c>
      <c r="D11" s="14">
        <v>1</v>
      </c>
      <c r="E11" s="14">
        <v>5</v>
      </c>
      <c r="F11" s="14">
        <v>20000</v>
      </c>
      <c r="G11" s="14">
        <v>100000</v>
      </c>
      <c r="H11" s="20">
        <v>2.1915406530791146</v>
      </c>
      <c r="I11">
        <f>G11*12</f>
        <v>1200000</v>
      </c>
    </row>
    <row r="12" spans="1:9" x14ac:dyDescent="0.25">
      <c r="A12" s="25">
        <v>2</v>
      </c>
      <c r="B12" s="14" t="s">
        <v>39</v>
      </c>
      <c r="C12" s="25">
        <v>4</v>
      </c>
      <c r="D12" s="14">
        <v>2</v>
      </c>
      <c r="E12" s="14">
        <v>8</v>
      </c>
      <c r="F12" s="14">
        <v>20000</v>
      </c>
      <c r="G12" s="14">
        <v>160000</v>
      </c>
      <c r="H12" s="20">
        <v>3.5064650449265833</v>
      </c>
      <c r="I12" s="14">
        <f t="shared" ref="I12:I13" si="1">G12*12</f>
        <v>1920000</v>
      </c>
    </row>
    <row r="13" spans="1:9" x14ac:dyDescent="0.25">
      <c r="A13" s="25">
        <v>3</v>
      </c>
      <c r="B13" s="14" t="s">
        <v>40</v>
      </c>
      <c r="C13" s="25">
        <v>10</v>
      </c>
      <c r="D13" s="14">
        <v>60.84</v>
      </c>
      <c r="E13" s="14">
        <v>608.40000000000009</v>
      </c>
      <c r="F13" s="14">
        <v>900</v>
      </c>
      <c r="G13" s="14">
        <v>547560.00000000012</v>
      </c>
      <c r="H13" s="20">
        <v>12.000000000000002</v>
      </c>
      <c r="I13" s="14">
        <f t="shared" si="1"/>
        <v>6570720.0000000019</v>
      </c>
    </row>
    <row r="14" spans="1:9" x14ac:dyDescent="0.25">
      <c r="A14" s="14"/>
      <c r="B14" s="14"/>
      <c r="C14" s="14"/>
      <c r="D14" s="14"/>
      <c r="E14" s="14"/>
      <c r="F14" s="14"/>
      <c r="G14" s="18">
        <v>807560.00000000012</v>
      </c>
      <c r="H14" s="20">
        <v>17.698005698005701</v>
      </c>
    </row>
    <row r="15" spans="1:9" x14ac:dyDescent="0.25">
      <c r="A15" s="14"/>
      <c r="B15" s="14"/>
      <c r="C15" s="14"/>
      <c r="D15" s="14"/>
      <c r="E15" s="14"/>
      <c r="F15" s="14"/>
      <c r="G15" s="18"/>
      <c r="H15" s="20"/>
    </row>
    <row r="16" spans="1:9" x14ac:dyDescent="0.25">
      <c r="A16" s="25" t="s">
        <v>41</v>
      </c>
      <c r="B16" s="14" t="s">
        <v>42</v>
      </c>
      <c r="C16" s="14"/>
      <c r="D16" s="14"/>
      <c r="E16" s="14"/>
      <c r="F16" s="14"/>
      <c r="G16" s="19">
        <v>1954008</v>
      </c>
      <c r="H16" s="20">
        <v>42.822879684418147</v>
      </c>
    </row>
    <row r="18" spans="1:8" x14ac:dyDescent="0.25">
      <c r="A18" s="25" t="s">
        <v>43</v>
      </c>
      <c r="B18" s="14" t="s">
        <v>44</v>
      </c>
      <c r="C18" s="26">
        <v>0.2</v>
      </c>
      <c r="D18" s="14"/>
      <c r="E18" s="14"/>
      <c r="F18" s="14"/>
      <c r="G18" s="22">
        <v>390801.60000000003</v>
      </c>
      <c r="H18" s="22">
        <v>8.5645759368836298</v>
      </c>
    </row>
    <row r="20" spans="1:8" x14ac:dyDescent="0.25">
      <c r="A20" s="25" t="s">
        <v>45</v>
      </c>
      <c r="B20" s="14" t="s">
        <v>46</v>
      </c>
      <c r="C20" s="14"/>
      <c r="D20" s="14"/>
      <c r="E20" s="14"/>
      <c r="F20" s="14"/>
      <c r="G20" s="22">
        <v>2344809.6</v>
      </c>
      <c r="H20" s="22">
        <v>51.387455621301775</v>
      </c>
    </row>
    <row r="22" spans="1:8" x14ac:dyDescent="0.25">
      <c r="A22" s="14"/>
      <c r="B22" s="14" t="s">
        <v>47</v>
      </c>
      <c r="C22" s="25">
        <v>150</v>
      </c>
      <c r="D22" s="14"/>
      <c r="E22" s="14"/>
      <c r="F22" s="14"/>
      <c r="G22" s="14"/>
      <c r="H22" s="14"/>
    </row>
    <row r="23" spans="1:8" x14ac:dyDescent="0.25">
      <c r="A23" s="14"/>
      <c r="B23" s="14" t="s">
        <v>48</v>
      </c>
      <c r="C23" s="25">
        <v>10</v>
      </c>
      <c r="D23" s="14"/>
      <c r="E23" s="14"/>
      <c r="F23" s="14"/>
      <c r="G23" s="14"/>
      <c r="H23" s="14"/>
    </row>
    <row r="24" spans="1:8" x14ac:dyDescent="0.25">
      <c r="A24" s="14"/>
      <c r="B24" s="14" t="s">
        <v>49</v>
      </c>
      <c r="C24" s="25">
        <v>1500</v>
      </c>
      <c r="D24" s="14"/>
      <c r="E24" s="14"/>
      <c r="F24" s="14"/>
      <c r="G24" s="14"/>
      <c r="H24" s="14"/>
    </row>
    <row r="25" spans="1:8" x14ac:dyDescent="0.25">
      <c r="A25" s="14"/>
      <c r="B25" s="14" t="s">
        <v>50</v>
      </c>
      <c r="C25" s="25">
        <v>45630</v>
      </c>
      <c r="D25" s="14"/>
      <c r="E25" s="14"/>
      <c r="F25" s="14"/>
      <c r="G25" s="14"/>
      <c r="H25" s="14"/>
    </row>
    <row r="27" spans="1:8" ht="45" x14ac:dyDescent="0.25">
      <c r="A27" s="14"/>
      <c r="B27" s="14"/>
      <c r="C27" s="25" t="s">
        <v>51</v>
      </c>
      <c r="D27" s="14" t="s">
        <v>52</v>
      </c>
      <c r="E27" s="14" t="s">
        <v>53</v>
      </c>
      <c r="F27" s="15" t="s">
        <v>54</v>
      </c>
      <c r="G27" s="25" t="s">
        <v>55</v>
      </c>
      <c r="H27" s="14"/>
    </row>
    <row r="28" spans="1:8" x14ac:dyDescent="0.25">
      <c r="A28" s="14"/>
      <c r="B28" s="14" t="s">
        <v>56</v>
      </c>
      <c r="C28" s="25">
        <v>10</v>
      </c>
      <c r="D28" s="14">
        <v>1.9400000000000002</v>
      </c>
      <c r="E28" s="14">
        <v>19.400000000000002</v>
      </c>
      <c r="F28" s="14">
        <v>232.8</v>
      </c>
      <c r="G28" s="24">
        <v>42.515888669734828</v>
      </c>
      <c r="H28" s="14"/>
    </row>
    <row r="29" spans="1:8" x14ac:dyDescent="0.25">
      <c r="A29" s="14"/>
      <c r="B29" s="14" t="s">
        <v>57</v>
      </c>
      <c r="C29" s="25">
        <v>4</v>
      </c>
      <c r="D29" s="24">
        <v>6.7083333333333342E-2</v>
      </c>
      <c r="E29" s="24">
        <v>0.26833333333333337</v>
      </c>
      <c r="F29" s="14">
        <v>3.2200000000000006</v>
      </c>
      <c r="G29" s="24">
        <v>0.58806340857622919</v>
      </c>
      <c r="H29" s="14"/>
    </row>
    <row r="30" spans="1:8" x14ac:dyDescent="0.25">
      <c r="A30" s="14"/>
      <c r="B30" s="14" t="s">
        <v>2</v>
      </c>
      <c r="C30" s="14"/>
      <c r="D30" s="14"/>
      <c r="E30" s="14"/>
      <c r="F30" s="14"/>
      <c r="G30" s="24">
        <v>43.10395207831106</v>
      </c>
      <c r="H30" s="14"/>
    </row>
    <row r="32" spans="1:8" x14ac:dyDescent="0.25">
      <c r="A32" s="14"/>
      <c r="B32" s="14" t="s">
        <v>58</v>
      </c>
      <c r="C32" s="14"/>
      <c r="D32" s="14"/>
      <c r="E32" s="14"/>
      <c r="F32" s="14"/>
      <c r="G32" s="25" t="s">
        <v>59</v>
      </c>
      <c r="H32" s="14"/>
    </row>
    <row r="33" spans="2:7" x14ac:dyDescent="0.25">
      <c r="B33" s="32" t="s">
        <v>60</v>
      </c>
      <c r="C33" s="14"/>
      <c r="D33" s="14"/>
      <c r="E33" s="14"/>
      <c r="F33" s="14"/>
      <c r="G33" s="33">
        <v>9.8399999999999981</v>
      </c>
    </row>
    <row r="34" spans="2:7" x14ac:dyDescent="0.25">
      <c r="B34" s="32" t="s">
        <v>61</v>
      </c>
      <c r="C34" s="14"/>
      <c r="D34" s="14"/>
      <c r="E34" s="14"/>
      <c r="F34" s="14"/>
      <c r="G34" s="14"/>
    </row>
    <row r="35" spans="2:7" x14ac:dyDescent="0.25">
      <c r="B35" s="32" t="s">
        <v>62</v>
      </c>
      <c r="C35" s="14"/>
      <c r="D35" s="14"/>
      <c r="E35" s="14"/>
      <c r="F35" s="14"/>
      <c r="G35" s="14"/>
    </row>
    <row r="36" spans="2:7" x14ac:dyDescent="0.25">
      <c r="B36" s="32" t="s">
        <v>63</v>
      </c>
      <c r="C36" s="14"/>
      <c r="D36" s="14"/>
      <c r="E36" s="14"/>
      <c r="F36" s="14"/>
      <c r="G36" s="14"/>
    </row>
    <row r="37" spans="2:7" x14ac:dyDescent="0.25">
      <c r="B37" s="32" t="s">
        <v>64</v>
      </c>
      <c r="C37" s="14"/>
      <c r="D37" s="14"/>
      <c r="E37" s="14"/>
      <c r="F37" s="14"/>
      <c r="G37" s="14"/>
    </row>
    <row r="38" spans="2:7" x14ac:dyDescent="0.25">
      <c r="B38" s="32" t="s">
        <v>65</v>
      </c>
      <c r="C38" s="25">
        <v>1.2</v>
      </c>
      <c r="D38" s="14"/>
      <c r="E38" s="14"/>
      <c r="F38" s="14"/>
      <c r="G38" s="14"/>
    </row>
    <row r="39" spans="2:7" x14ac:dyDescent="0.25">
      <c r="B39" s="32" t="s">
        <v>66</v>
      </c>
      <c r="C39" s="25">
        <v>8.1999999999999993</v>
      </c>
      <c r="D39" s="14"/>
      <c r="E39" s="14"/>
      <c r="F39" s="14"/>
      <c r="G39" s="14"/>
    </row>
    <row r="40" spans="2:7" x14ac:dyDescent="0.25">
      <c r="B40" s="32" t="s">
        <v>67</v>
      </c>
      <c r="C40" s="25">
        <v>9.8399999999999981</v>
      </c>
      <c r="D40" s="14"/>
      <c r="E40" s="14"/>
      <c r="F40" s="14"/>
      <c r="G40" s="14"/>
    </row>
    <row r="42" spans="2:7" x14ac:dyDescent="0.25">
      <c r="B42" s="23" t="s">
        <v>68</v>
      </c>
      <c r="C42" s="14"/>
      <c r="D42" s="14"/>
      <c r="E42" s="14"/>
      <c r="F42" s="14"/>
      <c r="G42" s="25" t="s">
        <v>59</v>
      </c>
    </row>
    <row r="43" spans="2:7" x14ac:dyDescent="0.25">
      <c r="B43" s="14" t="s">
        <v>69</v>
      </c>
      <c r="C43" s="25">
        <v>10</v>
      </c>
      <c r="D43" s="14">
        <v>152.93</v>
      </c>
      <c r="E43" s="14">
        <v>1529.3000000000002</v>
      </c>
      <c r="F43" s="14"/>
      <c r="G43" s="14">
        <v>63.196556441972469</v>
      </c>
    </row>
    <row r="44" spans="2:7" x14ac:dyDescent="0.25">
      <c r="B44" s="14" t="s">
        <v>70</v>
      </c>
      <c r="C44" s="25">
        <v>4</v>
      </c>
      <c r="D44" s="14">
        <v>35.484999999999999</v>
      </c>
      <c r="E44" s="14">
        <v>141.94</v>
      </c>
      <c r="F44" s="14"/>
      <c r="G44" s="14"/>
    </row>
    <row r="45" spans="2:7" x14ac:dyDescent="0.25">
      <c r="B45" s="14" t="s">
        <v>71</v>
      </c>
      <c r="C45" s="25">
        <v>1</v>
      </c>
      <c r="D45" s="14">
        <v>34.89</v>
      </c>
      <c r="E45" s="14">
        <v>34.89</v>
      </c>
      <c r="F45" s="14"/>
      <c r="G45" s="14"/>
    </row>
    <row r="46" spans="2:7" x14ac:dyDescent="0.25">
      <c r="B46" s="14" t="s">
        <v>3</v>
      </c>
      <c r="C46" s="25">
        <v>1</v>
      </c>
      <c r="D46" s="14">
        <v>20.56</v>
      </c>
      <c r="E46" s="14">
        <v>20.56</v>
      </c>
      <c r="F46" s="14"/>
      <c r="G46" s="14"/>
    </row>
    <row r="47" spans="2:7" x14ac:dyDescent="0.25">
      <c r="B47" s="14" t="s">
        <v>72</v>
      </c>
      <c r="C47" s="25">
        <v>1</v>
      </c>
      <c r="D47" s="14">
        <v>10</v>
      </c>
      <c r="E47" s="14">
        <v>10</v>
      </c>
      <c r="F47" s="14"/>
      <c r="G47" s="14"/>
    </row>
    <row r="48" spans="2:7" x14ac:dyDescent="0.25">
      <c r="B48" s="14" t="s">
        <v>2</v>
      </c>
      <c r="C48" s="14"/>
      <c r="D48" s="14"/>
      <c r="E48" s="14">
        <v>1736.6900000000003</v>
      </c>
      <c r="F48" s="14"/>
      <c r="G48" s="14"/>
    </row>
    <row r="49" spans="2:9" x14ac:dyDescent="0.25">
      <c r="B49" s="14" t="s">
        <v>73</v>
      </c>
      <c r="C49" s="14"/>
      <c r="D49" s="14">
        <v>10</v>
      </c>
      <c r="E49" s="14"/>
      <c r="F49" s="14"/>
      <c r="G49" s="14"/>
      <c r="H49" s="14"/>
      <c r="I49" s="14"/>
    </row>
    <row r="50" spans="2:9" x14ac:dyDescent="0.25">
      <c r="B50" s="14" t="s">
        <v>74</v>
      </c>
      <c r="C50" s="14"/>
      <c r="D50" s="21">
        <v>0.15</v>
      </c>
      <c r="E50" s="14"/>
      <c r="F50" s="14" t="s">
        <v>75</v>
      </c>
      <c r="G50" s="28" t="s">
        <v>76</v>
      </c>
      <c r="H50" s="14" t="s">
        <v>77</v>
      </c>
      <c r="I50" s="14"/>
    </row>
    <row r="51" spans="2:9" x14ac:dyDescent="0.25">
      <c r="B51" s="14" t="s">
        <v>78</v>
      </c>
      <c r="C51" s="25" t="s">
        <v>79</v>
      </c>
      <c r="D51" s="27">
        <v>-346.03906445366403</v>
      </c>
      <c r="E51" s="34"/>
      <c r="F51" s="14" t="s">
        <v>80</v>
      </c>
      <c r="G51" s="17">
        <v>0</v>
      </c>
      <c r="H51" s="21">
        <v>0</v>
      </c>
      <c r="I51" s="14">
        <v>0</v>
      </c>
    </row>
    <row r="52" spans="2:9" x14ac:dyDescent="0.25">
      <c r="B52" s="14" t="s">
        <v>81</v>
      </c>
      <c r="C52" s="25" t="s">
        <v>79</v>
      </c>
      <c r="D52" s="27">
        <v>-28.836588704472</v>
      </c>
      <c r="E52" s="34"/>
      <c r="F52" s="14" t="s">
        <v>82</v>
      </c>
      <c r="G52" s="17">
        <v>1</v>
      </c>
      <c r="H52" s="21">
        <v>0.15</v>
      </c>
      <c r="I52" s="14">
        <v>0.15</v>
      </c>
    </row>
    <row r="53" spans="2:9" x14ac:dyDescent="0.25">
      <c r="B53" s="14" t="s">
        <v>83</v>
      </c>
      <c r="C53" s="25" t="s">
        <v>84</v>
      </c>
      <c r="D53" s="27">
        <v>-63.196556441972469</v>
      </c>
      <c r="E53" s="14"/>
      <c r="F53" s="14" t="s">
        <v>85</v>
      </c>
      <c r="G53" s="17">
        <v>0</v>
      </c>
      <c r="H53" s="21">
        <v>0.12</v>
      </c>
      <c r="I53" s="14">
        <v>0</v>
      </c>
    </row>
    <row r="54" spans="2:9" x14ac:dyDescent="0.25">
      <c r="B54" s="14"/>
      <c r="C54" s="14"/>
      <c r="D54" s="14"/>
      <c r="E54" s="14"/>
      <c r="F54" s="14" t="s">
        <v>2</v>
      </c>
      <c r="G54" s="29">
        <v>0.15</v>
      </c>
      <c r="H54" s="14"/>
      <c r="I54" s="24">
        <v>0.15</v>
      </c>
    </row>
    <row r="55" spans="2:9" x14ac:dyDescent="0.25">
      <c r="B55" s="23" t="s">
        <v>86</v>
      </c>
      <c r="C55" s="14"/>
      <c r="D55" s="14"/>
      <c r="E55" s="14"/>
      <c r="F55" s="14"/>
      <c r="G55" s="14"/>
      <c r="H55" s="14"/>
      <c r="I55" s="14"/>
    </row>
    <row r="56" spans="2:9" x14ac:dyDescent="0.25">
      <c r="B56" s="14" t="s">
        <v>87</v>
      </c>
      <c r="C56" s="25" t="s">
        <v>88</v>
      </c>
      <c r="D56" s="20">
        <v>63.196556441972469</v>
      </c>
      <c r="E56" s="14"/>
      <c r="F56" s="14"/>
      <c r="G56" s="14"/>
      <c r="H56" s="14"/>
      <c r="I56" s="14"/>
    </row>
    <row r="57" spans="2:9" x14ac:dyDescent="0.25">
      <c r="B57" s="14" t="s">
        <v>89</v>
      </c>
      <c r="C57" s="25" t="s">
        <v>88</v>
      </c>
      <c r="D57" s="20">
        <v>51.387455621301775</v>
      </c>
      <c r="E57" s="14"/>
      <c r="F57" s="14"/>
      <c r="G57" s="14"/>
      <c r="H57" s="14"/>
      <c r="I57" s="14"/>
    </row>
    <row r="58" spans="2:9" x14ac:dyDescent="0.25">
      <c r="B58" s="14" t="s">
        <v>90</v>
      </c>
      <c r="C58" s="25" t="s">
        <v>88</v>
      </c>
      <c r="D58" s="20">
        <v>43.10395207831106</v>
      </c>
      <c r="E58" s="14"/>
      <c r="F58" s="14"/>
      <c r="G58" s="14"/>
      <c r="H58" s="14"/>
      <c r="I58" s="14"/>
    </row>
    <row r="59" spans="2:9" x14ac:dyDescent="0.25">
      <c r="B59" s="14" t="s">
        <v>91</v>
      </c>
      <c r="C59" s="25" t="s">
        <v>88</v>
      </c>
      <c r="D59" s="20">
        <v>9.8399999999999981</v>
      </c>
      <c r="E59" s="14"/>
      <c r="F59" s="14"/>
      <c r="G59" s="14"/>
      <c r="H59" s="14"/>
      <c r="I59" s="14"/>
    </row>
    <row r="60" spans="2:9" x14ac:dyDescent="0.25">
      <c r="B60" s="23" t="s">
        <v>86</v>
      </c>
      <c r="C60" s="30" t="s">
        <v>88</v>
      </c>
      <c r="D60" s="31">
        <v>167.5279641415853</v>
      </c>
      <c r="E60" s="14"/>
      <c r="F60" s="14"/>
      <c r="G60" s="14"/>
      <c r="H60" s="14"/>
      <c r="I60" s="14"/>
    </row>
    <row r="63" spans="2:9" x14ac:dyDescent="0.25">
      <c r="B63" s="14" t="s">
        <v>92</v>
      </c>
      <c r="C63" s="14"/>
      <c r="D63" s="14"/>
      <c r="E63" s="14"/>
      <c r="F63" s="14"/>
      <c r="G63" s="14"/>
      <c r="H63" s="14"/>
      <c r="I63" s="14"/>
    </row>
    <row r="64" spans="2:9" x14ac:dyDescent="0.25">
      <c r="B64" s="14" t="s">
        <v>93</v>
      </c>
      <c r="C64" s="14"/>
      <c r="D64" s="14"/>
      <c r="E64" s="14"/>
      <c r="F64" s="14"/>
      <c r="G64" s="14"/>
      <c r="H64" s="14"/>
      <c r="I64" s="14"/>
    </row>
    <row r="65" spans="2:2" x14ac:dyDescent="0.25">
      <c r="B65" s="14" t="s">
        <v>94</v>
      </c>
    </row>
    <row r="66" spans="2:2" x14ac:dyDescent="0.25">
      <c r="B66" s="14" t="s">
        <v>95</v>
      </c>
    </row>
    <row r="67" spans="2:2" x14ac:dyDescent="0.25">
      <c r="B67" s="1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46" workbookViewId="0">
      <selection activeCell="C40" sqref="A1:G74"/>
    </sheetView>
  </sheetViews>
  <sheetFormatPr defaultRowHeight="15.75" x14ac:dyDescent="0.25"/>
  <cols>
    <col min="1" max="1" width="17" style="2" customWidth="1"/>
    <col min="2" max="2" width="48.140625" style="2" customWidth="1"/>
    <col min="3" max="3" width="15.5703125" style="2" customWidth="1"/>
    <col min="4" max="4" width="19.28515625" style="2" customWidth="1"/>
    <col min="5" max="5" width="23.7109375" style="2" customWidth="1"/>
    <col min="6" max="6" width="21.28515625" style="2" customWidth="1"/>
    <col min="7" max="7" width="26.7109375" style="2" customWidth="1"/>
    <col min="8" max="8" width="20.85546875" style="2" customWidth="1"/>
    <col min="9" max="16384" width="9.140625" style="2"/>
  </cols>
  <sheetData>
    <row r="1" spans="1:7" ht="31.5" x14ac:dyDescent="0.25">
      <c r="A1" s="12" t="s">
        <v>0</v>
      </c>
      <c r="B1" s="12" t="s">
        <v>1</v>
      </c>
      <c r="C1" s="12" t="s">
        <v>6</v>
      </c>
      <c r="D1" s="12" t="s">
        <v>7</v>
      </c>
      <c r="E1" s="12" t="s">
        <v>107</v>
      </c>
      <c r="F1" s="12" t="s">
        <v>13</v>
      </c>
      <c r="G1" s="12" t="s">
        <v>19</v>
      </c>
    </row>
    <row r="2" spans="1:7" x14ac:dyDescent="0.25">
      <c r="A2" s="3"/>
      <c r="B2" s="1" t="s">
        <v>11</v>
      </c>
      <c r="C2" s="3"/>
      <c r="D2" s="3"/>
      <c r="E2" s="3"/>
      <c r="F2" s="3"/>
      <c r="G2" s="3"/>
    </row>
    <row r="3" spans="1:7" x14ac:dyDescent="0.25">
      <c r="A3" s="3">
        <v>1</v>
      </c>
      <c r="B3" s="3" t="s">
        <v>130</v>
      </c>
      <c r="C3" s="4">
        <f>C48*C51-C61*C51</f>
        <v>1000</v>
      </c>
      <c r="D3" s="4">
        <f>-1*+PMT($C$54,$C$55,C3)</f>
        <v>162.74539488251162</v>
      </c>
      <c r="E3" s="4">
        <f>D3/12</f>
        <v>13.562116240209301</v>
      </c>
      <c r="F3" s="4">
        <f t="shared" ref="F3:F8" si="0">D3*10^5/$C$60</f>
        <v>44.582893623304741</v>
      </c>
      <c r="G3" s="4" t="s">
        <v>20</v>
      </c>
    </row>
    <row r="4" spans="1:7" x14ac:dyDescent="0.25">
      <c r="A4" s="3">
        <v>2</v>
      </c>
      <c r="B4" s="3" t="s">
        <v>117</v>
      </c>
      <c r="C4" s="4">
        <f>C49*C50-C62</f>
        <v>75</v>
      </c>
      <c r="D4" s="4">
        <f>-1*+PMT($C$54,$C$55,C4)</f>
        <v>12.205904616188372</v>
      </c>
      <c r="E4" s="4">
        <f t="shared" ref="E4:E29" si="1">D4/12</f>
        <v>1.0171587180156976</v>
      </c>
      <c r="F4" s="4">
        <f t="shared" si="0"/>
        <v>3.3437170217478558</v>
      </c>
      <c r="G4" s="4" t="s">
        <v>20</v>
      </c>
    </row>
    <row r="5" spans="1:7" ht="31.5" x14ac:dyDescent="0.25">
      <c r="A5" s="3">
        <v>5</v>
      </c>
      <c r="B5" s="3" t="s">
        <v>5</v>
      </c>
      <c r="C5" s="4">
        <v>10</v>
      </c>
      <c r="D5" s="4">
        <f>-1*+PMT(0%,$C$55,C5)</f>
        <v>1</v>
      </c>
      <c r="E5" s="4">
        <f t="shared" si="1"/>
        <v>8.3333333333333329E-2</v>
      </c>
      <c r="F5" s="4">
        <f t="shared" si="0"/>
        <v>0.27394258163488933</v>
      </c>
      <c r="G5" s="4" t="s">
        <v>21</v>
      </c>
    </row>
    <row r="6" spans="1:7" x14ac:dyDescent="0.25">
      <c r="A6" s="3">
        <v>6</v>
      </c>
      <c r="B6" s="3" t="s">
        <v>3</v>
      </c>
      <c r="C6" s="4">
        <v>11.25</v>
      </c>
      <c r="D6" s="4">
        <f>-1*+PMT(0%,$C$55,C6)</f>
        <v>1.125</v>
      </c>
      <c r="E6" s="4">
        <f t="shared" si="1"/>
        <v>9.375E-2</v>
      </c>
      <c r="F6" s="4">
        <f t="shared" si="0"/>
        <v>0.30818540433925051</v>
      </c>
      <c r="G6" s="4" t="s">
        <v>21</v>
      </c>
    </row>
    <row r="7" spans="1:7" x14ac:dyDescent="0.25">
      <c r="A7" s="3">
        <v>7</v>
      </c>
      <c r="B7" s="3" t="s">
        <v>152</v>
      </c>
      <c r="C7" s="4">
        <v>5</v>
      </c>
      <c r="D7" s="4">
        <f>-1*+PMT(0%,$C$55,C7)</f>
        <v>0.5</v>
      </c>
      <c r="E7" s="4">
        <f>D7/12</f>
        <v>4.1666666666666664E-2</v>
      </c>
      <c r="F7" s="4">
        <f t="shared" si="0"/>
        <v>0.13697129081744466</v>
      </c>
      <c r="G7" s="4"/>
    </row>
    <row r="8" spans="1:7" x14ac:dyDescent="0.25">
      <c r="A8" s="3"/>
      <c r="B8" s="3" t="s">
        <v>158</v>
      </c>
      <c r="C8" s="4">
        <v>20</v>
      </c>
      <c r="D8" s="4">
        <f>-1*+PMT(0%,$C$55,C8)</f>
        <v>2</v>
      </c>
      <c r="E8" s="4">
        <f t="shared" si="1"/>
        <v>0.16666666666666666</v>
      </c>
      <c r="F8" s="4">
        <f t="shared" si="0"/>
        <v>0.54788516326977865</v>
      </c>
      <c r="G8" s="4"/>
    </row>
    <row r="9" spans="1:7" x14ac:dyDescent="0.25">
      <c r="A9" s="3"/>
      <c r="B9" s="3" t="s">
        <v>156</v>
      </c>
      <c r="C9" s="4">
        <f>0.12*SUM(C3:C8)</f>
        <v>134.54999999999998</v>
      </c>
      <c r="D9" s="4">
        <f t="shared" ref="D9:F9" si="2">0.12*SUM(D3:D8)</f>
        <v>21.549155939843999</v>
      </c>
      <c r="E9" s="4">
        <f t="shared" si="2"/>
        <v>1.7957629949869995</v>
      </c>
      <c r="F9" s="4">
        <f t="shared" si="2"/>
        <v>5.9032314102136745</v>
      </c>
      <c r="G9" s="4"/>
    </row>
    <row r="10" spans="1:7" x14ac:dyDescent="0.25">
      <c r="A10" s="3"/>
      <c r="B10" s="3" t="s">
        <v>157</v>
      </c>
      <c r="C10" s="4">
        <f>0.1*SUM(C3:C9)</f>
        <v>125.58</v>
      </c>
      <c r="D10" s="4">
        <f>0.1*SUM(D3:D9)</f>
        <v>20.112545543854402</v>
      </c>
      <c r="E10" s="4">
        <f>0.1*SUM(E3:E9)</f>
        <v>1.6760454619878666</v>
      </c>
      <c r="F10" s="4">
        <f>0.1*SUM(F3:F9)</f>
        <v>5.5096826495327633</v>
      </c>
      <c r="G10" s="4"/>
    </row>
    <row r="11" spans="1:7" x14ac:dyDescent="0.25">
      <c r="B11" s="1" t="s">
        <v>14</v>
      </c>
      <c r="C11" s="5">
        <f>SUM(C3:C10)</f>
        <v>1381.3799999999999</v>
      </c>
      <c r="D11" s="5">
        <f>SUM(D3:D10)</f>
        <v>221.2380009823984</v>
      </c>
      <c r="E11" s="5">
        <f>SUM(E3:E10)</f>
        <v>18.43650008186653</v>
      </c>
      <c r="F11" s="5">
        <f>SUM(F3:F10)</f>
        <v>60.606509144860397</v>
      </c>
      <c r="G11" s="5"/>
    </row>
    <row r="12" spans="1:7" x14ac:dyDescent="0.25">
      <c r="A12" s="3"/>
      <c r="B12" s="1" t="s">
        <v>12</v>
      </c>
      <c r="C12" s="4"/>
      <c r="D12" s="4"/>
      <c r="E12" s="4"/>
      <c r="F12" s="4"/>
      <c r="G12" s="4"/>
    </row>
    <row r="13" spans="1:7" x14ac:dyDescent="0.25">
      <c r="A13" s="3"/>
      <c r="B13" s="1" t="s">
        <v>146</v>
      </c>
      <c r="C13" s="4"/>
      <c r="D13" s="4"/>
      <c r="E13" s="4"/>
      <c r="F13" s="4"/>
      <c r="G13" s="4"/>
    </row>
    <row r="14" spans="1:7" x14ac:dyDescent="0.25">
      <c r="A14" s="3">
        <v>8</v>
      </c>
      <c r="B14" s="6" t="s">
        <v>131</v>
      </c>
      <c r="C14" s="7">
        <f>$C$55*D14</f>
        <v>584</v>
      </c>
      <c r="D14" s="7">
        <f>C52*C51</f>
        <v>58.4</v>
      </c>
      <c r="E14" s="4">
        <f t="shared" si="1"/>
        <v>4.8666666666666663</v>
      </c>
      <c r="F14" s="7">
        <f>D14*10^5/$C$60</f>
        <v>15.998246767477537</v>
      </c>
      <c r="G14" s="4" t="s">
        <v>21</v>
      </c>
    </row>
    <row r="15" spans="1:7" x14ac:dyDescent="0.25">
      <c r="A15" s="3">
        <v>9</v>
      </c>
      <c r="B15" s="6" t="s">
        <v>132</v>
      </c>
      <c r="C15" s="7">
        <f>$C$55*D15</f>
        <v>39</v>
      </c>
      <c r="D15" s="7">
        <f>C53*C50</f>
        <v>3.9000000000000004</v>
      </c>
      <c r="E15" s="4">
        <f t="shared" si="1"/>
        <v>0.32500000000000001</v>
      </c>
      <c r="F15" s="7">
        <f>D15*10^5/$C$60</f>
        <v>1.0683760683760686</v>
      </c>
      <c r="G15" s="4" t="s">
        <v>21</v>
      </c>
    </row>
    <row r="16" spans="1:7" x14ac:dyDescent="0.25">
      <c r="A16" s="3"/>
      <c r="B16" s="39" t="s">
        <v>147</v>
      </c>
      <c r="C16" s="13">
        <f>SUM(C14:C15)</f>
        <v>623</v>
      </c>
      <c r="D16" s="13">
        <f t="shared" ref="D16:F16" si="3">SUM(D14:D15)</f>
        <v>62.3</v>
      </c>
      <c r="E16" s="13">
        <f t="shared" si="3"/>
        <v>5.1916666666666664</v>
      </c>
      <c r="F16" s="13">
        <f t="shared" si="3"/>
        <v>17.066622835853607</v>
      </c>
      <c r="G16" s="4"/>
    </row>
    <row r="17" spans="1:8" x14ac:dyDescent="0.25">
      <c r="A17" s="3"/>
      <c r="B17" s="39" t="s">
        <v>148</v>
      </c>
      <c r="C17" s="7"/>
      <c r="D17" s="7"/>
      <c r="E17" s="4"/>
      <c r="F17" s="7"/>
      <c r="G17" s="4"/>
    </row>
    <row r="18" spans="1:8" x14ac:dyDescent="0.25">
      <c r="A18" s="3">
        <v>10</v>
      </c>
      <c r="B18" s="2" t="s">
        <v>102</v>
      </c>
      <c r="C18" s="7">
        <f>$C$55*D18</f>
        <v>60</v>
      </c>
      <c r="D18" s="7">
        <v>6</v>
      </c>
      <c r="E18" s="4">
        <f t="shared" si="1"/>
        <v>0.5</v>
      </c>
      <c r="F18" s="7">
        <f>D18*10^5/($C$60)</f>
        <v>1.6436554898093361</v>
      </c>
      <c r="G18" s="2" t="s">
        <v>23</v>
      </c>
      <c r="H18" s="7"/>
    </row>
    <row r="19" spans="1:8" x14ac:dyDescent="0.25">
      <c r="A19" s="3">
        <v>11</v>
      </c>
      <c r="B19" s="2" t="s">
        <v>103</v>
      </c>
      <c r="C19" s="7">
        <f>$C$55*D19</f>
        <v>60</v>
      </c>
      <c r="D19" s="7">
        <v>6</v>
      </c>
      <c r="E19" s="4">
        <f t="shared" si="1"/>
        <v>0.5</v>
      </c>
      <c r="F19" s="7">
        <f>D19*10^5/($C$60)</f>
        <v>1.6436554898093361</v>
      </c>
      <c r="G19" s="2" t="s">
        <v>23</v>
      </c>
      <c r="H19" s="7"/>
    </row>
    <row r="20" spans="1:8" x14ac:dyDescent="0.25">
      <c r="A20" s="3"/>
      <c r="B20" s="36" t="s">
        <v>149</v>
      </c>
      <c r="C20" s="13">
        <f>SUM(C18:C19)</f>
        <v>120</v>
      </c>
      <c r="D20" s="13">
        <f>SUM(D18:D19)</f>
        <v>12</v>
      </c>
      <c r="E20" s="13">
        <f>SUM(E18:E19)</f>
        <v>1</v>
      </c>
      <c r="F20" s="13">
        <f>SUM(F18:F19)</f>
        <v>3.2873109796186721</v>
      </c>
      <c r="H20" s="7"/>
    </row>
    <row r="21" spans="1:8" x14ac:dyDescent="0.25">
      <c r="A21" s="3"/>
      <c r="B21" s="2" t="s">
        <v>150</v>
      </c>
      <c r="C21" s="7"/>
      <c r="D21" s="7"/>
      <c r="E21" s="4"/>
      <c r="F21" s="7"/>
      <c r="H21" s="7"/>
    </row>
    <row r="22" spans="1:8" x14ac:dyDescent="0.25">
      <c r="A22" s="3">
        <v>12</v>
      </c>
      <c r="B22" s="2" t="s">
        <v>34</v>
      </c>
      <c r="C22" s="7">
        <f>$C$55*D22</f>
        <v>365.04000000000013</v>
      </c>
      <c r="D22" s="7">
        <f>C65*C67*C68*12/10^5</f>
        <v>36.504000000000012</v>
      </c>
      <c r="E22" s="4">
        <f t="shared" si="1"/>
        <v>3.0420000000000011</v>
      </c>
      <c r="F22" s="7">
        <f>D22*10^5/($C$60)</f>
        <v>10.000000000000004</v>
      </c>
      <c r="G22" s="2" t="s">
        <v>22</v>
      </c>
      <c r="H22" s="7"/>
    </row>
    <row r="23" spans="1:8" x14ac:dyDescent="0.25">
      <c r="A23" s="3">
        <v>13</v>
      </c>
      <c r="B23" s="2" t="s">
        <v>97</v>
      </c>
      <c r="C23" s="7">
        <f>$C$55*D23</f>
        <v>262.8288</v>
      </c>
      <c r="D23" s="7">
        <f>C66*C67*C69*12/10^5</f>
        <v>26.282879999999999</v>
      </c>
      <c r="E23" s="4">
        <f t="shared" si="1"/>
        <v>2.1902399999999997</v>
      </c>
      <c r="F23" s="7">
        <f>D23*10^5/($C$60)</f>
        <v>7.2</v>
      </c>
      <c r="G23" s="2" t="s">
        <v>22</v>
      </c>
      <c r="H23" s="7"/>
    </row>
    <row r="24" spans="1:8" x14ac:dyDescent="0.25">
      <c r="A24" s="3"/>
      <c r="B24" s="36" t="s">
        <v>151</v>
      </c>
      <c r="C24" s="13">
        <f>SUM(C22:C23)</f>
        <v>627.86880000000019</v>
      </c>
      <c r="D24" s="13">
        <f>SUM(D22:D23)</f>
        <v>62.786880000000011</v>
      </c>
      <c r="E24" s="13">
        <f>SUM(E22:E23)</f>
        <v>5.2322400000000009</v>
      </c>
      <c r="F24" s="13">
        <f>SUM(F22:F23)</f>
        <v>17.200000000000003</v>
      </c>
      <c r="H24" s="7"/>
    </row>
    <row r="25" spans="1:8" x14ac:dyDescent="0.25">
      <c r="A25" s="3">
        <v>14</v>
      </c>
      <c r="B25" s="2" t="s">
        <v>104</v>
      </c>
      <c r="D25" s="7"/>
      <c r="E25" s="4"/>
      <c r="F25" s="7"/>
      <c r="G25" s="2" t="s">
        <v>124</v>
      </c>
      <c r="H25" s="7"/>
    </row>
    <row r="26" spans="1:8" x14ac:dyDescent="0.25">
      <c r="A26" s="3">
        <v>15</v>
      </c>
      <c r="B26" s="2" t="s">
        <v>105</v>
      </c>
      <c r="D26" s="7"/>
      <c r="E26" s="4"/>
      <c r="F26" s="7"/>
      <c r="G26" s="2" t="s">
        <v>124</v>
      </c>
      <c r="H26" s="7"/>
    </row>
    <row r="27" spans="1:8" x14ac:dyDescent="0.25">
      <c r="A27" s="3">
        <v>16</v>
      </c>
      <c r="B27" s="2" t="s">
        <v>106</v>
      </c>
      <c r="D27" s="7"/>
      <c r="E27" s="4"/>
      <c r="F27" s="7"/>
      <c r="G27" s="2" t="s">
        <v>124</v>
      </c>
      <c r="H27" s="7"/>
    </row>
    <row r="28" spans="1:8" x14ac:dyDescent="0.25">
      <c r="A28" s="3">
        <v>17</v>
      </c>
      <c r="B28" s="2" t="s">
        <v>44</v>
      </c>
      <c r="C28" s="9">
        <f>$C$72*(C23+C22+C19+C18)</f>
        <v>149.57376000000005</v>
      </c>
      <c r="D28" s="9">
        <f>$C$72*(D23+D22+D19+D18)</f>
        <v>14.957376000000004</v>
      </c>
      <c r="E28" s="9">
        <f>$C$72*(E23+E22+E19+E18)</f>
        <v>1.2464480000000002</v>
      </c>
      <c r="F28" s="9">
        <f>$C$72*(F23+F22+F19+F18)</f>
        <v>4.0974621959237352</v>
      </c>
      <c r="G28" s="2" t="s">
        <v>23</v>
      </c>
    </row>
    <row r="29" spans="1:8" ht="31.5" x14ac:dyDescent="0.25">
      <c r="A29" s="3">
        <v>18</v>
      </c>
      <c r="B29" s="3" t="s">
        <v>10</v>
      </c>
      <c r="C29" s="7">
        <f>$C$55*D29</f>
        <v>332.18639999999999</v>
      </c>
      <c r="D29" s="8">
        <f>F29*$C$60/10^5</f>
        <v>33.218640000000001</v>
      </c>
      <c r="E29" s="4">
        <f t="shared" si="1"/>
        <v>2.7682199999999999</v>
      </c>
      <c r="F29" s="8">
        <f>C63*C64</f>
        <v>9.1</v>
      </c>
      <c r="G29" s="7" t="s">
        <v>22</v>
      </c>
    </row>
    <row r="30" spans="1:8" ht="31.5" x14ac:dyDescent="0.25">
      <c r="A30" s="3">
        <v>19</v>
      </c>
      <c r="B30" s="6" t="s">
        <v>15</v>
      </c>
      <c r="C30" s="7"/>
      <c r="D30" s="7"/>
      <c r="E30" s="4"/>
      <c r="F30" s="7"/>
      <c r="G30" s="7" t="s">
        <v>22</v>
      </c>
    </row>
    <row r="31" spans="1:8" ht="31.5" x14ac:dyDescent="0.25">
      <c r="A31" s="3">
        <v>20</v>
      </c>
      <c r="B31" s="3" t="s">
        <v>8</v>
      </c>
      <c r="C31" s="7"/>
      <c r="D31" s="4"/>
      <c r="E31" s="4"/>
      <c r="F31" s="4"/>
      <c r="G31" s="7" t="s">
        <v>22</v>
      </c>
    </row>
    <row r="32" spans="1:8" x14ac:dyDescent="0.25">
      <c r="A32" s="3">
        <v>21</v>
      </c>
      <c r="B32" s="3" t="s">
        <v>144</v>
      </c>
      <c r="C32" s="7">
        <f>$C$55*D32</f>
        <v>219.024</v>
      </c>
      <c r="D32" s="4">
        <f>E32*12</f>
        <v>21.9024</v>
      </c>
      <c r="E32" s="4">
        <f>F32*C59/10^5</f>
        <v>1.8251999999999999</v>
      </c>
      <c r="F32" s="4">
        <v>6</v>
      </c>
      <c r="G32" s="4"/>
    </row>
    <row r="33" spans="1:8" x14ac:dyDescent="0.25">
      <c r="A33" s="3">
        <v>22</v>
      </c>
      <c r="B33" s="3" t="s">
        <v>143</v>
      </c>
      <c r="C33" s="8"/>
      <c r="D33" s="8"/>
      <c r="E33" s="4"/>
      <c r="F33" s="8"/>
      <c r="G33" s="8"/>
    </row>
    <row r="34" spans="1:8" x14ac:dyDescent="0.25">
      <c r="A34" s="3">
        <v>23</v>
      </c>
      <c r="B34" s="3" t="s">
        <v>122</v>
      </c>
      <c r="C34" s="7"/>
      <c r="D34" s="4"/>
      <c r="E34" s="4"/>
      <c r="F34" s="9"/>
      <c r="G34" s="9" t="s">
        <v>23</v>
      </c>
    </row>
    <row r="35" spans="1:8" x14ac:dyDescent="0.25">
      <c r="A35" s="3">
        <v>24</v>
      </c>
      <c r="B35" s="2" t="s">
        <v>123</v>
      </c>
      <c r="C35" s="7"/>
      <c r="D35" s="4"/>
      <c r="E35" s="4"/>
      <c r="F35" s="9"/>
      <c r="G35" s="9" t="s">
        <v>23</v>
      </c>
    </row>
    <row r="36" spans="1:8" x14ac:dyDescent="0.25">
      <c r="A36" s="3">
        <v>25</v>
      </c>
      <c r="B36" s="3" t="s">
        <v>9</v>
      </c>
      <c r="E36" s="4"/>
      <c r="G36" s="2" t="s">
        <v>124</v>
      </c>
    </row>
    <row r="37" spans="1:8" x14ac:dyDescent="0.25">
      <c r="A37" s="3">
        <v>26</v>
      </c>
      <c r="B37" s="2" t="s">
        <v>16</v>
      </c>
      <c r="E37" s="4"/>
    </row>
    <row r="38" spans="1:8" x14ac:dyDescent="0.25">
      <c r="A38" s="1"/>
      <c r="B38" s="36" t="s">
        <v>14</v>
      </c>
      <c r="C38" s="5">
        <f>SUM(C3:C10)</f>
        <v>1381.3799999999999</v>
      </c>
      <c r="D38" s="5">
        <f>SUM(D3:D10)</f>
        <v>221.2380009823984</v>
      </c>
      <c r="E38" s="5">
        <f>SUM(E3:E10)</f>
        <v>18.43650008186653</v>
      </c>
      <c r="F38" s="5">
        <f>SUM(F3:F10)</f>
        <v>60.606509144860397</v>
      </c>
    </row>
    <row r="39" spans="1:8" x14ac:dyDescent="0.25">
      <c r="A39" s="3"/>
      <c r="B39" s="39" t="s">
        <v>147</v>
      </c>
      <c r="C39" s="13">
        <f>SUM(C14:C15)</f>
        <v>623</v>
      </c>
      <c r="D39" s="13">
        <f>SUM(D14:D15)</f>
        <v>62.3</v>
      </c>
      <c r="E39" s="13">
        <f>SUM(E14:E15)</f>
        <v>5.1916666666666664</v>
      </c>
      <c r="F39" s="13">
        <f>SUM(F14:F15)</f>
        <v>17.066622835853607</v>
      </c>
      <c r="G39" s="4"/>
    </row>
    <row r="40" spans="1:8" x14ac:dyDescent="0.25">
      <c r="A40" s="3"/>
      <c r="B40" s="36" t="s">
        <v>149</v>
      </c>
      <c r="C40" s="13">
        <f>SUM(C18:C19)</f>
        <v>120</v>
      </c>
      <c r="D40" s="13">
        <f>SUM(D18:D19)</f>
        <v>12</v>
      </c>
      <c r="E40" s="13">
        <f>SUM(E18:E19)</f>
        <v>1</v>
      </c>
      <c r="F40" s="13">
        <f>SUM(F18:F19)</f>
        <v>3.2873109796186721</v>
      </c>
      <c r="H40" s="7"/>
    </row>
    <row r="41" spans="1:8" x14ac:dyDescent="0.25">
      <c r="A41" s="3"/>
      <c r="B41" s="36" t="s">
        <v>151</v>
      </c>
      <c r="C41" s="13">
        <f>SUM(C22:C23)</f>
        <v>627.86880000000019</v>
      </c>
      <c r="D41" s="13">
        <f>SUM(D22:D23)</f>
        <v>62.786880000000011</v>
      </c>
      <c r="E41" s="13">
        <f>SUM(E22:E23)</f>
        <v>5.2322400000000009</v>
      </c>
      <c r="F41" s="13">
        <f>SUM(F22:F23)</f>
        <v>17.200000000000003</v>
      </c>
    </row>
    <row r="42" spans="1:8" x14ac:dyDescent="0.25">
      <c r="A42" s="3"/>
      <c r="B42" s="36" t="s">
        <v>153</v>
      </c>
      <c r="C42" s="13">
        <f>C29</f>
        <v>332.18639999999999</v>
      </c>
      <c r="D42" s="13">
        <f>D29</f>
        <v>33.218640000000001</v>
      </c>
      <c r="E42" s="13">
        <f>E29</f>
        <v>2.7682199999999999</v>
      </c>
      <c r="F42" s="13">
        <f>F29</f>
        <v>9.1</v>
      </c>
    </row>
    <row r="43" spans="1:8" x14ac:dyDescent="0.25">
      <c r="A43" s="3"/>
      <c r="B43" s="36" t="s">
        <v>154</v>
      </c>
      <c r="C43" s="13">
        <f>SUM(C32:C33)</f>
        <v>219.024</v>
      </c>
      <c r="D43" s="13">
        <f>SUM(D32:D33)</f>
        <v>21.9024</v>
      </c>
      <c r="E43" s="13">
        <f>SUM(E32:E33)</f>
        <v>1.8251999999999999</v>
      </c>
      <c r="F43" s="13">
        <f>SUM(F32:F33)</f>
        <v>6</v>
      </c>
    </row>
    <row r="44" spans="1:8" x14ac:dyDescent="0.25">
      <c r="B44" s="1" t="s">
        <v>17</v>
      </c>
      <c r="C44" s="5">
        <f>SUM(C14:C35)-C16-C20-C24</f>
        <v>2071.6529600000003</v>
      </c>
      <c r="D44" s="5">
        <f>SUM(D14:D35)-D16-D20-D24</f>
        <v>207.16529600000001</v>
      </c>
      <c r="E44" s="5">
        <f>SUM(E14:E35)-E16-E20-E24</f>
        <v>17.263774666666666</v>
      </c>
      <c r="F44" s="5">
        <f>SUM(F14:F35)-F16-F20-F24</f>
        <v>56.751396011396025</v>
      </c>
    </row>
    <row r="45" spans="1:8" x14ac:dyDescent="0.25">
      <c r="B45" s="1" t="s">
        <v>2</v>
      </c>
      <c r="C45" s="10">
        <f>C11+C44</f>
        <v>3453.0329600000005</v>
      </c>
      <c r="D45" s="10">
        <f>D11+D44</f>
        <v>428.40329698239839</v>
      </c>
      <c r="E45" s="10">
        <f>E11+E44</f>
        <v>35.700274748533197</v>
      </c>
      <c r="F45" s="10">
        <f>F11+F44</f>
        <v>117.35790515625642</v>
      </c>
    </row>
    <row r="46" spans="1:8" x14ac:dyDescent="0.25">
      <c r="B46" s="36" t="s">
        <v>155</v>
      </c>
      <c r="C46" s="10">
        <f>D46*C55</f>
        <v>4115.2542372881353</v>
      </c>
      <c r="D46" s="10">
        <f>F46*C60/10^5</f>
        <v>411.52542372881351</v>
      </c>
      <c r="E46" s="10">
        <f>F46*C59/10^5</f>
        <v>34.293785310734457</v>
      </c>
      <c r="F46" s="36">
        <f>(C73*10^5)/(C60*C55)</f>
        <v>112.73433698466292</v>
      </c>
    </row>
    <row r="47" spans="1:8" x14ac:dyDescent="0.25">
      <c r="B47" s="1" t="s">
        <v>125</v>
      </c>
      <c r="C47" s="4"/>
      <c r="D47" s="8"/>
      <c r="E47" s="8"/>
      <c r="F47" s="8"/>
    </row>
    <row r="48" spans="1:8" x14ac:dyDescent="0.25">
      <c r="B48" s="2" t="s">
        <v>126</v>
      </c>
      <c r="C48" s="2">
        <v>200</v>
      </c>
      <c r="G48" s="5"/>
    </row>
    <row r="49" spans="2:7" x14ac:dyDescent="0.25">
      <c r="B49" s="2" t="s">
        <v>127</v>
      </c>
      <c r="C49" s="2">
        <v>25</v>
      </c>
      <c r="G49" s="8"/>
    </row>
    <row r="50" spans="2:7" x14ac:dyDescent="0.25">
      <c r="B50" s="2" t="s">
        <v>111</v>
      </c>
      <c r="C50" s="2">
        <v>3</v>
      </c>
    </row>
    <row r="51" spans="2:7" x14ac:dyDescent="0.25">
      <c r="B51" s="2" t="s">
        <v>99</v>
      </c>
      <c r="C51" s="2">
        <v>5</v>
      </c>
    </row>
    <row r="52" spans="2:7" x14ac:dyDescent="0.25">
      <c r="B52" s="2" t="s">
        <v>141</v>
      </c>
      <c r="C52" s="2">
        <v>11.68</v>
      </c>
    </row>
    <row r="53" spans="2:7" x14ac:dyDescent="0.25">
      <c r="B53" s="2" t="s">
        <v>142</v>
      </c>
      <c r="C53" s="2">
        <v>1.3</v>
      </c>
    </row>
    <row r="54" spans="2:7" x14ac:dyDescent="0.25">
      <c r="B54" s="3" t="s">
        <v>18</v>
      </c>
      <c r="C54" s="11">
        <v>0.1</v>
      </c>
    </row>
    <row r="55" spans="2:7" x14ac:dyDescent="0.25">
      <c r="B55" s="2" t="s">
        <v>108</v>
      </c>
      <c r="C55" s="2">
        <v>10</v>
      </c>
    </row>
    <row r="56" spans="2:7" x14ac:dyDescent="0.25">
      <c r="B56" s="2" t="s">
        <v>121</v>
      </c>
      <c r="C56" s="2">
        <v>12</v>
      </c>
    </row>
    <row r="57" spans="2:7" x14ac:dyDescent="0.25">
      <c r="B57" s="2" t="s">
        <v>98</v>
      </c>
      <c r="C57" s="2">
        <v>200</v>
      </c>
    </row>
    <row r="58" spans="2:7" x14ac:dyDescent="0.25">
      <c r="B58" s="2" t="s">
        <v>100</v>
      </c>
      <c r="C58" s="2">
        <f>C57*C51</f>
        <v>1000</v>
      </c>
    </row>
    <row r="59" spans="2:7" x14ac:dyDescent="0.25">
      <c r="B59" s="2" t="s">
        <v>145</v>
      </c>
      <c r="C59" s="2">
        <f>C58*30.42</f>
        <v>30420</v>
      </c>
    </row>
    <row r="60" spans="2:7" x14ac:dyDescent="0.25">
      <c r="B60" s="2" t="s">
        <v>101</v>
      </c>
      <c r="C60" s="2">
        <f>C58*30.42*12</f>
        <v>365040</v>
      </c>
    </row>
    <row r="61" spans="2:7" x14ac:dyDescent="0.25">
      <c r="B61" s="36" t="s">
        <v>128</v>
      </c>
      <c r="C61" s="3">
        <v>0</v>
      </c>
    </row>
    <row r="62" spans="2:7" x14ac:dyDescent="0.25">
      <c r="B62" s="36" t="s">
        <v>129</v>
      </c>
      <c r="C62" s="3">
        <v>0</v>
      </c>
    </row>
    <row r="63" spans="2:7" x14ac:dyDescent="0.25">
      <c r="B63" s="2" t="s">
        <v>113</v>
      </c>
      <c r="C63" s="2">
        <v>7</v>
      </c>
    </row>
    <row r="64" spans="2:7" x14ac:dyDescent="0.25">
      <c r="B64" s="2" t="s">
        <v>112</v>
      </c>
      <c r="C64" s="2">
        <v>1.3</v>
      </c>
    </row>
    <row r="65" spans="2:3" x14ac:dyDescent="0.25">
      <c r="B65" s="2" t="s">
        <v>114</v>
      </c>
      <c r="C65" s="2">
        <v>5</v>
      </c>
    </row>
    <row r="66" spans="2:3" x14ac:dyDescent="0.25">
      <c r="B66" s="2" t="s">
        <v>116</v>
      </c>
      <c r="C66" s="2">
        <v>4</v>
      </c>
    </row>
    <row r="67" spans="2:3" x14ac:dyDescent="0.25">
      <c r="B67" s="2" t="s">
        <v>115</v>
      </c>
      <c r="C67" s="2">
        <f>30.42*2</f>
        <v>60.84</v>
      </c>
    </row>
    <row r="68" spans="2:3" x14ac:dyDescent="0.25">
      <c r="B68" s="2" t="s">
        <v>133</v>
      </c>
      <c r="C68" s="2">
        <v>1000</v>
      </c>
    </row>
    <row r="69" spans="2:3" x14ac:dyDescent="0.25">
      <c r="B69" s="2" t="s">
        <v>134</v>
      </c>
      <c r="C69" s="2">
        <v>900</v>
      </c>
    </row>
    <row r="70" spans="2:3" x14ac:dyDescent="0.25">
      <c r="B70" s="2" t="s">
        <v>135</v>
      </c>
      <c r="C70" s="2">
        <v>50000</v>
      </c>
    </row>
    <row r="71" spans="2:3" x14ac:dyDescent="0.25">
      <c r="B71" s="2" t="s">
        <v>136</v>
      </c>
      <c r="C71" s="2">
        <v>50000</v>
      </c>
    </row>
    <row r="72" spans="2:3" x14ac:dyDescent="0.25">
      <c r="B72" s="2" t="s">
        <v>44</v>
      </c>
      <c r="C72" s="35">
        <v>0.2</v>
      </c>
    </row>
    <row r="73" spans="2:3" x14ac:dyDescent="0.25">
      <c r="B73" s="2" t="s">
        <v>119</v>
      </c>
      <c r="C73" s="2">
        <f>48.56*100*100/118</f>
        <v>4115.2542372881353</v>
      </c>
    </row>
    <row r="74" spans="2:3" x14ac:dyDescent="0.25">
      <c r="B74" s="36" t="s">
        <v>120</v>
      </c>
      <c r="C74" s="36">
        <f>(C73*10^5)/(C60*C56)</f>
        <v>93.945280820552441</v>
      </c>
    </row>
  </sheetData>
  <pageMargins left="0.7" right="0.7" top="0.75" bottom="0.75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G5" sqref="G5"/>
    </sheetView>
  </sheetViews>
  <sheetFormatPr defaultRowHeight="15" x14ac:dyDescent="0.25"/>
  <cols>
    <col min="2" max="2" width="45.5703125" customWidth="1"/>
    <col min="3" max="3" width="15" customWidth="1"/>
    <col min="4" max="4" width="19.5703125" customWidth="1"/>
    <col min="5" max="5" width="20" customWidth="1"/>
    <col min="6" max="6" width="15.28515625" customWidth="1"/>
    <col min="7" max="7" width="19.140625" customWidth="1"/>
  </cols>
  <sheetData>
    <row r="1" spans="1:7" ht="63" x14ac:dyDescent="0.25">
      <c r="A1" s="12" t="s">
        <v>0</v>
      </c>
      <c r="B1" s="12" t="s">
        <v>1</v>
      </c>
      <c r="C1" s="12" t="s">
        <v>6</v>
      </c>
      <c r="D1" s="12" t="s">
        <v>7</v>
      </c>
      <c r="E1" s="12" t="s">
        <v>107</v>
      </c>
      <c r="F1" s="12" t="s">
        <v>13</v>
      </c>
      <c r="G1" s="12" t="s">
        <v>19</v>
      </c>
    </row>
    <row r="2" spans="1:7" ht="47.25" x14ac:dyDescent="0.25">
      <c r="A2" s="3"/>
      <c r="B2" s="1" t="s">
        <v>11</v>
      </c>
      <c r="C2" s="3"/>
      <c r="D2" s="3"/>
      <c r="E2" s="3"/>
      <c r="F2" s="3"/>
      <c r="G2" s="3"/>
    </row>
    <row r="3" spans="1:7" ht="15.75" x14ac:dyDescent="0.25">
      <c r="A3" s="3">
        <v>1</v>
      </c>
      <c r="B3" s="3" t="s">
        <v>130</v>
      </c>
      <c r="C3" s="4">
        <v>0</v>
      </c>
      <c r="D3" s="4">
        <f>-1*+PMT($C$54,$C$55,C3)</f>
        <v>0</v>
      </c>
      <c r="E3" s="4">
        <f>D3/12</f>
        <v>0</v>
      </c>
      <c r="F3" s="4">
        <f t="shared" ref="F3:F8" si="0">D3*10^5/$C$60</f>
        <v>0</v>
      </c>
      <c r="G3" s="4" t="s">
        <v>124</v>
      </c>
    </row>
    <row r="4" spans="1:7" ht="31.5" x14ac:dyDescent="0.25">
      <c r="A4" s="3">
        <v>2</v>
      </c>
      <c r="B4" s="3" t="s">
        <v>117</v>
      </c>
      <c r="C4" s="4">
        <v>0</v>
      </c>
      <c r="D4" s="4">
        <f>-1*+PMT($C$54,$C$55,C4)</f>
        <v>0</v>
      </c>
      <c r="E4" s="4">
        <f t="shared" ref="E4:E29" si="1">D4/12</f>
        <v>0</v>
      </c>
      <c r="F4" s="4">
        <f t="shared" si="0"/>
        <v>0</v>
      </c>
      <c r="G4" s="4" t="s">
        <v>124</v>
      </c>
    </row>
    <row r="5" spans="1:7" ht="141.75" x14ac:dyDescent="0.25">
      <c r="A5" s="3">
        <v>5</v>
      </c>
      <c r="B5" s="3" t="s">
        <v>5</v>
      </c>
      <c r="C5" s="4">
        <v>10</v>
      </c>
      <c r="D5" s="4">
        <f>-1*+PMT(0%,$C$55,C5)</f>
        <v>1</v>
      </c>
      <c r="E5" s="4">
        <f t="shared" si="1"/>
        <v>8.3333333333333329E-2</v>
      </c>
      <c r="F5" s="4">
        <f t="shared" si="0"/>
        <v>0.27394258163488933</v>
      </c>
      <c r="G5" s="4" t="s">
        <v>21</v>
      </c>
    </row>
    <row r="6" spans="1:7" ht="15.75" x14ac:dyDescent="0.25">
      <c r="A6" s="3">
        <v>6</v>
      </c>
      <c r="B6" s="3" t="s">
        <v>3</v>
      </c>
      <c r="C6" s="4">
        <v>11.25</v>
      </c>
      <c r="D6" s="4">
        <f>-1*+PMT(0%,$C$55,C6)</f>
        <v>1.125</v>
      </c>
      <c r="E6" s="4">
        <f t="shared" si="1"/>
        <v>9.375E-2</v>
      </c>
      <c r="F6" s="4">
        <f t="shared" si="0"/>
        <v>0.30818540433925051</v>
      </c>
      <c r="G6" s="4" t="s">
        <v>21</v>
      </c>
    </row>
    <row r="7" spans="1:7" ht="15.75" x14ac:dyDescent="0.25">
      <c r="A7" s="3">
        <v>7</v>
      </c>
      <c r="B7" s="3" t="s">
        <v>152</v>
      </c>
      <c r="C7" s="4">
        <v>5</v>
      </c>
      <c r="D7" s="4">
        <f>-1*+PMT(0%,$C$55,C7)</f>
        <v>0.5</v>
      </c>
      <c r="E7" s="4">
        <f>D7/12</f>
        <v>4.1666666666666664E-2</v>
      </c>
      <c r="F7" s="4">
        <f t="shared" si="0"/>
        <v>0.13697129081744466</v>
      </c>
      <c r="G7" s="4"/>
    </row>
    <row r="8" spans="1:7" ht="15.75" x14ac:dyDescent="0.25">
      <c r="A8" s="3"/>
      <c r="B8" s="3" t="s">
        <v>158</v>
      </c>
      <c r="C8" s="4">
        <v>20</v>
      </c>
      <c r="D8" s="4">
        <f>-1*+PMT(0%,$C$55,C8)</f>
        <v>2</v>
      </c>
      <c r="E8" s="4">
        <f t="shared" si="1"/>
        <v>0.16666666666666666</v>
      </c>
      <c r="F8" s="4">
        <f t="shared" si="0"/>
        <v>0.54788516326977865</v>
      </c>
      <c r="G8" s="4"/>
    </row>
    <row r="9" spans="1:7" ht="15.75" x14ac:dyDescent="0.25">
      <c r="A9" s="3"/>
      <c r="B9" s="3" t="s">
        <v>156</v>
      </c>
      <c r="C9" s="4">
        <v>134.54999999999998</v>
      </c>
      <c r="D9" s="4">
        <v>21.549155939843999</v>
      </c>
      <c r="E9" s="4">
        <v>1.7957629949869995</v>
      </c>
      <c r="F9" s="4">
        <v>5.9032314102136745</v>
      </c>
      <c r="G9" s="4"/>
    </row>
    <row r="10" spans="1:7" ht="15.75" x14ac:dyDescent="0.25">
      <c r="A10" s="3"/>
      <c r="B10" s="3" t="s">
        <v>157</v>
      </c>
      <c r="C10" s="4">
        <v>125.58</v>
      </c>
      <c r="D10" s="4">
        <v>20.112545543854402</v>
      </c>
      <c r="E10" s="4">
        <v>1.6760454619878666</v>
      </c>
      <c r="F10" s="4">
        <v>5.5096826495327633</v>
      </c>
      <c r="G10" s="4"/>
    </row>
    <row r="11" spans="1:7" ht="15.75" x14ac:dyDescent="0.25">
      <c r="A11" s="2"/>
      <c r="B11" s="1" t="s">
        <v>14</v>
      </c>
      <c r="C11" s="5">
        <f>SUM(C3:C10)</f>
        <v>306.38</v>
      </c>
      <c r="D11" s="5">
        <f>SUM(D3:D10)</f>
        <v>46.286701483698401</v>
      </c>
      <c r="E11" s="5">
        <f>SUM(E3:E10)</f>
        <v>3.8572251236415331</v>
      </c>
      <c r="F11" s="5">
        <f>SUM(F3:F10)</f>
        <v>12.679898499807802</v>
      </c>
      <c r="G11" s="5"/>
    </row>
    <row r="12" spans="1:7" ht="15.75" x14ac:dyDescent="0.25">
      <c r="A12" s="3"/>
      <c r="B12" s="1" t="s">
        <v>12</v>
      </c>
      <c r="C12" s="4"/>
      <c r="D12" s="4"/>
      <c r="E12" s="4"/>
      <c r="F12" s="4"/>
      <c r="G12" s="4"/>
    </row>
    <row r="13" spans="1:7" ht="15.75" x14ac:dyDescent="0.25">
      <c r="A13" s="3"/>
      <c r="B13" s="1" t="s">
        <v>146</v>
      </c>
      <c r="C13" s="4"/>
      <c r="D13" s="4"/>
      <c r="E13" s="4"/>
      <c r="F13" s="4"/>
      <c r="G13" s="4"/>
    </row>
    <row r="14" spans="1:7" ht="15.75" x14ac:dyDescent="0.25">
      <c r="A14" s="3">
        <v>8</v>
      </c>
      <c r="B14" s="6" t="s">
        <v>131</v>
      </c>
      <c r="C14" s="7">
        <f>$C$55*D14</f>
        <v>584</v>
      </c>
      <c r="D14" s="7">
        <f>C52*C51</f>
        <v>58.4</v>
      </c>
      <c r="E14" s="4">
        <f t="shared" si="1"/>
        <v>4.8666666666666663</v>
      </c>
      <c r="F14" s="7">
        <f>D14*10^5/$C$60</f>
        <v>15.998246767477537</v>
      </c>
      <c r="G14" s="4" t="s">
        <v>21</v>
      </c>
    </row>
    <row r="15" spans="1:7" ht="15.75" x14ac:dyDescent="0.25">
      <c r="A15" s="3">
        <v>9</v>
      </c>
      <c r="B15" s="6" t="s">
        <v>132</v>
      </c>
      <c r="C15" s="7">
        <f>$C$55*D15</f>
        <v>39</v>
      </c>
      <c r="D15" s="7">
        <f>C53*C50</f>
        <v>3.9000000000000004</v>
      </c>
      <c r="E15" s="4">
        <f t="shared" si="1"/>
        <v>0.32500000000000001</v>
      </c>
      <c r="F15" s="7">
        <f>D15*10^5/$C$60</f>
        <v>1.0683760683760686</v>
      </c>
      <c r="G15" s="4" t="s">
        <v>21</v>
      </c>
    </row>
    <row r="16" spans="1:7" ht="15.75" x14ac:dyDescent="0.25">
      <c r="A16" s="3"/>
      <c r="B16" s="39" t="s">
        <v>147</v>
      </c>
      <c r="C16" s="13">
        <f>SUM(C14:C15)</f>
        <v>623</v>
      </c>
      <c r="D16" s="13">
        <f t="shared" ref="D16:F16" si="2">SUM(D14:D15)</f>
        <v>62.3</v>
      </c>
      <c r="E16" s="13">
        <f t="shared" si="2"/>
        <v>5.1916666666666664</v>
      </c>
      <c r="F16" s="13">
        <f t="shared" si="2"/>
        <v>17.066622835853607</v>
      </c>
      <c r="G16" s="4"/>
    </row>
    <row r="17" spans="1:7" ht="15.75" x14ac:dyDescent="0.25">
      <c r="A17" s="3"/>
      <c r="B17" s="39" t="s">
        <v>148</v>
      </c>
      <c r="C17" s="7"/>
      <c r="D17" s="7"/>
      <c r="E17" s="4"/>
      <c r="F17" s="7"/>
      <c r="G17" s="4"/>
    </row>
    <row r="18" spans="1:7" ht="15.75" x14ac:dyDescent="0.25">
      <c r="A18" s="3">
        <v>10</v>
      </c>
      <c r="B18" s="2" t="s">
        <v>102</v>
      </c>
      <c r="C18" s="7">
        <f>$C$55*D18</f>
        <v>60</v>
      </c>
      <c r="D18" s="7">
        <v>6</v>
      </c>
      <c r="E18" s="4">
        <f t="shared" si="1"/>
        <v>0.5</v>
      </c>
      <c r="F18" s="7">
        <f>D18*10^5/($C$60)</f>
        <v>1.6436554898093361</v>
      </c>
      <c r="G18" s="2" t="s">
        <v>23</v>
      </c>
    </row>
    <row r="19" spans="1:7" ht="15.75" x14ac:dyDescent="0.25">
      <c r="A19" s="3">
        <v>11</v>
      </c>
      <c r="B19" s="2" t="s">
        <v>103</v>
      </c>
      <c r="C19" s="7">
        <f>$C$55*D19</f>
        <v>60</v>
      </c>
      <c r="D19" s="7">
        <v>6</v>
      </c>
      <c r="E19" s="4">
        <f t="shared" si="1"/>
        <v>0.5</v>
      </c>
      <c r="F19" s="7">
        <f>D19*10^5/($C$60)</f>
        <v>1.6436554898093361</v>
      </c>
      <c r="G19" s="2" t="s">
        <v>23</v>
      </c>
    </row>
    <row r="20" spans="1:7" ht="15.75" x14ac:dyDescent="0.25">
      <c r="A20" s="3"/>
      <c r="B20" s="36" t="s">
        <v>149</v>
      </c>
      <c r="C20" s="13">
        <f>SUM(C18:C19)</f>
        <v>120</v>
      </c>
      <c r="D20" s="13">
        <f>SUM(D18:D19)</f>
        <v>12</v>
      </c>
      <c r="E20" s="13">
        <f>SUM(E18:E19)</f>
        <v>1</v>
      </c>
      <c r="F20" s="13">
        <f>SUM(F18:F19)</f>
        <v>3.2873109796186721</v>
      </c>
      <c r="G20" s="2"/>
    </row>
    <row r="21" spans="1:7" ht="15.75" x14ac:dyDescent="0.25">
      <c r="A21" s="3"/>
      <c r="B21" s="2" t="s">
        <v>150</v>
      </c>
      <c r="C21" s="7"/>
      <c r="D21" s="7"/>
      <c r="E21" s="4"/>
      <c r="F21" s="7"/>
      <c r="G21" s="2"/>
    </row>
    <row r="22" spans="1:7" ht="15.75" x14ac:dyDescent="0.25">
      <c r="A22" s="3">
        <v>12</v>
      </c>
      <c r="B22" s="2" t="s">
        <v>34</v>
      </c>
      <c r="C22" s="7">
        <f>$C$55*D22</f>
        <v>365.04000000000013</v>
      </c>
      <c r="D22" s="7">
        <f>C65*C67*C68*12/10^5</f>
        <v>36.504000000000012</v>
      </c>
      <c r="E22" s="4">
        <f t="shared" si="1"/>
        <v>3.0420000000000011</v>
      </c>
      <c r="F22" s="7">
        <f>D22*10^5/($C$60)</f>
        <v>10.000000000000004</v>
      </c>
      <c r="G22" s="2" t="s">
        <v>22</v>
      </c>
    </row>
    <row r="23" spans="1:7" ht="15.75" x14ac:dyDescent="0.25">
      <c r="A23" s="3">
        <v>13</v>
      </c>
      <c r="B23" s="2" t="s">
        <v>97</v>
      </c>
      <c r="C23" s="7">
        <f>$C$55*D23</f>
        <v>262.8288</v>
      </c>
      <c r="D23" s="7">
        <f>C66*C67*C69*12/10^5</f>
        <v>26.282879999999999</v>
      </c>
      <c r="E23" s="4">
        <f t="shared" si="1"/>
        <v>2.1902399999999997</v>
      </c>
      <c r="F23" s="7">
        <f>D23*10^5/($C$60)</f>
        <v>7.2</v>
      </c>
      <c r="G23" s="2" t="s">
        <v>22</v>
      </c>
    </row>
    <row r="24" spans="1:7" ht="15.75" x14ac:dyDescent="0.25">
      <c r="A24" s="3"/>
      <c r="B24" s="36" t="s">
        <v>151</v>
      </c>
      <c r="C24" s="13">
        <f>SUM(C22:C23)</f>
        <v>627.86880000000019</v>
      </c>
      <c r="D24" s="13">
        <f>SUM(D22:D23)</f>
        <v>62.786880000000011</v>
      </c>
      <c r="E24" s="13">
        <f>SUM(E22:E23)</f>
        <v>5.2322400000000009</v>
      </c>
      <c r="F24" s="13">
        <f>SUM(F22:F23)</f>
        <v>17.200000000000003</v>
      </c>
      <c r="G24" s="2"/>
    </row>
    <row r="25" spans="1:7" ht="15.75" x14ac:dyDescent="0.25">
      <c r="A25" s="3">
        <v>14</v>
      </c>
      <c r="B25" s="2" t="s">
        <v>104</v>
      </c>
      <c r="C25" s="2"/>
      <c r="D25" s="7"/>
      <c r="E25" s="4"/>
      <c r="F25" s="7"/>
      <c r="G25" s="2" t="s">
        <v>124</v>
      </c>
    </row>
    <row r="26" spans="1:7" ht="15.75" x14ac:dyDescent="0.25">
      <c r="A26" s="3">
        <v>15</v>
      </c>
      <c r="B26" s="2" t="s">
        <v>105</v>
      </c>
      <c r="C26" s="2"/>
      <c r="D26" s="7"/>
      <c r="E26" s="4"/>
      <c r="F26" s="7"/>
      <c r="G26" s="2" t="s">
        <v>124</v>
      </c>
    </row>
    <row r="27" spans="1:7" ht="15.75" x14ac:dyDescent="0.25">
      <c r="A27" s="3">
        <v>16</v>
      </c>
      <c r="B27" s="2" t="s">
        <v>106</v>
      </c>
      <c r="C27" s="2"/>
      <c r="D27" s="7"/>
      <c r="E27" s="4"/>
      <c r="F27" s="7"/>
      <c r="G27" s="2" t="s">
        <v>124</v>
      </c>
    </row>
    <row r="28" spans="1:7" ht="15.75" x14ac:dyDescent="0.25">
      <c r="A28" s="3">
        <v>17</v>
      </c>
      <c r="B28" s="2" t="s">
        <v>44</v>
      </c>
      <c r="C28" s="9">
        <f>$C$72*(C23+C22+C19+C18)</f>
        <v>149.57376000000005</v>
      </c>
      <c r="D28" s="9">
        <f>$C$72*(D23+D22+D19+D18)</f>
        <v>14.957376000000004</v>
      </c>
      <c r="E28" s="9">
        <f>$C$72*(E23+E22+E19+E18)</f>
        <v>1.2464480000000002</v>
      </c>
      <c r="F28" s="9">
        <f>$C$72*(F23+F22+F19+F18)</f>
        <v>4.0974621959237352</v>
      </c>
      <c r="G28" s="2" t="s">
        <v>23</v>
      </c>
    </row>
    <row r="29" spans="1:7" ht="31.5" x14ac:dyDescent="0.25">
      <c r="A29" s="3">
        <v>18</v>
      </c>
      <c r="B29" s="3" t="s">
        <v>10</v>
      </c>
      <c r="C29" s="7">
        <f>$C$55*D29</f>
        <v>332.18639999999999</v>
      </c>
      <c r="D29" s="8">
        <f>F29*$C$60/10^5</f>
        <v>33.218640000000001</v>
      </c>
      <c r="E29" s="4">
        <f t="shared" si="1"/>
        <v>2.7682199999999999</v>
      </c>
      <c r="F29" s="8">
        <f>C63*C64</f>
        <v>9.1</v>
      </c>
      <c r="G29" s="7" t="s">
        <v>22</v>
      </c>
    </row>
    <row r="30" spans="1:7" ht="31.5" x14ac:dyDescent="0.25">
      <c r="A30" s="3">
        <v>19</v>
      </c>
      <c r="B30" s="6" t="s">
        <v>15</v>
      </c>
      <c r="C30" s="7"/>
      <c r="D30" s="7"/>
      <c r="E30" s="4"/>
      <c r="F30" s="7"/>
      <c r="G30" s="7" t="s">
        <v>22</v>
      </c>
    </row>
    <row r="31" spans="1:7" ht="31.5" x14ac:dyDescent="0.25">
      <c r="A31" s="3">
        <v>20</v>
      </c>
      <c r="B31" s="3" t="s">
        <v>8</v>
      </c>
      <c r="C31" s="7"/>
      <c r="D31" s="4"/>
      <c r="E31" s="4"/>
      <c r="F31" s="4"/>
      <c r="G31" s="7" t="s">
        <v>22</v>
      </c>
    </row>
    <row r="32" spans="1:7" ht="15.75" x14ac:dyDescent="0.25">
      <c r="A32" s="3">
        <v>21</v>
      </c>
      <c r="B32" s="3" t="s">
        <v>144</v>
      </c>
      <c r="C32" s="7">
        <f>$C$55*D32</f>
        <v>219.024</v>
      </c>
      <c r="D32" s="4">
        <f>E32*12</f>
        <v>21.9024</v>
      </c>
      <c r="E32" s="4">
        <f>F32*C59/10^5</f>
        <v>1.8251999999999999</v>
      </c>
      <c r="F32" s="4">
        <v>6</v>
      </c>
      <c r="G32" s="4"/>
    </row>
    <row r="33" spans="1:7" ht="15.75" x14ac:dyDescent="0.25">
      <c r="A33" s="3">
        <v>22</v>
      </c>
      <c r="B33" s="3" t="s">
        <v>143</v>
      </c>
      <c r="C33" s="8"/>
      <c r="D33" s="8"/>
      <c r="E33" s="4"/>
      <c r="F33" s="8"/>
      <c r="G33" s="8"/>
    </row>
    <row r="34" spans="1:7" ht="15.75" x14ac:dyDescent="0.25">
      <c r="A34" s="3">
        <v>23</v>
      </c>
      <c r="B34" s="3" t="s">
        <v>122</v>
      </c>
      <c r="C34" s="7"/>
      <c r="D34" s="4"/>
      <c r="E34" s="4"/>
      <c r="F34" s="9"/>
      <c r="G34" s="9" t="s">
        <v>23</v>
      </c>
    </row>
    <row r="35" spans="1:7" ht="15.75" x14ac:dyDescent="0.25">
      <c r="A35" s="3">
        <v>24</v>
      </c>
      <c r="B35" s="2" t="s">
        <v>123</v>
      </c>
      <c r="C35" s="7"/>
      <c r="D35" s="4"/>
      <c r="E35" s="4"/>
      <c r="F35" s="9"/>
      <c r="G35" s="9" t="s">
        <v>23</v>
      </c>
    </row>
    <row r="36" spans="1:7" ht="15.75" x14ac:dyDescent="0.25">
      <c r="A36" s="3">
        <v>25</v>
      </c>
      <c r="B36" s="3" t="s">
        <v>9</v>
      </c>
      <c r="C36" s="2"/>
      <c r="D36" s="2"/>
      <c r="E36" s="4"/>
      <c r="F36" s="2"/>
      <c r="G36" s="2" t="s">
        <v>124</v>
      </c>
    </row>
    <row r="37" spans="1:7" ht="15.75" x14ac:dyDescent="0.25">
      <c r="A37" s="3">
        <v>26</v>
      </c>
      <c r="B37" s="2" t="s">
        <v>16</v>
      </c>
      <c r="C37" s="2"/>
      <c r="D37" s="2"/>
      <c r="E37" s="4"/>
      <c r="F37" s="2"/>
      <c r="G37" s="2"/>
    </row>
    <row r="38" spans="1:7" ht="15.75" x14ac:dyDescent="0.25">
      <c r="A38" s="1"/>
      <c r="B38" s="36" t="s">
        <v>14</v>
      </c>
      <c r="C38" s="5">
        <f>SUM(C3:C10)</f>
        <v>306.38</v>
      </c>
      <c r="D38" s="5">
        <f>SUM(D3:D10)</f>
        <v>46.286701483698401</v>
      </c>
      <c r="E38" s="5">
        <f>SUM(E3:E10)</f>
        <v>3.8572251236415331</v>
      </c>
      <c r="F38" s="5">
        <f>SUM(F3:F10)</f>
        <v>12.679898499807802</v>
      </c>
      <c r="G38" s="2"/>
    </row>
    <row r="39" spans="1:7" ht="15.75" x14ac:dyDescent="0.25">
      <c r="A39" s="3"/>
      <c r="B39" s="39" t="s">
        <v>147</v>
      </c>
      <c r="C39" s="13">
        <f>SUM(C14:C15)</f>
        <v>623</v>
      </c>
      <c r="D39" s="13">
        <f>SUM(D14:D15)</f>
        <v>62.3</v>
      </c>
      <c r="E39" s="13">
        <f>SUM(E14:E15)</f>
        <v>5.1916666666666664</v>
      </c>
      <c r="F39" s="13">
        <f>SUM(F14:F15)</f>
        <v>17.066622835853607</v>
      </c>
      <c r="G39" s="4"/>
    </row>
    <row r="40" spans="1:7" ht="15.75" x14ac:dyDescent="0.25">
      <c r="A40" s="3"/>
      <c r="B40" s="36" t="s">
        <v>149</v>
      </c>
      <c r="C40" s="13">
        <f>SUM(C18:C19)</f>
        <v>120</v>
      </c>
      <c r="D40" s="13">
        <f>SUM(D18:D19)</f>
        <v>12</v>
      </c>
      <c r="E40" s="13">
        <f>SUM(E18:E19)</f>
        <v>1</v>
      </c>
      <c r="F40" s="13">
        <f>SUM(F18:F19)</f>
        <v>3.2873109796186721</v>
      </c>
      <c r="G40" s="2"/>
    </row>
    <row r="41" spans="1:7" ht="15.75" x14ac:dyDescent="0.25">
      <c r="A41" s="3"/>
      <c r="B41" s="36" t="s">
        <v>151</v>
      </c>
      <c r="C41" s="13">
        <f>SUM(C22:C23)</f>
        <v>627.86880000000019</v>
      </c>
      <c r="D41" s="13">
        <f>SUM(D22:D23)</f>
        <v>62.786880000000011</v>
      </c>
      <c r="E41" s="13">
        <f>SUM(E22:E23)</f>
        <v>5.2322400000000009</v>
      </c>
      <c r="F41" s="13">
        <f>SUM(F22:F23)</f>
        <v>17.200000000000003</v>
      </c>
      <c r="G41" s="2"/>
    </row>
    <row r="42" spans="1:7" ht="15.75" x14ac:dyDescent="0.25">
      <c r="A42" s="3"/>
      <c r="B42" s="36" t="s">
        <v>153</v>
      </c>
      <c r="C42" s="13">
        <f>C29</f>
        <v>332.18639999999999</v>
      </c>
      <c r="D42" s="13">
        <f>D29</f>
        <v>33.218640000000001</v>
      </c>
      <c r="E42" s="13">
        <f>E29</f>
        <v>2.7682199999999999</v>
      </c>
      <c r="F42" s="13">
        <f>F29</f>
        <v>9.1</v>
      </c>
      <c r="G42" s="2"/>
    </row>
    <row r="43" spans="1:7" ht="15.75" x14ac:dyDescent="0.25">
      <c r="A43" s="3"/>
      <c r="B43" s="36" t="s">
        <v>154</v>
      </c>
      <c r="C43" s="13">
        <f>SUM(C32:C33)</f>
        <v>219.024</v>
      </c>
      <c r="D43" s="13">
        <f>SUM(D32:D33)</f>
        <v>21.9024</v>
      </c>
      <c r="E43" s="13">
        <f>SUM(E32:E33)</f>
        <v>1.8251999999999999</v>
      </c>
      <c r="F43" s="13">
        <f>SUM(F32:F33)</f>
        <v>6</v>
      </c>
      <c r="G43" s="2"/>
    </row>
    <row r="44" spans="1:7" ht="15.75" x14ac:dyDescent="0.25">
      <c r="A44" s="2"/>
      <c r="B44" s="1" t="s">
        <v>17</v>
      </c>
      <c r="C44" s="5">
        <f>SUM(C14:C35)-C16-C20-C24</f>
        <v>2071.6529600000003</v>
      </c>
      <c r="D44" s="5">
        <f>SUM(D14:D35)-D16-D20-D24</f>
        <v>207.16529600000001</v>
      </c>
      <c r="E44" s="5">
        <f>SUM(E14:E35)-E16-E20-E24</f>
        <v>17.263774666666666</v>
      </c>
      <c r="F44" s="5">
        <f>SUM(F14:F35)-F16-F20-F24</f>
        <v>56.751396011396025</v>
      </c>
      <c r="G44" s="2"/>
    </row>
    <row r="45" spans="1:7" ht="15.75" x14ac:dyDescent="0.25">
      <c r="A45" s="2"/>
      <c r="B45" s="1" t="s">
        <v>2</v>
      </c>
      <c r="C45" s="10">
        <f>C11+C44</f>
        <v>2378.0329600000005</v>
      </c>
      <c r="D45" s="10">
        <f>D11+D44</f>
        <v>253.45199748369842</v>
      </c>
      <c r="E45" s="10">
        <f>E11+E44</f>
        <v>21.120999790308201</v>
      </c>
      <c r="F45" s="10">
        <f>F11+F44</f>
        <v>69.431294511203831</v>
      </c>
      <c r="G45" s="2"/>
    </row>
    <row r="46" spans="1:7" ht="15.75" x14ac:dyDescent="0.25">
      <c r="A46" s="2"/>
      <c r="B46" s="36" t="s">
        <v>155</v>
      </c>
      <c r="C46" s="10">
        <f>D46*C55</f>
        <v>4115.2542372881353</v>
      </c>
      <c r="D46" s="10">
        <f>F46*C60/10^5</f>
        <v>411.52542372881351</v>
      </c>
      <c r="E46" s="10">
        <f>F46*C59/10^5</f>
        <v>34.293785310734457</v>
      </c>
      <c r="F46" s="36">
        <f>(C73*10^5)/(C60*C55)</f>
        <v>112.73433698466292</v>
      </c>
      <c r="G46" s="2"/>
    </row>
    <row r="47" spans="1:7" ht="15.75" x14ac:dyDescent="0.25">
      <c r="A47" s="2"/>
      <c r="B47" s="1" t="s">
        <v>125</v>
      </c>
      <c r="C47" s="4"/>
      <c r="D47" s="8"/>
      <c r="E47" s="8"/>
      <c r="F47" s="8"/>
      <c r="G47" s="2"/>
    </row>
    <row r="48" spans="1:7" ht="15.75" x14ac:dyDescent="0.25">
      <c r="A48" s="2"/>
      <c r="B48" s="2" t="s">
        <v>126</v>
      </c>
      <c r="C48" s="2">
        <v>200</v>
      </c>
      <c r="D48" s="2"/>
      <c r="E48" s="2"/>
      <c r="F48" s="2"/>
      <c r="G48" s="5"/>
    </row>
    <row r="49" spans="1:7" ht="15.75" x14ac:dyDescent="0.25">
      <c r="A49" s="2"/>
      <c r="B49" s="2" t="s">
        <v>127</v>
      </c>
      <c r="C49" s="2">
        <v>25</v>
      </c>
      <c r="D49" s="2"/>
      <c r="E49" s="2"/>
      <c r="F49" s="2"/>
      <c r="G49" s="8"/>
    </row>
    <row r="50" spans="1:7" ht="15.75" x14ac:dyDescent="0.25">
      <c r="A50" s="2"/>
      <c r="B50" s="2" t="s">
        <v>111</v>
      </c>
      <c r="C50" s="2">
        <v>3</v>
      </c>
      <c r="D50" s="2"/>
      <c r="E50" s="2"/>
      <c r="F50" s="2"/>
      <c r="G50" s="2"/>
    </row>
    <row r="51" spans="1:7" ht="15.75" x14ac:dyDescent="0.25">
      <c r="A51" s="2"/>
      <c r="B51" s="2" t="s">
        <v>99</v>
      </c>
      <c r="C51" s="2">
        <v>5</v>
      </c>
      <c r="D51" s="2"/>
      <c r="E51" s="2"/>
      <c r="F51" s="2"/>
      <c r="G51" s="2"/>
    </row>
    <row r="52" spans="1:7" ht="15.75" x14ac:dyDescent="0.25">
      <c r="A52" s="2"/>
      <c r="B52" s="2" t="s">
        <v>141</v>
      </c>
      <c r="C52" s="2">
        <v>11.68</v>
      </c>
      <c r="D52" s="2"/>
      <c r="E52" s="2"/>
      <c r="F52" s="2"/>
      <c r="G52" s="2"/>
    </row>
    <row r="53" spans="1:7" ht="15.75" x14ac:dyDescent="0.25">
      <c r="A53" s="2"/>
      <c r="B53" s="2" t="s">
        <v>142</v>
      </c>
      <c r="C53" s="2">
        <v>1.3</v>
      </c>
      <c r="D53" s="2"/>
      <c r="E53" s="2"/>
      <c r="F53" s="2"/>
      <c r="G53" s="2"/>
    </row>
    <row r="54" spans="1:7" ht="15.75" x14ac:dyDescent="0.25">
      <c r="A54" s="2"/>
      <c r="B54" s="3" t="s">
        <v>18</v>
      </c>
      <c r="C54" s="11">
        <v>0.1</v>
      </c>
      <c r="D54" s="2"/>
      <c r="E54" s="2"/>
      <c r="F54" s="2"/>
      <c r="G54" s="2"/>
    </row>
    <row r="55" spans="1:7" ht="15.75" x14ac:dyDescent="0.25">
      <c r="A55" s="2"/>
      <c r="B55" s="2" t="s">
        <v>108</v>
      </c>
      <c r="C55" s="2">
        <v>10</v>
      </c>
      <c r="D55" s="2"/>
      <c r="E55" s="2"/>
      <c r="F55" s="2"/>
      <c r="G55" s="2"/>
    </row>
    <row r="56" spans="1:7" ht="15.75" x14ac:dyDescent="0.25">
      <c r="A56" s="2"/>
      <c r="B56" s="2" t="s">
        <v>121</v>
      </c>
      <c r="C56" s="2">
        <v>12</v>
      </c>
      <c r="D56" s="2"/>
      <c r="E56" s="2"/>
      <c r="F56" s="2"/>
      <c r="G56" s="2"/>
    </row>
    <row r="57" spans="1:7" ht="15.75" x14ac:dyDescent="0.25">
      <c r="A57" s="2"/>
      <c r="B57" s="2" t="s">
        <v>98</v>
      </c>
      <c r="C57" s="2">
        <v>200</v>
      </c>
      <c r="D57" s="2"/>
      <c r="E57" s="2"/>
      <c r="F57" s="2"/>
      <c r="G57" s="2"/>
    </row>
    <row r="58" spans="1:7" ht="15.75" x14ac:dyDescent="0.25">
      <c r="A58" s="2"/>
      <c r="B58" s="2" t="s">
        <v>100</v>
      </c>
      <c r="C58" s="2">
        <f>C57*C51</f>
        <v>1000</v>
      </c>
      <c r="D58" s="2"/>
      <c r="E58" s="2"/>
      <c r="F58" s="2"/>
      <c r="G58" s="2"/>
    </row>
    <row r="59" spans="1:7" ht="15.75" x14ac:dyDescent="0.25">
      <c r="A59" s="2"/>
      <c r="B59" s="2" t="s">
        <v>145</v>
      </c>
      <c r="C59" s="2">
        <f>C58*30.42</f>
        <v>30420</v>
      </c>
      <c r="D59" s="2"/>
      <c r="E59" s="2"/>
      <c r="F59" s="2"/>
      <c r="G59" s="2"/>
    </row>
    <row r="60" spans="1:7" ht="15.75" x14ac:dyDescent="0.25">
      <c r="A60" s="2"/>
      <c r="B60" s="2" t="s">
        <v>101</v>
      </c>
      <c r="C60" s="2">
        <f>C58*30.42*12</f>
        <v>365040</v>
      </c>
      <c r="D60" s="2"/>
      <c r="E60" s="2"/>
      <c r="F60" s="2"/>
      <c r="G60" s="2"/>
    </row>
    <row r="61" spans="1:7" ht="15.75" x14ac:dyDescent="0.25">
      <c r="A61" s="2"/>
      <c r="B61" s="36" t="s">
        <v>128</v>
      </c>
      <c r="C61" s="3">
        <v>0</v>
      </c>
      <c r="D61" s="2"/>
      <c r="E61" s="2"/>
      <c r="F61" s="2"/>
      <c r="G61" s="2"/>
    </row>
    <row r="62" spans="1:7" ht="15.75" x14ac:dyDescent="0.25">
      <c r="A62" s="2"/>
      <c r="B62" s="36" t="s">
        <v>129</v>
      </c>
      <c r="C62" s="3">
        <v>0</v>
      </c>
      <c r="D62" s="2"/>
      <c r="E62" s="2"/>
      <c r="F62" s="2"/>
      <c r="G62" s="2"/>
    </row>
    <row r="63" spans="1:7" ht="15.75" x14ac:dyDescent="0.25">
      <c r="A63" s="2"/>
      <c r="B63" s="2" t="s">
        <v>113</v>
      </c>
      <c r="C63" s="2">
        <v>7</v>
      </c>
      <c r="D63" s="2"/>
      <c r="E63" s="2"/>
      <c r="F63" s="2"/>
      <c r="G63" s="2"/>
    </row>
    <row r="64" spans="1:7" ht="15.75" x14ac:dyDescent="0.25">
      <c r="A64" s="2"/>
      <c r="B64" s="2" t="s">
        <v>112</v>
      </c>
      <c r="C64" s="2">
        <v>1.3</v>
      </c>
      <c r="D64" s="2"/>
      <c r="E64" s="2"/>
      <c r="F64" s="2"/>
      <c r="G64" s="2"/>
    </row>
    <row r="65" spans="1:7" ht="15.75" x14ac:dyDescent="0.25">
      <c r="A65" s="2"/>
      <c r="B65" s="2" t="s">
        <v>114</v>
      </c>
      <c r="C65" s="2">
        <v>5</v>
      </c>
      <c r="D65" s="2"/>
      <c r="E65" s="2"/>
      <c r="F65" s="2"/>
      <c r="G65" s="2"/>
    </row>
    <row r="66" spans="1:7" ht="15.75" x14ac:dyDescent="0.25">
      <c r="A66" s="2"/>
      <c r="B66" s="2" t="s">
        <v>116</v>
      </c>
      <c r="C66" s="2">
        <v>4</v>
      </c>
      <c r="D66" s="2"/>
      <c r="E66" s="2"/>
      <c r="F66" s="2"/>
      <c r="G66" s="2"/>
    </row>
    <row r="67" spans="1:7" ht="15.75" x14ac:dyDescent="0.25">
      <c r="A67" s="2"/>
      <c r="B67" s="2" t="s">
        <v>115</v>
      </c>
      <c r="C67" s="2">
        <f>30.42*2</f>
        <v>60.84</v>
      </c>
      <c r="D67" s="2"/>
      <c r="E67" s="2"/>
      <c r="F67" s="2"/>
      <c r="G67" s="2"/>
    </row>
    <row r="68" spans="1:7" ht="15.75" x14ac:dyDescent="0.25">
      <c r="A68" s="2"/>
      <c r="B68" s="2" t="s">
        <v>133</v>
      </c>
      <c r="C68" s="2">
        <v>1000</v>
      </c>
      <c r="D68" s="2"/>
      <c r="E68" s="2"/>
      <c r="F68" s="2"/>
      <c r="G68" s="2"/>
    </row>
    <row r="69" spans="1:7" ht="15.75" x14ac:dyDescent="0.25">
      <c r="A69" s="2"/>
      <c r="B69" s="2" t="s">
        <v>134</v>
      </c>
      <c r="C69" s="2">
        <v>900</v>
      </c>
      <c r="D69" s="2"/>
      <c r="E69" s="2"/>
      <c r="F69" s="2"/>
      <c r="G69" s="2"/>
    </row>
    <row r="70" spans="1:7" ht="15.75" x14ac:dyDescent="0.25">
      <c r="A70" s="2"/>
      <c r="B70" s="2" t="s">
        <v>135</v>
      </c>
      <c r="C70" s="2">
        <v>50000</v>
      </c>
      <c r="D70" s="2"/>
      <c r="E70" s="2"/>
      <c r="F70" s="2"/>
      <c r="G70" s="2"/>
    </row>
    <row r="71" spans="1:7" ht="15.75" x14ac:dyDescent="0.25">
      <c r="A71" s="2"/>
      <c r="B71" s="2" t="s">
        <v>136</v>
      </c>
      <c r="C71" s="2">
        <v>50000</v>
      </c>
      <c r="D71" s="2"/>
      <c r="E71" s="2"/>
      <c r="F71" s="2"/>
      <c r="G71" s="2"/>
    </row>
    <row r="72" spans="1:7" ht="15.75" x14ac:dyDescent="0.25">
      <c r="A72" s="2"/>
      <c r="B72" s="2" t="s">
        <v>44</v>
      </c>
      <c r="C72" s="35">
        <v>0.2</v>
      </c>
      <c r="D72" s="2"/>
      <c r="E72" s="2"/>
      <c r="F72" s="2"/>
      <c r="G72" s="2"/>
    </row>
    <row r="73" spans="1:7" ht="15.75" x14ac:dyDescent="0.25">
      <c r="A73" s="2"/>
      <c r="B73" s="2" t="s">
        <v>119</v>
      </c>
      <c r="C73" s="2">
        <f>48.56*100*100/118</f>
        <v>4115.2542372881353</v>
      </c>
      <c r="D73" s="2"/>
      <c r="E73" s="2"/>
      <c r="F73" s="2"/>
      <c r="G73" s="2"/>
    </row>
    <row r="74" spans="1:7" ht="15.75" x14ac:dyDescent="0.25">
      <c r="A74" s="2"/>
      <c r="B74" s="36" t="s">
        <v>120</v>
      </c>
      <c r="C74" s="36">
        <f>(C73*10^5)/(C60*C56)</f>
        <v>93.945280820552441</v>
      </c>
      <c r="D74" s="2"/>
      <c r="E74" s="2"/>
      <c r="F74" s="2"/>
      <c r="G7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53" workbookViewId="0">
      <selection activeCell="F60" sqref="F60"/>
    </sheetView>
  </sheetViews>
  <sheetFormatPr defaultRowHeight="15.75" x14ac:dyDescent="0.25"/>
  <cols>
    <col min="1" max="1" width="17" style="2" customWidth="1"/>
    <col min="2" max="2" width="48.140625" style="2" customWidth="1"/>
    <col min="3" max="3" width="15.5703125" style="2" customWidth="1"/>
    <col min="4" max="4" width="19.28515625" style="2" customWidth="1"/>
    <col min="5" max="5" width="23.7109375" style="2" customWidth="1"/>
    <col min="6" max="6" width="21.28515625" style="2" customWidth="1"/>
    <col min="7" max="7" width="26.7109375" style="2" customWidth="1"/>
    <col min="8" max="8" width="20.85546875" style="2" customWidth="1"/>
    <col min="9" max="16384" width="9.140625" style="2"/>
  </cols>
  <sheetData>
    <row r="1" spans="1:7" x14ac:dyDescent="0.25">
      <c r="A1" s="12" t="s">
        <v>0</v>
      </c>
      <c r="B1" s="12" t="s">
        <v>1</v>
      </c>
      <c r="C1" s="12" t="s">
        <v>6</v>
      </c>
      <c r="D1" s="12" t="s">
        <v>7</v>
      </c>
      <c r="E1" s="12" t="s">
        <v>107</v>
      </c>
      <c r="F1" s="12" t="s">
        <v>13</v>
      </c>
      <c r="G1" s="12" t="s">
        <v>19</v>
      </c>
    </row>
    <row r="2" spans="1:7" x14ac:dyDescent="0.25">
      <c r="A2" s="3"/>
      <c r="B2" s="1" t="s">
        <v>11</v>
      </c>
      <c r="C2" s="3"/>
      <c r="D2" s="3"/>
      <c r="E2" s="3"/>
      <c r="F2" s="3"/>
      <c r="G2" s="3"/>
    </row>
    <row r="3" spans="1:7" x14ac:dyDescent="0.25">
      <c r="A3" s="3">
        <v>1</v>
      </c>
      <c r="B3" s="3" t="s">
        <v>162</v>
      </c>
      <c r="C3" s="4">
        <f>C50*C53-C62*C53</f>
        <v>2000</v>
      </c>
      <c r="D3" s="4">
        <f>-1*+PMT($C$56,$C$57,C3)</f>
        <v>410.8109994011914</v>
      </c>
      <c r="E3" s="4">
        <f>D3/12</f>
        <v>34.234249950099283</v>
      </c>
      <c r="F3" s="4">
        <f t="shared" ref="F3:F9" si="0">D3*10^5/$C$61</f>
        <v>8.0384732671408106</v>
      </c>
      <c r="G3" s="4" t="s">
        <v>20</v>
      </c>
    </row>
    <row r="4" spans="1:7" x14ac:dyDescent="0.25">
      <c r="A4" s="3">
        <v>2</v>
      </c>
      <c r="B4" s="3" t="s">
        <v>161</v>
      </c>
      <c r="C4" s="4">
        <f>C51*C52-C63</f>
        <v>676</v>
      </c>
      <c r="D4" s="4">
        <f>-1*+PMT($C$56,$C$57,C4)</f>
        <v>138.8541177976027</v>
      </c>
      <c r="E4" s="4">
        <f t="shared" ref="E4:E31" si="1">D4/12</f>
        <v>11.571176483133558</v>
      </c>
      <c r="F4" s="4">
        <f t="shared" si="0"/>
        <v>2.7170039642935939</v>
      </c>
      <c r="G4" s="4" t="s">
        <v>20</v>
      </c>
    </row>
    <row r="5" spans="1:7" x14ac:dyDescent="0.25">
      <c r="A5" s="3">
        <v>3</v>
      </c>
      <c r="B5" s="3" t="s">
        <v>118</v>
      </c>
      <c r="C5" s="4">
        <v>0</v>
      </c>
      <c r="D5" s="4">
        <f>-1*+PMT(0%,$C$57,C5)</f>
        <v>0</v>
      </c>
      <c r="E5" s="4">
        <f t="shared" si="1"/>
        <v>0</v>
      </c>
      <c r="F5" s="4">
        <f t="shared" si="0"/>
        <v>0</v>
      </c>
      <c r="G5" s="4" t="s">
        <v>21</v>
      </c>
    </row>
    <row r="6" spans="1:7" x14ac:dyDescent="0.25">
      <c r="A6" s="3">
        <v>4</v>
      </c>
      <c r="B6" s="3" t="s">
        <v>4</v>
      </c>
      <c r="C6" s="4">
        <v>2.73</v>
      </c>
      <c r="D6" s="4">
        <f>-1*+PMT(0%,$C$57,C6)</f>
        <v>0.39</v>
      </c>
      <c r="E6" s="4">
        <f t="shared" si="1"/>
        <v>3.2500000000000001E-2</v>
      </c>
      <c r="F6" s="4">
        <f t="shared" si="0"/>
        <v>7.631257631257631E-3</v>
      </c>
      <c r="G6" s="4" t="s">
        <v>21</v>
      </c>
    </row>
    <row r="7" spans="1:7" ht="31.5" x14ac:dyDescent="0.25">
      <c r="A7" s="3">
        <v>5</v>
      </c>
      <c r="B7" s="38" t="s">
        <v>5</v>
      </c>
      <c r="C7" s="4">
        <v>160</v>
      </c>
      <c r="D7" s="4">
        <f>-1*+PMT(0%,$C$57,C7)</f>
        <v>22.857142857142858</v>
      </c>
      <c r="E7" s="4">
        <f t="shared" si="1"/>
        <v>1.9047619047619049</v>
      </c>
      <c r="F7" s="4">
        <f t="shared" si="0"/>
        <v>0.44725319450594181</v>
      </c>
      <c r="G7" s="4" t="s">
        <v>21</v>
      </c>
    </row>
    <row r="8" spans="1:7" x14ac:dyDescent="0.25">
      <c r="A8" s="3">
        <v>6</v>
      </c>
      <c r="B8" s="3" t="s">
        <v>3</v>
      </c>
      <c r="C8" s="4">
        <f>11.25*16</f>
        <v>180</v>
      </c>
      <c r="D8" s="4">
        <f>-1*+PMT(0%,$C$57,C8)</f>
        <v>25.714285714285715</v>
      </c>
      <c r="E8" s="4">
        <f t="shared" si="1"/>
        <v>2.1428571428571428</v>
      </c>
      <c r="F8" s="4">
        <f t="shared" si="0"/>
        <v>0.50315984381918444</v>
      </c>
      <c r="G8" s="4" t="s">
        <v>21</v>
      </c>
    </row>
    <row r="9" spans="1:7" x14ac:dyDescent="0.25">
      <c r="A9" s="3">
        <v>7</v>
      </c>
      <c r="B9" s="3" t="s">
        <v>152</v>
      </c>
      <c r="C9" s="4">
        <v>80</v>
      </c>
      <c r="D9" s="4">
        <f>-1*+PMT(0%,$C$57,C9)</f>
        <v>11.428571428571429</v>
      </c>
      <c r="E9" s="4">
        <f t="shared" si="1"/>
        <v>0.95238095238095244</v>
      </c>
      <c r="F9" s="4">
        <f t="shared" si="0"/>
        <v>0.2236265972529709</v>
      </c>
      <c r="G9" s="4"/>
    </row>
    <row r="10" spans="1:7" x14ac:dyDescent="0.25">
      <c r="A10" s="3"/>
      <c r="B10" s="3" t="s">
        <v>156</v>
      </c>
      <c r="C10" s="4">
        <f>0.12*SUM(C3:C9)</f>
        <v>371.8476</v>
      </c>
      <c r="D10" s="4">
        <f t="shared" ref="D10:F10" si="2">0.12*SUM(D3:D9)</f>
        <v>73.206614063855284</v>
      </c>
      <c r="E10" s="4">
        <f t="shared" si="2"/>
        <v>6.1005511719879406</v>
      </c>
      <c r="F10" s="4">
        <f t="shared" si="2"/>
        <v>1.4324577749572511</v>
      </c>
      <c r="G10" s="4"/>
    </row>
    <row r="11" spans="1:7" x14ac:dyDescent="0.25">
      <c r="A11" s="3"/>
      <c r="B11" s="3" t="s">
        <v>163</v>
      </c>
      <c r="C11" s="4">
        <f>0.1*C10</f>
        <v>37.184760000000004</v>
      </c>
      <c r="D11" s="4">
        <f t="shared" ref="D11:F11" si="3">0.1*D10</f>
        <v>7.3206614063855291</v>
      </c>
      <c r="E11" s="4">
        <f t="shared" si="3"/>
        <v>0.61005511719879413</v>
      </c>
      <c r="F11" s="4">
        <f t="shared" si="3"/>
        <v>0.14324577749572512</v>
      </c>
      <c r="G11" s="4"/>
    </row>
    <row r="12" spans="1:7" x14ac:dyDescent="0.25">
      <c r="B12" s="1" t="s">
        <v>14</v>
      </c>
      <c r="C12" s="5">
        <f>SUM(C3:C11)</f>
        <v>3507.7623600000002</v>
      </c>
      <c r="D12" s="5">
        <f>SUM(D3:D11)</f>
        <v>690.5823926690349</v>
      </c>
      <c r="E12" s="5">
        <f>SUM(E3:E11)</f>
        <v>57.548532722419573</v>
      </c>
      <c r="F12" s="5">
        <f>SUM(F3:F11)</f>
        <v>13.512851677096736</v>
      </c>
      <c r="G12" s="5"/>
    </row>
    <row r="13" spans="1:7" x14ac:dyDescent="0.25">
      <c r="A13" s="3"/>
      <c r="B13" s="1" t="s">
        <v>12</v>
      </c>
      <c r="C13" s="4"/>
      <c r="D13" s="4"/>
      <c r="E13" s="4"/>
      <c r="F13" s="4"/>
      <c r="G13" s="4"/>
    </row>
    <row r="14" spans="1:7" x14ac:dyDescent="0.25">
      <c r="A14" s="3"/>
      <c r="B14" s="1" t="s">
        <v>146</v>
      </c>
      <c r="C14" s="4"/>
      <c r="D14" s="4"/>
      <c r="E14" s="4"/>
      <c r="F14" s="4"/>
      <c r="G14" s="4"/>
    </row>
    <row r="15" spans="1:7" x14ac:dyDescent="0.25">
      <c r="A15" s="3">
        <v>8</v>
      </c>
      <c r="B15" s="6" t="s">
        <v>159</v>
      </c>
      <c r="C15" s="7">
        <f>$C$57*D15</f>
        <v>3360</v>
      </c>
      <c r="D15" s="7">
        <f>C54*C53</f>
        <v>480</v>
      </c>
      <c r="E15" s="4">
        <f t="shared" si="1"/>
        <v>40</v>
      </c>
      <c r="F15" s="7">
        <f>D15*10^5/$C$61</f>
        <v>9.3923170846247768</v>
      </c>
      <c r="G15" s="4" t="s">
        <v>21</v>
      </c>
    </row>
    <row r="16" spans="1:7" x14ac:dyDescent="0.25">
      <c r="A16" s="3">
        <v>9</v>
      </c>
      <c r="B16" s="6" t="s">
        <v>160</v>
      </c>
      <c r="C16" s="7">
        <f>$C$57*D16</f>
        <v>177.45</v>
      </c>
      <c r="D16" s="7">
        <f>C55*C52</f>
        <v>25.349999999999998</v>
      </c>
      <c r="E16" s="4">
        <f t="shared" si="1"/>
        <v>2.1124999999999998</v>
      </c>
      <c r="F16" s="7">
        <f>D16*10^5/$C$61</f>
        <v>0.49603174603174605</v>
      </c>
      <c r="G16" s="4" t="s">
        <v>21</v>
      </c>
    </row>
    <row r="17" spans="1:8" x14ac:dyDescent="0.25">
      <c r="A17" s="3"/>
      <c r="B17" s="39" t="s">
        <v>147</v>
      </c>
      <c r="C17" s="13">
        <f>SUM(C15:C16)</f>
        <v>3537.45</v>
      </c>
      <c r="D17" s="13">
        <f t="shared" ref="D17:F17" si="4">SUM(D15:D16)</f>
        <v>505.35</v>
      </c>
      <c r="E17" s="13">
        <f t="shared" si="4"/>
        <v>42.112499999999997</v>
      </c>
      <c r="F17" s="13">
        <f t="shared" si="4"/>
        <v>9.8883488306565219</v>
      </c>
      <c r="G17" s="4"/>
    </row>
    <row r="18" spans="1:8" x14ac:dyDescent="0.25">
      <c r="A18" s="3"/>
      <c r="B18" s="39" t="s">
        <v>148</v>
      </c>
      <c r="C18" s="7"/>
      <c r="D18" s="7"/>
      <c r="E18" s="4"/>
      <c r="F18" s="7"/>
      <c r="G18" s="4"/>
    </row>
    <row r="19" spans="1:8" x14ac:dyDescent="0.25">
      <c r="A19" s="3">
        <v>10</v>
      </c>
      <c r="B19" s="2" t="s">
        <v>102</v>
      </c>
      <c r="C19" s="7">
        <f>$C$57*D19</f>
        <v>42</v>
      </c>
      <c r="D19" s="7">
        <v>6</v>
      </c>
      <c r="E19" s="4">
        <f t="shared" si="1"/>
        <v>0.5</v>
      </c>
      <c r="F19" s="7">
        <f>D19*10^5/($C$61)</f>
        <v>0.11740396355780972</v>
      </c>
      <c r="G19" s="2" t="s">
        <v>23</v>
      </c>
      <c r="H19" s="7"/>
    </row>
    <row r="20" spans="1:8" x14ac:dyDescent="0.25">
      <c r="A20" s="3">
        <v>11</v>
      </c>
      <c r="B20" s="2" t="s">
        <v>103</v>
      </c>
      <c r="C20" s="7">
        <f>$C$57*D20</f>
        <v>42</v>
      </c>
      <c r="D20" s="7">
        <v>6</v>
      </c>
      <c r="E20" s="4">
        <f t="shared" si="1"/>
        <v>0.5</v>
      </c>
      <c r="F20" s="7">
        <f>D20*10^5/($C$61)</f>
        <v>0.11740396355780972</v>
      </c>
      <c r="G20" s="2" t="s">
        <v>23</v>
      </c>
      <c r="H20" s="7"/>
    </row>
    <row r="21" spans="1:8" x14ac:dyDescent="0.25">
      <c r="A21" s="3"/>
      <c r="B21" s="36" t="s">
        <v>149</v>
      </c>
      <c r="C21" s="13">
        <f>SUM(C19:C20)</f>
        <v>84</v>
      </c>
      <c r="D21" s="13">
        <f>SUM(D19:D20)</f>
        <v>12</v>
      </c>
      <c r="E21" s="13">
        <f>SUM(E19:E20)</f>
        <v>1</v>
      </c>
      <c r="F21" s="13">
        <f>SUM(F19:F20)</f>
        <v>0.23480792711561943</v>
      </c>
      <c r="H21" s="7"/>
    </row>
    <row r="22" spans="1:8" x14ac:dyDescent="0.25">
      <c r="A22" s="3"/>
      <c r="B22" s="2" t="s">
        <v>150</v>
      </c>
      <c r="C22" s="7"/>
      <c r="D22" s="7"/>
      <c r="E22" s="4"/>
      <c r="F22" s="7"/>
      <c r="H22" s="7"/>
    </row>
    <row r="23" spans="1:8" x14ac:dyDescent="0.25">
      <c r="A23" s="3">
        <v>12</v>
      </c>
      <c r="B23" s="2" t="s">
        <v>34</v>
      </c>
      <c r="C23" s="7">
        <f>$C$57*D23</f>
        <v>4088.4480000000012</v>
      </c>
      <c r="D23" s="7">
        <f>C66*C68*C69*12/10^5</f>
        <v>584.06400000000019</v>
      </c>
      <c r="E23" s="4">
        <f t="shared" si="1"/>
        <v>48.672000000000018</v>
      </c>
      <c r="F23" s="7">
        <f>D23*10^5/($C$61)</f>
        <v>11.428571428571432</v>
      </c>
      <c r="G23" s="2" t="s">
        <v>22</v>
      </c>
      <c r="H23" s="7"/>
    </row>
    <row r="24" spans="1:8" x14ac:dyDescent="0.25">
      <c r="A24" s="3">
        <v>13</v>
      </c>
      <c r="B24" s="2" t="s">
        <v>97</v>
      </c>
      <c r="C24" s="7">
        <f>$C$57*D24</f>
        <v>2759.7024000000001</v>
      </c>
      <c r="D24" s="7">
        <f>C67*C68*C70*12/10^5</f>
        <v>394.2432</v>
      </c>
      <c r="E24" s="4">
        <f t="shared" si="1"/>
        <v>32.8536</v>
      </c>
      <c r="F24" s="7">
        <f>D24*10^5/($C$61)</f>
        <v>7.7142857142857144</v>
      </c>
      <c r="G24" s="2" t="s">
        <v>22</v>
      </c>
      <c r="H24" s="7"/>
    </row>
    <row r="25" spans="1:8" x14ac:dyDescent="0.25">
      <c r="A25" s="3"/>
      <c r="B25" s="2" t="s">
        <v>164</v>
      </c>
      <c r="C25" s="7">
        <f>D25*$C$57</f>
        <v>1430.9567999999999</v>
      </c>
      <c r="D25" s="7">
        <f>E25*12</f>
        <v>204.42239999999998</v>
      </c>
      <c r="E25" s="4">
        <f>F25*$C$60/10^5</f>
        <v>17.0352</v>
      </c>
      <c r="F25" s="7">
        <v>4</v>
      </c>
      <c r="H25" s="7"/>
    </row>
    <row r="26" spans="1:8" x14ac:dyDescent="0.25">
      <c r="A26" s="3"/>
      <c r="B26" s="36" t="s">
        <v>151</v>
      </c>
      <c r="C26" s="13">
        <f>SUM(C23:C25)</f>
        <v>8279.1072000000022</v>
      </c>
      <c r="D26" s="13">
        <f>SUM(D23:D25)</f>
        <v>1182.7296000000001</v>
      </c>
      <c r="E26" s="13">
        <f>SUM(E23:E25)</f>
        <v>98.560800000000029</v>
      </c>
      <c r="F26" s="13">
        <f>SUM(F23:F25)</f>
        <v>23.142857142857146</v>
      </c>
      <c r="H26" s="7"/>
    </row>
    <row r="27" spans="1:8" x14ac:dyDescent="0.25">
      <c r="A27" s="3">
        <v>14</v>
      </c>
      <c r="B27" s="2" t="s">
        <v>104</v>
      </c>
      <c r="D27" s="7"/>
      <c r="E27" s="4"/>
      <c r="F27" s="7"/>
      <c r="G27" s="2" t="s">
        <v>124</v>
      </c>
      <c r="H27" s="7"/>
    </row>
    <row r="28" spans="1:8" x14ac:dyDescent="0.25">
      <c r="A28" s="3">
        <v>15</v>
      </c>
      <c r="B28" s="2" t="s">
        <v>105</v>
      </c>
      <c r="D28" s="7"/>
      <c r="E28" s="4"/>
      <c r="F28" s="7"/>
      <c r="G28" s="2" t="s">
        <v>124</v>
      </c>
      <c r="H28" s="7"/>
    </row>
    <row r="29" spans="1:8" x14ac:dyDescent="0.25">
      <c r="A29" s="3">
        <v>16</v>
      </c>
      <c r="B29" s="2" t="s">
        <v>106</v>
      </c>
      <c r="D29" s="7"/>
      <c r="E29" s="4"/>
      <c r="F29" s="7"/>
      <c r="G29" s="2" t="s">
        <v>124</v>
      </c>
      <c r="H29" s="7"/>
    </row>
    <row r="30" spans="1:8" x14ac:dyDescent="0.25">
      <c r="A30" s="3">
        <v>17</v>
      </c>
      <c r="B30" s="2" t="s">
        <v>44</v>
      </c>
      <c r="C30" s="9">
        <f>$C$73*(C24+C23+C20+C19+C25)</f>
        <v>1672.6214400000006</v>
      </c>
      <c r="D30" s="9">
        <f>$C$73*(D24+D23+D20+D19+D25)</f>
        <v>238.94592000000003</v>
      </c>
      <c r="E30" s="9">
        <f>$C$73*(E24+E23+E20+E19+E25)</f>
        <v>19.912160000000007</v>
      </c>
      <c r="F30" s="9">
        <f>$C$73*(F24+F23+F20+F19+F25)</f>
        <v>4.6755330139945528</v>
      </c>
      <c r="G30" s="2" t="s">
        <v>23</v>
      </c>
    </row>
    <row r="31" spans="1:8" ht="31.5" x14ac:dyDescent="0.25">
      <c r="A31" s="3">
        <v>18</v>
      </c>
      <c r="B31" s="3" t="s">
        <v>10</v>
      </c>
      <c r="C31" s="7">
        <f>$C$57*D31</f>
        <v>3255.4267200000004</v>
      </c>
      <c r="D31" s="8">
        <f>F31*$C$61/10^5</f>
        <v>465.06096000000002</v>
      </c>
      <c r="E31" s="4">
        <f t="shared" si="1"/>
        <v>38.75508</v>
      </c>
      <c r="F31" s="8">
        <f>C64*C65</f>
        <v>9.1</v>
      </c>
      <c r="G31" s="7" t="s">
        <v>22</v>
      </c>
    </row>
    <row r="32" spans="1:8" ht="31.5" x14ac:dyDescent="0.25">
      <c r="A32" s="3">
        <v>19</v>
      </c>
      <c r="B32" s="6" t="s">
        <v>15</v>
      </c>
      <c r="C32" s="7"/>
      <c r="D32" s="7"/>
      <c r="E32" s="4"/>
      <c r="F32" s="7"/>
      <c r="G32" s="7" t="s">
        <v>22</v>
      </c>
    </row>
    <row r="33" spans="1:8" ht="31.5" x14ac:dyDescent="0.25">
      <c r="A33" s="3">
        <v>20</v>
      </c>
      <c r="B33" s="3" t="s">
        <v>8</v>
      </c>
      <c r="C33" s="7"/>
      <c r="D33" s="4"/>
      <c r="E33" s="4"/>
      <c r="F33" s="4"/>
      <c r="G33" s="7" t="s">
        <v>22</v>
      </c>
    </row>
    <row r="34" spans="1:8" x14ac:dyDescent="0.25">
      <c r="A34" s="3">
        <v>21</v>
      </c>
      <c r="B34" s="3" t="s">
        <v>144</v>
      </c>
      <c r="C34" s="7">
        <f>$C$57*D34</f>
        <v>2146.4351999999999</v>
      </c>
      <c r="D34" s="4">
        <f>E34*12</f>
        <v>306.6336</v>
      </c>
      <c r="E34" s="4">
        <f>F34*C60/10^5</f>
        <v>25.552800000000001</v>
      </c>
      <c r="F34" s="4">
        <v>6</v>
      </c>
      <c r="G34" s="4"/>
    </row>
    <row r="35" spans="1:8" x14ac:dyDescent="0.25">
      <c r="A35" s="3">
        <v>22</v>
      </c>
      <c r="B35" s="3" t="s">
        <v>143</v>
      </c>
      <c r="C35" s="8"/>
      <c r="D35" s="8"/>
      <c r="E35" s="4"/>
      <c r="F35" s="8"/>
      <c r="G35" s="8"/>
    </row>
    <row r="36" spans="1:8" x14ac:dyDescent="0.25">
      <c r="A36" s="3">
        <v>23</v>
      </c>
      <c r="B36" s="3" t="s">
        <v>122</v>
      </c>
      <c r="C36" s="7"/>
      <c r="D36" s="4"/>
      <c r="E36" s="4"/>
      <c r="F36" s="9"/>
      <c r="G36" s="9" t="s">
        <v>23</v>
      </c>
    </row>
    <row r="37" spans="1:8" x14ac:dyDescent="0.25">
      <c r="A37" s="3">
        <v>24</v>
      </c>
      <c r="B37" s="2" t="s">
        <v>123</v>
      </c>
      <c r="C37" s="7"/>
      <c r="D37" s="4"/>
      <c r="E37" s="4"/>
      <c r="F37" s="9"/>
      <c r="G37" s="9" t="s">
        <v>23</v>
      </c>
    </row>
    <row r="38" spans="1:8" x14ac:dyDescent="0.25">
      <c r="A38" s="3">
        <v>25</v>
      </c>
      <c r="B38" s="3" t="s">
        <v>9</v>
      </c>
      <c r="E38" s="4"/>
      <c r="G38" s="2" t="s">
        <v>124</v>
      </c>
    </row>
    <row r="39" spans="1:8" x14ac:dyDescent="0.25">
      <c r="A39" s="3">
        <v>26</v>
      </c>
      <c r="B39" s="2" t="s">
        <v>16</v>
      </c>
      <c r="E39" s="4"/>
    </row>
    <row r="40" spans="1:8" x14ac:dyDescent="0.25">
      <c r="A40" s="1"/>
      <c r="B40" s="36" t="s">
        <v>14</v>
      </c>
      <c r="C40" s="5">
        <f>SUM(C3:C9)</f>
        <v>3098.73</v>
      </c>
      <c r="D40" s="5">
        <f>SUM(D3:D9)</f>
        <v>610.05511719879405</v>
      </c>
      <c r="E40" s="5">
        <f>SUM(E3:E9)</f>
        <v>50.837926433232838</v>
      </c>
      <c r="F40" s="5">
        <f>SUM(F3:F9)</f>
        <v>11.937148124643759</v>
      </c>
    </row>
    <row r="41" spans="1:8" x14ac:dyDescent="0.25">
      <c r="A41" s="3"/>
      <c r="B41" s="39" t="s">
        <v>147</v>
      </c>
      <c r="C41" s="13">
        <f>SUM(C15:C16)</f>
        <v>3537.45</v>
      </c>
      <c r="D41" s="13">
        <f>SUM(D15:D16)</f>
        <v>505.35</v>
      </c>
      <c r="E41" s="13">
        <f>SUM(E15:E16)</f>
        <v>42.112499999999997</v>
      </c>
      <c r="F41" s="13">
        <f>SUM(F15:F16)</f>
        <v>9.8883488306565219</v>
      </c>
      <c r="G41" s="4"/>
    </row>
    <row r="42" spans="1:8" x14ac:dyDescent="0.25">
      <c r="A42" s="3"/>
      <c r="B42" s="36" t="s">
        <v>149</v>
      </c>
      <c r="C42" s="13">
        <f>SUM(C19:C20)</f>
        <v>84</v>
      </c>
      <c r="D42" s="13">
        <f>SUM(D19:D20)</f>
        <v>12</v>
      </c>
      <c r="E42" s="13">
        <f>SUM(E19:E20)</f>
        <v>1</v>
      </c>
      <c r="F42" s="13">
        <f>SUM(F19:F20)</f>
        <v>0.23480792711561943</v>
      </c>
      <c r="H42" s="7"/>
    </row>
    <row r="43" spans="1:8" x14ac:dyDescent="0.25">
      <c r="A43" s="3"/>
      <c r="B43" s="36" t="s">
        <v>151</v>
      </c>
      <c r="C43" s="13">
        <f>SUM(C23:C24)</f>
        <v>6848.1504000000014</v>
      </c>
      <c r="D43" s="13">
        <f>SUM(D23:D24)</f>
        <v>978.30720000000019</v>
      </c>
      <c r="E43" s="13">
        <f>SUM(E23:E24)</f>
        <v>81.525600000000026</v>
      </c>
      <c r="F43" s="13">
        <f>SUM(F23:F24)</f>
        <v>19.142857142857146</v>
      </c>
    </row>
    <row r="44" spans="1:8" x14ac:dyDescent="0.25">
      <c r="A44" s="3"/>
      <c r="B44" s="36" t="s">
        <v>153</v>
      </c>
      <c r="C44" s="13">
        <f>C31</f>
        <v>3255.4267200000004</v>
      </c>
      <c r="D44" s="13">
        <f>D31</f>
        <v>465.06096000000002</v>
      </c>
      <c r="E44" s="13">
        <f>E31</f>
        <v>38.75508</v>
      </c>
      <c r="F44" s="13">
        <f>F31</f>
        <v>9.1</v>
      </c>
    </row>
    <row r="45" spans="1:8" x14ac:dyDescent="0.25">
      <c r="A45" s="3"/>
      <c r="B45" s="36" t="s">
        <v>154</v>
      </c>
      <c r="C45" s="13">
        <f>SUM(C34:C35)</f>
        <v>2146.4351999999999</v>
      </c>
      <c r="D45" s="13">
        <f>SUM(D34:D35)</f>
        <v>306.6336</v>
      </c>
      <c r="E45" s="13">
        <f>SUM(E34:E35)</f>
        <v>25.552800000000001</v>
      </c>
      <c r="F45" s="13">
        <f>SUM(F34:F35)</f>
        <v>6</v>
      </c>
    </row>
    <row r="46" spans="1:8" x14ac:dyDescent="0.25">
      <c r="B46" s="1" t="s">
        <v>17</v>
      </c>
      <c r="C46" s="5">
        <f>SUM(C15:C37)-C17-C21-C26</f>
        <v>18975.040560000001</v>
      </c>
      <c r="D46" s="5">
        <f>SUM(D15:D37)-D17-D21-D26</f>
        <v>2710.7200800000001</v>
      </c>
      <c r="E46" s="5">
        <f>SUM(E15:E37)-E17-E21-E26</f>
        <v>225.89334000000008</v>
      </c>
      <c r="F46" s="5">
        <f>SUM(F15:F37)-F17-F21-F26</f>
        <v>53.041546914623829</v>
      </c>
    </row>
    <row r="47" spans="1:8" x14ac:dyDescent="0.25">
      <c r="B47" s="1" t="s">
        <v>2</v>
      </c>
      <c r="C47" s="10">
        <f>C12+C46</f>
        <v>22482.802920000002</v>
      </c>
      <c r="D47" s="10">
        <f>D12+D46</f>
        <v>3401.3024726690351</v>
      </c>
      <c r="E47" s="10">
        <f>E12+E46</f>
        <v>283.44187272241965</v>
      </c>
      <c r="F47" s="10">
        <f>F12+F46</f>
        <v>66.55439859172057</v>
      </c>
    </row>
    <row r="48" spans="1:8" x14ac:dyDescent="0.25">
      <c r="B48" s="36" t="s">
        <v>155</v>
      </c>
      <c r="C48" s="10">
        <f>D48*C57</f>
        <v>0</v>
      </c>
      <c r="D48" s="10">
        <f>F48*C61/10^5</f>
        <v>0</v>
      </c>
      <c r="E48" s="10">
        <f>F48*C60/10^5</f>
        <v>0</v>
      </c>
      <c r="F48" s="36">
        <f>(C74*10^5)/(C61*C57)</f>
        <v>0</v>
      </c>
    </row>
    <row r="49" spans="2:7" x14ac:dyDescent="0.25">
      <c r="B49" s="1" t="s">
        <v>125</v>
      </c>
      <c r="C49" s="4"/>
      <c r="D49" s="8"/>
      <c r="E49" s="8"/>
      <c r="F49" s="8"/>
    </row>
    <row r="50" spans="2:7" x14ac:dyDescent="0.25">
      <c r="B50" s="2" t="s">
        <v>126</v>
      </c>
      <c r="C50" s="2">
        <v>75</v>
      </c>
      <c r="G50" s="5"/>
    </row>
    <row r="51" spans="2:7" x14ac:dyDescent="0.25">
      <c r="B51" s="2" t="s">
        <v>127</v>
      </c>
      <c r="C51" s="2">
        <v>26</v>
      </c>
      <c r="G51" s="8"/>
    </row>
    <row r="52" spans="2:7" x14ac:dyDescent="0.25">
      <c r="B52" s="2" t="s">
        <v>111</v>
      </c>
      <c r="C52" s="2">
        <v>26</v>
      </c>
    </row>
    <row r="53" spans="2:7" x14ac:dyDescent="0.25">
      <c r="B53" s="2" t="s">
        <v>99</v>
      </c>
      <c r="C53" s="2">
        <v>80</v>
      </c>
    </row>
    <row r="54" spans="2:7" x14ac:dyDescent="0.25">
      <c r="B54" s="2" t="s">
        <v>141</v>
      </c>
      <c r="C54" s="2">
        <v>6</v>
      </c>
    </row>
    <row r="55" spans="2:7" x14ac:dyDescent="0.25">
      <c r="B55" s="2" t="s">
        <v>142</v>
      </c>
      <c r="C55" s="2">
        <v>0.97499999999999998</v>
      </c>
    </row>
    <row r="56" spans="2:7" x14ac:dyDescent="0.25">
      <c r="B56" s="3" t="s">
        <v>18</v>
      </c>
      <c r="C56" s="11">
        <v>0.1</v>
      </c>
    </row>
    <row r="57" spans="2:7" x14ac:dyDescent="0.25">
      <c r="B57" s="2" t="s">
        <v>108</v>
      </c>
      <c r="C57" s="2">
        <v>7</v>
      </c>
    </row>
    <row r="58" spans="2:7" x14ac:dyDescent="0.25">
      <c r="B58" s="2" t="s">
        <v>98</v>
      </c>
      <c r="C58" s="2">
        <v>120</v>
      </c>
    </row>
    <row r="59" spans="2:7" x14ac:dyDescent="0.25">
      <c r="B59" s="2" t="s">
        <v>100</v>
      </c>
      <c r="C59" s="2">
        <f>C58*(3500/30)</f>
        <v>14000</v>
      </c>
    </row>
    <row r="60" spans="2:7" x14ac:dyDescent="0.25">
      <c r="B60" s="2" t="s">
        <v>145</v>
      </c>
      <c r="C60" s="2">
        <f>C59*30.42</f>
        <v>425880</v>
      </c>
    </row>
    <row r="61" spans="2:7" x14ac:dyDescent="0.25">
      <c r="B61" s="2" t="s">
        <v>101</v>
      </c>
      <c r="C61" s="2">
        <f>C59*30.42*12</f>
        <v>5110560</v>
      </c>
    </row>
    <row r="62" spans="2:7" x14ac:dyDescent="0.25">
      <c r="B62" s="36" t="s">
        <v>128</v>
      </c>
      <c r="C62" s="1">
        <v>50</v>
      </c>
    </row>
    <row r="63" spans="2:7" x14ac:dyDescent="0.25">
      <c r="B63" s="36" t="s">
        <v>129</v>
      </c>
      <c r="C63" s="1">
        <v>0</v>
      </c>
    </row>
    <row r="64" spans="2:7" x14ac:dyDescent="0.25">
      <c r="B64" s="2" t="s">
        <v>113</v>
      </c>
      <c r="C64" s="2">
        <v>7</v>
      </c>
    </row>
    <row r="65" spans="2:3" x14ac:dyDescent="0.25">
      <c r="B65" s="2" t="s">
        <v>112</v>
      </c>
      <c r="C65" s="2">
        <v>1.3</v>
      </c>
    </row>
    <row r="66" spans="2:3" x14ac:dyDescent="0.25">
      <c r="B66" s="2" t="s">
        <v>114</v>
      </c>
      <c r="C66" s="2">
        <v>80</v>
      </c>
    </row>
    <row r="67" spans="2:3" x14ac:dyDescent="0.25">
      <c r="B67" s="2" t="s">
        <v>116</v>
      </c>
      <c r="C67" s="2">
        <v>60</v>
      </c>
    </row>
    <row r="68" spans="2:3" x14ac:dyDescent="0.25">
      <c r="B68" s="2" t="s">
        <v>115</v>
      </c>
      <c r="C68" s="2">
        <f>30.42*2</f>
        <v>60.84</v>
      </c>
    </row>
    <row r="69" spans="2:3" x14ac:dyDescent="0.25">
      <c r="B69" s="2" t="s">
        <v>133</v>
      </c>
      <c r="C69" s="2">
        <v>1000</v>
      </c>
    </row>
    <row r="70" spans="2:3" x14ac:dyDescent="0.25">
      <c r="B70" s="2" t="s">
        <v>134</v>
      </c>
      <c r="C70" s="2">
        <v>900</v>
      </c>
    </row>
    <row r="71" spans="2:3" x14ac:dyDescent="0.25">
      <c r="B71" s="2" t="s">
        <v>135</v>
      </c>
      <c r="C71" s="2">
        <v>50000</v>
      </c>
    </row>
    <row r="72" spans="2:3" x14ac:dyDescent="0.25">
      <c r="B72" s="2" t="s">
        <v>136</v>
      </c>
      <c r="C72" s="2">
        <v>50000</v>
      </c>
    </row>
    <row r="73" spans="2:3" x14ac:dyDescent="0.25">
      <c r="B73" s="2" t="s">
        <v>44</v>
      </c>
      <c r="C73" s="35">
        <v>0.2</v>
      </c>
    </row>
    <row r="75" spans="2:3" x14ac:dyDescent="0.25">
      <c r="B75" s="36"/>
      <c r="C75" s="36"/>
    </row>
  </sheetData>
  <pageMargins left="0.7" right="0.7" top="0.75" bottom="0.75" header="0.3" footer="0.3"/>
  <pageSetup paperSize="9"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6" sqref="B6:K6"/>
    </sheetView>
  </sheetViews>
  <sheetFormatPr defaultRowHeight="15" x14ac:dyDescent="0.25"/>
  <cols>
    <col min="1" max="1" width="39.7109375" customWidth="1"/>
    <col min="2" max="2" width="20.28515625" style="15" customWidth="1"/>
    <col min="5" max="5" width="10.42578125" customWidth="1"/>
  </cols>
  <sheetData>
    <row r="1" spans="1:13" ht="15.75" x14ac:dyDescent="0.25">
      <c r="A1" s="36" t="s">
        <v>137</v>
      </c>
      <c r="B1" s="36">
        <v>1</v>
      </c>
      <c r="C1" s="36">
        <v>2</v>
      </c>
      <c r="D1" s="36">
        <v>3</v>
      </c>
      <c r="E1" s="36">
        <v>4</v>
      </c>
      <c r="F1" s="36">
        <v>5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</row>
    <row r="2" spans="1:13" ht="15.75" x14ac:dyDescent="0.25">
      <c r="A2" s="2" t="s">
        <v>6</v>
      </c>
      <c r="B2" s="2">
        <f>B8*B11</f>
        <v>764.65000000000009</v>
      </c>
      <c r="C2" s="2">
        <f t="shared" ref="C2:M2" si="0">B2*0.85</f>
        <v>649.9525000000001</v>
      </c>
      <c r="D2" s="2">
        <f t="shared" si="0"/>
        <v>552.45962500000007</v>
      </c>
      <c r="E2" s="2">
        <f t="shared" si="0"/>
        <v>469.59068125000005</v>
      </c>
      <c r="F2" s="2">
        <f t="shared" si="0"/>
        <v>399.15207906250004</v>
      </c>
      <c r="G2" s="2">
        <f t="shared" si="0"/>
        <v>339.27926720312502</v>
      </c>
      <c r="H2" s="2">
        <f t="shared" si="0"/>
        <v>288.38737712265623</v>
      </c>
      <c r="I2" s="2">
        <f t="shared" si="0"/>
        <v>245.1292705542578</v>
      </c>
      <c r="J2" s="2">
        <f t="shared" si="0"/>
        <v>208.35987997111911</v>
      </c>
      <c r="K2" s="2">
        <f t="shared" si="0"/>
        <v>177.10589797545123</v>
      </c>
      <c r="L2" s="2">
        <f t="shared" si="0"/>
        <v>150.54001327913355</v>
      </c>
      <c r="M2" s="2">
        <f t="shared" si="0"/>
        <v>127.95901128726351</v>
      </c>
    </row>
    <row r="3" spans="1:13" ht="15.75" x14ac:dyDescent="0.25">
      <c r="A3" s="2" t="s">
        <v>139</v>
      </c>
      <c r="B3" s="2">
        <f t="shared" ref="B3:M3" si="1">2%*B2</f>
        <v>15.293000000000003</v>
      </c>
      <c r="C3" s="2">
        <f t="shared" si="1"/>
        <v>12.999050000000002</v>
      </c>
      <c r="D3" s="2">
        <f t="shared" si="1"/>
        <v>11.049192500000002</v>
      </c>
      <c r="E3" s="2">
        <f t="shared" si="1"/>
        <v>9.3918136250000011</v>
      </c>
      <c r="F3" s="2">
        <f t="shared" si="1"/>
        <v>7.9830415812500011</v>
      </c>
      <c r="G3" s="2">
        <f t="shared" si="1"/>
        <v>6.7855853440625005</v>
      </c>
      <c r="H3" s="2">
        <f t="shared" si="1"/>
        <v>5.767747542453125</v>
      </c>
      <c r="I3" s="2">
        <f t="shared" si="1"/>
        <v>4.9025854110851563</v>
      </c>
      <c r="J3" s="2">
        <f t="shared" si="1"/>
        <v>4.1671975994223827</v>
      </c>
      <c r="K3" s="2">
        <f t="shared" si="1"/>
        <v>3.5421179595090244</v>
      </c>
      <c r="L3" s="2">
        <f t="shared" si="1"/>
        <v>3.0108002655826711</v>
      </c>
      <c r="M3" s="2">
        <f t="shared" si="1"/>
        <v>2.55918022574527</v>
      </c>
    </row>
    <row r="4" spans="1:13" ht="15.75" x14ac:dyDescent="0.25">
      <c r="A4" s="2" t="s">
        <v>138</v>
      </c>
      <c r="B4" s="2">
        <f t="shared" ref="B4:M4" si="2">B3*10^5/$B$16</f>
        <v>4.1894039009423629</v>
      </c>
      <c r="C4" s="2">
        <f t="shared" si="2"/>
        <v>3.5609933158010088</v>
      </c>
      <c r="D4" s="2">
        <f t="shared" si="2"/>
        <v>3.0268443184308573</v>
      </c>
      <c r="E4" s="2">
        <f t="shared" si="2"/>
        <v>2.5728176706662289</v>
      </c>
      <c r="F4" s="2">
        <f t="shared" si="2"/>
        <v>2.1868950200662942</v>
      </c>
      <c r="G4" s="2">
        <f t="shared" si="2"/>
        <v>1.8588607670563499</v>
      </c>
      <c r="H4" s="2">
        <f t="shared" si="2"/>
        <v>1.5800316519978976</v>
      </c>
      <c r="I4" s="2">
        <f t="shared" si="2"/>
        <v>1.3430269041982128</v>
      </c>
      <c r="J4" s="2">
        <f t="shared" si="2"/>
        <v>1.1415728685684809</v>
      </c>
      <c r="K4" s="2">
        <f t="shared" si="2"/>
        <v>0.97033693828320855</v>
      </c>
      <c r="L4" s="2">
        <f t="shared" si="2"/>
        <v>0.82478639754072736</v>
      </c>
      <c r="M4" s="2">
        <f t="shared" si="2"/>
        <v>0.70106843790961815</v>
      </c>
    </row>
    <row r="5" spans="1:13" ht="15.75" x14ac:dyDescent="0.25">
      <c r="A5" s="2" t="s">
        <v>140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</row>
    <row r="6" spans="1:13" ht="15.75" x14ac:dyDescent="0.25">
      <c r="A6" s="2" t="s">
        <v>2</v>
      </c>
      <c r="B6" s="2">
        <f>B5+B4</f>
        <v>5.1894039009423629</v>
      </c>
      <c r="C6" s="2">
        <f t="shared" ref="C6:M6" si="3">C5+C4</f>
        <v>4.5609933158010083</v>
      </c>
      <c r="D6" s="2">
        <f t="shared" si="3"/>
        <v>4.0268443184308573</v>
      </c>
      <c r="E6" s="2">
        <f t="shared" si="3"/>
        <v>3.5728176706662289</v>
      </c>
      <c r="F6" s="2">
        <f t="shared" si="3"/>
        <v>3.1868950200662942</v>
      </c>
      <c r="G6" s="2">
        <f t="shared" si="3"/>
        <v>2.8588607670563499</v>
      </c>
      <c r="H6" s="2">
        <f t="shared" si="3"/>
        <v>2.5800316519978974</v>
      </c>
      <c r="I6" s="2">
        <f t="shared" si="3"/>
        <v>2.3430269041982128</v>
      </c>
      <c r="J6" s="2">
        <f t="shared" si="3"/>
        <v>2.1415728685684812</v>
      </c>
      <c r="K6" s="2">
        <f t="shared" si="3"/>
        <v>1.9703369382832085</v>
      </c>
      <c r="L6" s="2">
        <f t="shared" si="3"/>
        <v>1.8247863975407275</v>
      </c>
      <c r="M6" s="2">
        <f t="shared" si="3"/>
        <v>1.7010684379096181</v>
      </c>
    </row>
    <row r="7" spans="1:13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25">
      <c r="A8" s="2" t="s">
        <v>109</v>
      </c>
      <c r="B8" s="2">
        <v>152.93</v>
      </c>
      <c r="C8" s="37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.75" x14ac:dyDescent="0.25">
      <c r="A9" s="2" t="s">
        <v>110</v>
      </c>
      <c r="B9" s="2">
        <v>34.119999999999997</v>
      </c>
      <c r="C9" s="37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.75" x14ac:dyDescent="0.25">
      <c r="A10" s="2" t="s">
        <v>111</v>
      </c>
      <c r="B10" s="2">
        <v>2</v>
      </c>
      <c r="C10" s="37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.75" x14ac:dyDescent="0.25">
      <c r="A11" s="2" t="s">
        <v>99</v>
      </c>
      <c r="B11" s="2">
        <v>5</v>
      </c>
      <c r="C11" s="37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.75" x14ac:dyDescent="0.25">
      <c r="A12" s="2" t="s">
        <v>108</v>
      </c>
      <c r="B12" s="2">
        <v>10</v>
      </c>
      <c r="C12" s="37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75" x14ac:dyDescent="0.25">
      <c r="A13" s="2" t="s">
        <v>121</v>
      </c>
      <c r="B13" s="2">
        <v>12</v>
      </c>
      <c r="C13" s="37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.75" x14ac:dyDescent="0.25">
      <c r="A14" s="2" t="s">
        <v>98</v>
      </c>
      <c r="B14" s="2">
        <v>200</v>
      </c>
      <c r="C14" s="37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x14ac:dyDescent="0.25">
      <c r="A15" s="2" t="s">
        <v>100</v>
      </c>
      <c r="B15" s="2">
        <f>B14*B11</f>
        <v>1000</v>
      </c>
      <c r="C15" s="37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.75" x14ac:dyDescent="0.25">
      <c r="A16" s="2" t="s">
        <v>101</v>
      </c>
      <c r="B16" s="2">
        <f>B15*30.42*12</f>
        <v>365040</v>
      </c>
      <c r="C16" s="37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BP_Costing</vt:lpstr>
      <vt:lpstr>WithoutSubsidy</vt:lpstr>
      <vt:lpstr>CapexModel</vt:lpstr>
      <vt:lpstr>Subsidy</vt:lpstr>
      <vt:lpstr>Insurance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2018-05-09T10:27:40Z</dcterms:modified>
</cp:coreProperties>
</file>