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ESS\DMRC\"/>
    </mc:Choice>
  </mc:AlternateContent>
  <bookViews>
    <workbookView xWindow="0" yWindow="0" windowWidth="20490" windowHeight="7155"/>
  </bookViews>
  <sheets>
    <sheet name="DMRC_GC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 l="1"/>
  <c r="D29" i="1"/>
  <c r="D45" i="1"/>
  <c r="D43" i="1"/>
  <c r="E48" i="1"/>
  <c r="G15" i="1" l="1"/>
  <c r="D47" i="1" l="1"/>
  <c r="E47" i="1" s="1"/>
  <c r="D28" i="1"/>
  <c r="E28" i="1" s="1"/>
  <c r="E43" i="1" l="1"/>
  <c r="D44" i="1"/>
  <c r="E44" i="1" s="1"/>
  <c r="C40" i="1" l="1"/>
  <c r="E29" i="1"/>
  <c r="F29" i="1" s="1"/>
  <c r="F28" i="1"/>
  <c r="E46" i="1"/>
  <c r="E45" i="1"/>
  <c r="E49" i="1" s="1"/>
  <c r="C24" i="1"/>
  <c r="C25" i="1" s="1"/>
  <c r="D13" i="1"/>
  <c r="E13" i="1" s="1"/>
  <c r="G13" i="1" s="1"/>
  <c r="D7" i="1"/>
  <c r="E7" i="1" s="1"/>
  <c r="G7" i="1" s="1"/>
  <c r="E6" i="1"/>
  <c r="G6" i="1" s="1"/>
  <c r="E11" i="1"/>
  <c r="G11" i="1" s="1"/>
  <c r="E12" i="1"/>
  <c r="G12" i="1" s="1"/>
  <c r="E5" i="1"/>
  <c r="G5" i="1" s="1"/>
  <c r="H15" i="1" l="1"/>
  <c r="H40" i="1"/>
  <c r="D58" i="1" s="1"/>
  <c r="E50" i="1"/>
  <c r="E51" i="1" s="1"/>
  <c r="E58" i="1"/>
  <c r="H5" i="1"/>
  <c r="G29" i="1"/>
  <c r="G28" i="1"/>
  <c r="H7" i="1"/>
  <c r="H6" i="1"/>
  <c r="G14" i="1"/>
  <c r="D8" i="1"/>
  <c r="E8" i="1" s="1"/>
  <c r="G8" i="1" s="1"/>
  <c r="E52" i="1" l="1"/>
  <c r="H52" i="1" s="1"/>
  <c r="D55" i="1" s="1"/>
  <c r="G30" i="1"/>
  <c r="D57" i="1" s="1"/>
  <c r="G9" i="1"/>
  <c r="H8" i="1"/>
  <c r="G16" i="1" l="1"/>
  <c r="H16" i="1" s="1"/>
  <c r="H9" i="1"/>
  <c r="G18" i="1" l="1"/>
  <c r="G20" i="1" s="1"/>
  <c r="H18" i="1"/>
  <c r="H20" i="1" s="1"/>
  <c r="D56" i="1" l="1"/>
  <c r="D59" i="1" s="1"/>
</calcChain>
</file>

<file path=xl/sharedStrings.xml><?xml version="1.0" encoding="utf-8"?>
<sst xmlns="http://schemas.openxmlformats.org/spreadsheetml/2006/main" count="79" uniqueCount="72">
  <si>
    <t>Manager</t>
  </si>
  <si>
    <t xml:space="preserve">MIS </t>
  </si>
  <si>
    <t>Cash Section</t>
  </si>
  <si>
    <t>Ticket Checker</t>
  </si>
  <si>
    <t>No. of persons per shift</t>
  </si>
  <si>
    <t>No. of shifts</t>
  </si>
  <si>
    <t>Total Manpower</t>
  </si>
  <si>
    <t>Manpower Rate</t>
  </si>
  <si>
    <t>Manpower Cost/ month</t>
  </si>
  <si>
    <t>Total</t>
  </si>
  <si>
    <t>Manpower Cost</t>
  </si>
  <si>
    <t>No. of Buses</t>
  </si>
  <si>
    <t>Total Kilometers  /  day</t>
  </si>
  <si>
    <t>Total Kilometers  /  month</t>
  </si>
  <si>
    <t>Driver</t>
  </si>
  <si>
    <t>Conductor</t>
  </si>
  <si>
    <t>Cleaner &amp; other support</t>
  </si>
  <si>
    <t>Supervisory and Operation Team</t>
  </si>
  <si>
    <t>Kilometer/ bus/ day</t>
  </si>
  <si>
    <t>Cost/ kilometer</t>
  </si>
  <si>
    <t>DIMTS Margin</t>
  </si>
  <si>
    <t>Ticket/ Cash/ Checking Team</t>
  </si>
  <si>
    <t>A</t>
  </si>
  <si>
    <t>B</t>
  </si>
  <si>
    <t>C</t>
  </si>
  <si>
    <t>D</t>
  </si>
  <si>
    <t>E</t>
  </si>
  <si>
    <t>DIMTS Cost</t>
  </si>
  <si>
    <t>Capital Expenditure</t>
  </si>
  <si>
    <t>Bus</t>
  </si>
  <si>
    <t>Charger</t>
  </si>
  <si>
    <t>Electricity Distribution</t>
  </si>
  <si>
    <t>E&amp;C Charges</t>
  </si>
  <si>
    <t>AMC Charges for Bus</t>
  </si>
  <si>
    <t>AMC Charges for Charger</t>
  </si>
  <si>
    <t>Nos.</t>
  </si>
  <si>
    <t>Unit Cost</t>
  </si>
  <si>
    <t>Cost for 12 months</t>
  </si>
  <si>
    <t>Cost / Month</t>
  </si>
  <si>
    <t>Cost / km</t>
  </si>
  <si>
    <t>Power Charges</t>
  </si>
  <si>
    <t>Consumption kilowatt/ km</t>
  </si>
  <si>
    <t>Additional Electricity Consumption</t>
  </si>
  <si>
    <t>Power Factor</t>
  </si>
  <si>
    <t>Lossess</t>
  </si>
  <si>
    <t>Total Power Cost</t>
  </si>
  <si>
    <t>Total Cost Per Kilomter</t>
  </si>
  <si>
    <t>AMC Cost</t>
  </si>
  <si>
    <t>Capital Cost</t>
  </si>
  <si>
    <t>Electricity Cost</t>
  </si>
  <si>
    <t>Rs./ km</t>
  </si>
  <si>
    <t>Power Consumption/ km</t>
  </si>
  <si>
    <t>Descriptions</t>
  </si>
  <si>
    <t>SNo.</t>
  </si>
  <si>
    <t>Miscellaneous (Office furniture)</t>
  </si>
  <si>
    <t>Insurance</t>
  </si>
  <si>
    <t>Overheads (like uniform etc)</t>
  </si>
  <si>
    <t>Delhi Metro Rail Corp Ltd (DMRC)</t>
  </si>
  <si>
    <t>Pilot Project for E Bus (5 Nos) feeder service under punjabi bagh cluster</t>
  </si>
  <si>
    <t>27.04.2018</t>
  </si>
  <si>
    <t>Remarsks</t>
  </si>
  <si>
    <t>In DMRC Scope</t>
  </si>
  <si>
    <t>DIMTS to check for manpower rates</t>
  </si>
  <si>
    <t>Total Manpower cost &amp; other overheads</t>
  </si>
  <si>
    <t>Sub Total</t>
  </si>
  <si>
    <t>BHEL handling @12%</t>
  </si>
  <si>
    <t>BHEL Profit margin @10%</t>
  </si>
  <si>
    <t>5% of Charger cost</t>
  </si>
  <si>
    <t>Comprehensive AMC including battery replacement as advised by DIMTS</t>
  </si>
  <si>
    <t>Charging  Requirement Kwhr</t>
  </si>
  <si>
    <t>Unit Rate Rs/Kwhr</t>
  </si>
  <si>
    <t>2.5% of Bus cost yealy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</si>
</sst>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theme="9"/>
      </left>
      <right style="thin">
        <color theme="9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medium">
        <color theme="9"/>
      </top>
      <bottom style="thin">
        <color theme="9"/>
      </bottom>
      <diagonal/>
    </border>
    <border>
      <left style="medium">
        <color theme="9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theme="9"/>
      </left>
      <right/>
      <top/>
      <bottom/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/>
      <right style="dashed">
        <color indexed="64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4" fillId="0" borderId="0"/>
    <xf numFmtId="0" fontId="6" fillId="0" borderId="0"/>
    <xf numFmtId="9" fontId="6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43" fontId="0" fillId="0" borderId="0" xfId="1" applyNumberFormat="1" applyFont="1" applyBorder="1" applyAlignment="1">
      <alignment vertical="center"/>
    </xf>
    <xf numFmtId="0" fontId="0" fillId="0" borderId="4" xfId="0" applyFont="1" applyBorder="1" applyAlignment="1">
      <alignment vertical="center"/>
    </xf>
    <xf numFmtId="164" fontId="0" fillId="0" borderId="0" xfId="1" applyNumberFormat="1" applyFont="1" applyBorder="1" applyAlignment="1">
      <alignment vertical="center"/>
    </xf>
    <xf numFmtId="0" fontId="0" fillId="2" borderId="0" xfId="0" applyFont="1" applyFill="1" applyBorder="1" applyAlignment="1">
      <alignment horizontal="center" vertical="center"/>
    </xf>
    <xf numFmtId="43" fontId="0" fillId="2" borderId="0" xfId="1" applyNumberFormat="1" applyFont="1" applyFill="1" applyBorder="1" applyAlignment="1">
      <alignment vertical="center"/>
    </xf>
    <xf numFmtId="43" fontId="0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2" fontId="0" fillId="0" borderId="0" xfId="0" applyNumberFormat="1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9" fontId="0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43" fontId="3" fillId="0" borderId="0" xfId="1" applyNumberFormat="1" applyFont="1" applyBorder="1" applyAlignment="1">
      <alignment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10" fontId="0" fillId="0" borderId="0" xfId="0" applyNumberFormat="1" applyFont="1" applyBorder="1" applyAlignment="1">
      <alignment horizontal="center" vertical="center"/>
    </xf>
    <xf numFmtId="9" fontId="0" fillId="0" borderId="8" xfId="0" applyNumberFormat="1" applyFont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4" borderId="0" xfId="0" applyFont="1" applyFill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4" fontId="3" fillId="0" borderId="0" xfId="0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43" fontId="3" fillId="0" borderId="0" xfId="0" applyNumberFormat="1" applyFont="1" applyBorder="1" applyAlignment="1">
      <alignment vertical="center"/>
    </xf>
    <xf numFmtId="0" fontId="0" fillId="0" borderId="4" xfId="0" applyFont="1" applyBorder="1" applyAlignment="1">
      <alignment horizontal="left" vertical="center" wrapText="1"/>
    </xf>
    <xf numFmtId="2" fontId="3" fillId="0" borderId="0" xfId="0" applyNumberFormat="1" applyFont="1" applyBorder="1" applyAlignment="1">
      <alignment vertical="center"/>
    </xf>
    <xf numFmtId="2" fontId="0" fillId="0" borderId="0" xfId="0" applyNumberFormat="1" applyFont="1" applyBorder="1" applyAlignment="1">
      <alignment horizontal="right" vertical="center"/>
    </xf>
    <xf numFmtId="2" fontId="0" fillId="0" borderId="0" xfId="0" applyNumberFormat="1" applyFont="1" applyAlignment="1">
      <alignment vertical="center"/>
    </xf>
    <xf numFmtId="9" fontId="1" fillId="0" borderId="0" xfId="2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</cellXfs>
  <cellStyles count="7">
    <cellStyle name="Comma" xfId="1" builtinId="3"/>
    <cellStyle name="Normal" xfId="0" builtinId="0"/>
    <cellStyle name="Normal 2" xfId="4"/>
    <cellStyle name="Normal 3" xfId="3"/>
    <cellStyle name="Normal 4" xfId="5"/>
    <cellStyle name="Percent" xfId="2" builtinId="5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zoomScaleNormal="100" workbookViewId="0">
      <selection activeCell="C14" sqref="C14"/>
    </sheetView>
  </sheetViews>
  <sheetFormatPr defaultRowHeight="15" x14ac:dyDescent="0.25"/>
  <cols>
    <col min="1" max="1" width="6.140625" style="1" customWidth="1"/>
    <col min="2" max="2" width="38.28515625" style="2" customWidth="1"/>
    <col min="3" max="3" width="15.42578125" style="1" customWidth="1"/>
    <col min="4" max="4" width="12.140625" style="2" customWidth="1"/>
    <col min="5" max="5" width="14.140625" style="2" customWidth="1"/>
    <col min="6" max="6" width="13.7109375" style="2" customWidth="1"/>
    <col min="7" max="7" width="14.85546875" style="2" bestFit="1" customWidth="1"/>
    <col min="8" max="8" width="13" style="2" customWidth="1"/>
    <col min="9" max="9" width="31" style="2" customWidth="1"/>
    <col min="10" max="16384" width="9.140625" style="2"/>
  </cols>
  <sheetData>
    <row r="1" spans="1:9" ht="18.75" x14ac:dyDescent="0.25">
      <c r="A1" s="36" t="s">
        <v>57</v>
      </c>
      <c r="I1" s="34" t="s">
        <v>59</v>
      </c>
    </row>
    <row r="2" spans="1:9" ht="19.5" thickBot="1" x14ac:dyDescent="0.3">
      <c r="A2" s="36" t="s">
        <v>58</v>
      </c>
    </row>
    <row r="3" spans="1:9" ht="30" x14ac:dyDescent="0.25">
      <c r="A3" s="3" t="s">
        <v>53</v>
      </c>
      <c r="B3" s="4" t="s">
        <v>52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19</v>
      </c>
      <c r="I3" s="5" t="s">
        <v>60</v>
      </c>
    </row>
    <row r="4" spans="1:9" x14ac:dyDescent="0.25">
      <c r="A4" s="37" t="s">
        <v>22</v>
      </c>
      <c r="B4" s="6" t="s">
        <v>17</v>
      </c>
      <c r="C4" s="7"/>
      <c r="D4" s="7"/>
      <c r="E4" s="7"/>
      <c r="F4" s="7"/>
      <c r="G4" s="7"/>
      <c r="H4" s="7"/>
      <c r="I4" s="9"/>
    </row>
    <row r="5" spans="1:9" x14ac:dyDescent="0.25">
      <c r="A5" s="10">
        <v>1</v>
      </c>
      <c r="B5" s="11" t="s">
        <v>0</v>
      </c>
      <c r="C5" s="12">
        <v>1</v>
      </c>
      <c r="D5" s="11">
        <v>1</v>
      </c>
      <c r="E5" s="11">
        <f>+C5*D5</f>
        <v>1</v>
      </c>
      <c r="F5" s="11">
        <v>50000</v>
      </c>
      <c r="G5" s="11">
        <f>+E5*F5</f>
        <v>50000</v>
      </c>
      <c r="H5" s="13">
        <f>+G5/$C$25</f>
        <v>1.6436554898093361</v>
      </c>
      <c r="I5" s="14"/>
    </row>
    <row r="6" spans="1:9" x14ac:dyDescent="0.25">
      <c r="A6" s="10">
        <v>2</v>
      </c>
      <c r="B6" s="11" t="s">
        <v>1</v>
      </c>
      <c r="C6" s="12">
        <v>2</v>
      </c>
      <c r="D6" s="11">
        <v>1</v>
      </c>
      <c r="E6" s="11">
        <f t="shared" ref="E6:E13" si="0">+C6*D6</f>
        <v>2</v>
      </c>
      <c r="F6" s="11">
        <v>25000</v>
      </c>
      <c r="G6" s="11">
        <f t="shared" ref="G6:G8" si="1">+E6*F6</f>
        <v>50000</v>
      </c>
      <c r="H6" s="13">
        <f>+G6/$C$25</f>
        <v>1.6436554898093361</v>
      </c>
      <c r="I6" s="14"/>
    </row>
    <row r="7" spans="1:9" ht="30" x14ac:dyDescent="0.25">
      <c r="A7" s="10">
        <v>3</v>
      </c>
      <c r="B7" s="11" t="s">
        <v>14</v>
      </c>
      <c r="C7" s="12">
        <v>5</v>
      </c>
      <c r="D7" s="11">
        <f>30.42*2</f>
        <v>60.84</v>
      </c>
      <c r="E7" s="11">
        <f>+C7*D7</f>
        <v>304.20000000000005</v>
      </c>
      <c r="F7" s="35">
        <v>1000</v>
      </c>
      <c r="G7" s="11">
        <f t="shared" si="1"/>
        <v>304200.00000000006</v>
      </c>
      <c r="H7" s="13">
        <f>+G7/$C$25</f>
        <v>10.000000000000002</v>
      </c>
      <c r="I7" s="43" t="s">
        <v>62</v>
      </c>
    </row>
    <row r="8" spans="1:9" ht="30" x14ac:dyDescent="0.25">
      <c r="A8" s="10">
        <v>4</v>
      </c>
      <c r="B8" s="11" t="s">
        <v>16</v>
      </c>
      <c r="C8" s="12">
        <v>4</v>
      </c>
      <c r="D8" s="11">
        <f>+D7</f>
        <v>60.84</v>
      </c>
      <c r="E8" s="11">
        <f>+C8*D8</f>
        <v>243.36</v>
      </c>
      <c r="F8" s="35">
        <v>900</v>
      </c>
      <c r="G8" s="11">
        <f t="shared" si="1"/>
        <v>219024</v>
      </c>
      <c r="H8" s="13">
        <f>+G8/$C$25</f>
        <v>7.2</v>
      </c>
      <c r="I8" s="43" t="s">
        <v>62</v>
      </c>
    </row>
    <row r="9" spans="1:9" x14ac:dyDescent="0.25">
      <c r="A9" s="10"/>
      <c r="B9" s="11"/>
      <c r="C9" s="12"/>
      <c r="D9" s="11"/>
      <c r="E9" s="11"/>
      <c r="F9" s="11"/>
      <c r="G9" s="15">
        <f>SUM(G5:G8)</f>
        <v>623224</v>
      </c>
      <c r="H9" s="13">
        <f>+G9/$C$25</f>
        <v>20.487310979618673</v>
      </c>
      <c r="I9" s="14"/>
    </row>
    <row r="10" spans="1:9" x14ac:dyDescent="0.25">
      <c r="A10" s="38" t="s">
        <v>23</v>
      </c>
      <c r="B10" s="6" t="s">
        <v>21</v>
      </c>
      <c r="C10" s="16"/>
      <c r="D10" s="8"/>
      <c r="E10" s="8"/>
      <c r="F10" s="8"/>
      <c r="G10" s="8"/>
      <c r="H10" s="17"/>
      <c r="I10" s="9" t="s">
        <v>61</v>
      </c>
    </row>
    <row r="11" spans="1:9" x14ac:dyDescent="0.25">
      <c r="A11" s="10">
        <v>1</v>
      </c>
      <c r="B11" s="11" t="s">
        <v>2</v>
      </c>
      <c r="C11" s="12">
        <v>0</v>
      </c>
      <c r="D11" s="11">
        <v>1</v>
      </c>
      <c r="E11" s="11">
        <f>+C11*D11</f>
        <v>0</v>
      </c>
      <c r="F11" s="11">
        <v>20000</v>
      </c>
      <c r="G11" s="11">
        <f t="shared" ref="G11:G13" si="2">+E11*F11</f>
        <v>0</v>
      </c>
      <c r="H11" s="13">
        <v>0</v>
      </c>
      <c r="I11" s="14"/>
    </row>
    <row r="12" spans="1:9" x14ac:dyDescent="0.25">
      <c r="A12" s="10">
        <v>2</v>
      </c>
      <c r="B12" s="11" t="s">
        <v>3</v>
      </c>
      <c r="C12" s="12">
        <v>0</v>
      </c>
      <c r="D12" s="11">
        <v>2</v>
      </c>
      <c r="E12" s="11">
        <f>+C12*D12</f>
        <v>0</v>
      </c>
      <c r="F12" s="35">
        <v>15000</v>
      </c>
      <c r="G12" s="11">
        <f t="shared" si="2"/>
        <v>0</v>
      </c>
      <c r="H12" s="13">
        <v>0</v>
      </c>
      <c r="I12" s="14"/>
    </row>
    <row r="13" spans="1:9" x14ac:dyDescent="0.25">
      <c r="A13" s="10">
        <v>3</v>
      </c>
      <c r="B13" s="11" t="s">
        <v>15</v>
      </c>
      <c r="C13" s="12">
        <v>0</v>
      </c>
      <c r="D13" s="11">
        <f>30.42*2</f>
        <v>60.84</v>
      </c>
      <c r="E13" s="11">
        <f t="shared" si="0"/>
        <v>0</v>
      </c>
      <c r="F13" s="35">
        <v>500</v>
      </c>
      <c r="G13" s="11">
        <f t="shared" si="2"/>
        <v>0</v>
      </c>
      <c r="H13" s="13">
        <v>0</v>
      </c>
      <c r="I13" s="14"/>
    </row>
    <row r="14" spans="1:9" x14ac:dyDescent="0.25">
      <c r="A14" s="10"/>
      <c r="B14" s="11"/>
      <c r="C14" s="12"/>
      <c r="D14" s="11"/>
      <c r="E14" s="11"/>
      <c r="F14" s="11"/>
      <c r="G14" s="15">
        <f>SUM(G11:G13)</f>
        <v>0</v>
      </c>
      <c r="H14" s="13">
        <v>0</v>
      </c>
      <c r="I14" s="14"/>
    </row>
    <row r="15" spans="1:9" x14ac:dyDescent="0.25">
      <c r="A15" s="10"/>
      <c r="B15" s="11" t="s">
        <v>56</v>
      </c>
      <c r="C15" s="12"/>
      <c r="D15" s="11"/>
      <c r="E15" s="11"/>
      <c r="F15" s="11"/>
      <c r="G15" s="15">
        <f>(145.92*(10^5))/ (10*12)</f>
        <v>121599.99999999999</v>
      </c>
      <c r="H15" s="13">
        <f>+G15/$C$25</f>
        <v>3.9973701512163045</v>
      </c>
      <c r="I15" s="14"/>
    </row>
    <row r="16" spans="1:9" s="41" customFormat="1" x14ac:dyDescent="0.25">
      <c r="A16" s="38" t="s">
        <v>24</v>
      </c>
      <c r="B16" s="25" t="s">
        <v>63</v>
      </c>
      <c r="C16" s="26"/>
      <c r="D16" s="25"/>
      <c r="E16" s="25"/>
      <c r="F16" s="25"/>
      <c r="G16" s="39">
        <f>+G9+G14+G15</f>
        <v>744824</v>
      </c>
      <c r="H16" s="27">
        <f>+G16/$C$25</f>
        <v>24.484681130834979</v>
      </c>
      <c r="I16" s="40"/>
    </row>
    <row r="17" spans="1:9" x14ac:dyDescent="0.25">
      <c r="A17" s="10"/>
      <c r="B17" s="11"/>
      <c r="C17" s="12"/>
      <c r="D17" s="11"/>
      <c r="E17" s="11"/>
      <c r="F17" s="11"/>
      <c r="G17" s="11"/>
      <c r="H17" s="11"/>
      <c r="I17" s="14"/>
    </row>
    <row r="18" spans="1:9" s="41" customFormat="1" x14ac:dyDescent="0.25">
      <c r="A18" s="38" t="s">
        <v>25</v>
      </c>
      <c r="B18" s="25" t="s">
        <v>20</v>
      </c>
      <c r="C18" s="47">
        <v>0.2</v>
      </c>
      <c r="D18" s="25"/>
      <c r="E18" s="25"/>
      <c r="F18" s="25"/>
      <c r="G18" s="42">
        <f>+$C$18*G16</f>
        <v>148964.80000000002</v>
      </c>
      <c r="H18" s="42">
        <f>+$C$18*H16</f>
        <v>4.8969362261669964</v>
      </c>
      <c r="I18" s="40"/>
    </row>
    <row r="19" spans="1:9" x14ac:dyDescent="0.25">
      <c r="A19" s="10"/>
      <c r="B19" s="11"/>
      <c r="C19" s="12"/>
      <c r="D19" s="11"/>
      <c r="E19" s="11"/>
      <c r="F19" s="11"/>
      <c r="G19" s="11"/>
      <c r="H19" s="11"/>
      <c r="I19" s="14"/>
    </row>
    <row r="20" spans="1:9" s="41" customFormat="1" x14ac:dyDescent="0.25">
      <c r="A20" s="38" t="s">
        <v>26</v>
      </c>
      <c r="B20" s="25" t="s">
        <v>27</v>
      </c>
      <c r="C20" s="26"/>
      <c r="D20" s="25"/>
      <c r="E20" s="25"/>
      <c r="F20" s="25"/>
      <c r="G20" s="42">
        <f>+G18+G16</f>
        <v>893788.8</v>
      </c>
      <c r="H20" s="42">
        <f>+H18+H16</f>
        <v>29.381617357001975</v>
      </c>
      <c r="I20" s="40"/>
    </row>
    <row r="21" spans="1:9" x14ac:dyDescent="0.25">
      <c r="A21" s="10"/>
      <c r="B21" s="11"/>
      <c r="C21" s="12"/>
      <c r="D21" s="11"/>
      <c r="E21" s="11"/>
      <c r="F21" s="11"/>
      <c r="G21" s="11"/>
      <c r="H21" s="11"/>
      <c r="I21" s="14"/>
    </row>
    <row r="22" spans="1:9" x14ac:dyDescent="0.25">
      <c r="A22" s="10"/>
      <c r="B22" s="11" t="s">
        <v>18</v>
      </c>
      <c r="C22" s="12">
        <v>200</v>
      </c>
      <c r="D22" s="11"/>
      <c r="E22" s="11"/>
      <c r="F22" s="11"/>
      <c r="G22" s="11"/>
      <c r="H22" s="11"/>
      <c r="I22" s="14"/>
    </row>
    <row r="23" spans="1:9" x14ac:dyDescent="0.25">
      <c r="A23" s="10"/>
      <c r="B23" s="11" t="s">
        <v>11</v>
      </c>
      <c r="C23" s="12">
        <v>5</v>
      </c>
      <c r="D23" s="11"/>
      <c r="E23" s="11"/>
      <c r="F23" s="11"/>
      <c r="G23" s="11"/>
      <c r="H23" s="11"/>
      <c r="I23" s="14"/>
    </row>
    <row r="24" spans="1:9" x14ac:dyDescent="0.25">
      <c r="A24" s="10"/>
      <c r="B24" s="11" t="s">
        <v>12</v>
      </c>
      <c r="C24" s="12">
        <f>+C22*C23</f>
        <v>1000</v>
      </c>
      <c r="D24" s="11"/>
      <c r="E24" s="11"/>
      <c r="F24" s="11"/>
      <c r="G24" s="11"/>
      <c r="H24" s="11"/>
      <c r="I24" s="14"/>
    </row>
    <row r="25" spans="1:9" x14ac:dyDescent="0.25">
      <c r="A25" s="10"/>
      <c r="B25" s="11" t="s">
        <v>13</v>
      </c>
      <c r="C25" s="12">
        <f>+C24*30.42</f>
        <v>30420</v>
      </c>
      <c r="D25" s="11"/>
      <c r="E25" s="11"/>
      <c r="F25" s="11"/>
      <c r="G25" s="11"/>
      <c r="H25" s="11"/>
      <c r="I25" s="14"/>
    </row>
    <row r="26" spans="1:9" x14ac:dyDescent="0.25">
      <c r="A26" s="10"/>
      <c r="B26" s="11"/>
      <c r="C26" s="12"/>
      <c r="D26" s="11"/>
      <c r="E26" s="11"/>
      <c r="F26" s="11"/>
      <c r="G26" s="11"/>
      <c r="H26" s="11"/>
      <c r="I26" s="14"/>
    </row>
    <row r="27" spans="1:9" ht="30" x14ac:dyDescent="0.25">
      <c r="A27" s="10"/>
      <c r="B27" s="11"/>
      <c r="C27" s="12" t="s">
        <v>35</v>
      </c>
      <c r="D27" s="11" t="s">
        <v>36</v>
      </c>
      <c r="E27" s="11" t="s">
        <v>38</v>
      </c>
      <c r="F27" s="19" t="s">
        <v>37</v>
      </c>
      <c r="G27" s="12" t="s">
        <v>39</v>
      </c>
      <c r="H27" s="11"/>
      <c r="I27" s="14"/>
    </row>
    <row r="28" spans="1:9" ht="45" x14ac:dyDescent="0.25">
      <c r="A28" s="10"/>
      <c r="B28" s="11" t="s">
        <v>33</v>
      </c>
      <c r="C28" s="12">
        <v>5</v>
      </c>
      <c r="D28" s="20">
        <f>584/(5*10*12)</f>
        <v>0.97333333333333338</v>
      </c>
      <c r="E28" s="20">
        <f>+C28*D28</f>
        <v>4.8666666666666671</v>
      </c>
      <c r="F28" s="11">
        <f>+E28*12</f>
        <v>58.400000000000006</v>
      </c>
      <c r="G28" s="20">
        <f>+E28/$C$25*10^5</f>
        <v>15.998246767477537</v>
      </c>
      <c r="H28" s="11"/>
      <c r="I28" s="43" t="s">
        <v>68</v>
      </c>
    </row>
    <row r="29" spans="1:9" x14ac:dyDescent="0.25">
      <c r="A29" s="10"/>
      <c r="B29" s="11" t="s">
        <v>34</v>
      </c>
      <c r="C29" s="12">
        <v>3</v>
      </c>
      <c r="D29" s="20">
        <f>39/(3*10*12)</f>
        <v>0.10833333333333334</v>
      </c>
      <c r="E29" s="20">
        <f>+C29*D29</f>
        <v>0.32500000000000001</v>
      </c>
      <c r="F29" s="21">
        <f>+E29*12</f>
        <v>3.9000000000000004</v>
      </c>
      <c r="G29" s="20">
        <f>+E29/$C$25*10^5</f>
        <v>1.0683760683760684</v>
      </c>
      <c r="H29" s="11"/>
      <c r="I29" s="14" t="s">
        <v>67</v>
      </c>
    </row>
    <row r="30" spans="1:9" x14ac:dyDescent="0.25">
      <c r="A30" s="10"/>
      <c r="B30" s="11" t="s">
        <v>9</v>
      </c>
      <c r="C30" s="12"/>
      <c r="D30" s="11"/>
      <c r="E30" s="11"/>
      <c r="F30" s="11"/>
      <c r="G30" s="20">
        <f>SUM(G28:G29)</f>
        <v>17.066622835853607</v>
      </c>
      <c r="H30" s="11"/>
      <c r="I30" s="14"/>
    </row>
    <row r="31" spans="1:9" x14ac:dyDescent="0.25">
      <c r="A31" s="10"/>
      <c r="B31" s="11"/>
      <c r="C31" s="12"/>
      <c r="D31" s="11"/>
      <c r="E31" s="11"/>
      <c r="F31" s="11"/>
      <c r="G31" s="11"/>
      <c r="H31" s="11"/>
      <c r="I31" s="14"/>
    </row>
    <row r="32" spans="1:9" x14ac:dyDescent="0.25">
      <c r="A32" s="10"/>
      <c r="B32" s="11" t="s">
        <v>40</v>
      </c>
      <c r="C32" s="12"/>
      <c r="D32" s="11"/>
      <c r="E32" s="11"/>
      <c r="F32" s="11"/>
      <c r="G32" s="12"/>
      <c r="H32" s="11"/>
      <c r="I32" s="14"/>
    </row>
    <row r="33" spans="1:9" x14ac:dyDescent="0.25">
      <c r="A33" s="10"/>
      <c r="B33" s="22" t="s">
        <v>41</v>
      </c>
      <c r="C33" s="12"/>
      <c r="D33" s="11"/>
      <c r="E33" s="11"/>
      <c r="F33" s="11"/>
      <c r="G33" s="23"/>
      <c r="H33" s="11"/>
      <c r="I33" s="14"/>
    </row>
    <row r="34" spans="1:9" x14ac:dyDescent="0.25">
      <c r="A34" s="10"/>
      <c r="B34" s="22" t="s">
        <v>69</v>
      </c>
      <c r="C34" s="12"/>
      <c r="D34" s="11"/>
      <c r="E34" s="11"/>
      <c r="F34" s="11"/>
      <c r="G34" s="11">
        <v>240</v>
      </c>
      <c r="H34" s="11"/>
      <c r="I34" s="14"/>
    </row>
    <row r="35" spans="1:9" x14ac:dyDescent="0.25">
      <c r="A35" s="10"/>
      <c r="B35" s="22" t="s">
        <v>42</v>
      </c>
      <c r="C35" s="12"/>
      <c r="D35" s="11"/>
      <c r="E35" s="11"/>
      <c r="F35" s="11"/>
      <c r="G35" s="24">
        <v>0.1</v>
      </c>
      <c r="H35" s="11"/>
      <c r="I35" s="14"/>
    </row>
    <row r="36" spans="1:9" x14ac:dyDescent="0.25">
      <c r="A36" s="10"/>
      <c r="B36" s="22" t="s">
        <v>43</v>
      </c>
      <c r="C36" s="12"/>
      <c r="D36" s="11"/>
      <c r="E36" s="11"/>
      <c r="F36" s="11"/>
      <c r="G36" s="11">
        <v>0.9</v>
      </c>
      <c r="H36" s="11"/>
      <c r="I36" s="14"/>
    </row>
    <row r="37" spans="1:9" x14ac:dyDescent="0.25">
      <c r="A37" s="10"/>
      <c r="B37" s="22" t="s">
        <v>44</v>
      </c>
      <c r="C37" s="12"/>
      <c r="D37" s="11"/>
      <c r="E37" s="11"/>
      <c r="F37" s="11"/>
      <c r="G37" s="24">
        <v>0.05</v>
      </c>
      <c r="H37" s="11"/>
      <c r="I37" s="14"/>
    </row>
    <row r="38" spans="1:9" x14ac:dyDescent="0.25">
      <c r="A38" s="10"/>
      <c r="B38" s="22" t="s">
        <v>51</v>
      </c>
      <c r="C38" s="12"/>
      <c r="D38" s="11"/>
      <c r="E38" s="11"/>
      <c r="F38" s="11"/>
      <c r="G38" s="11"/>
      <c r="H38" s="11"/>
      <c r="I38" s="14"/>
    </row>
    <row r="39" spans="1:9" x14ac:dyDescent="0.25">
      <c r="A39" s="10"/>
      <c r="B39" s="22" t="s">
        <v>70</v>
      </c>
      <c r="C39" s="12"/>
      <c r="D39" s="11"/>
      <c r="E39" s="11"/>
      <c r="F39" s="11"/>
      <c r="G39" s="11">
        <v>8</v>
      </c>
      <c r="H39" s="11"/>
      <c r="I39" s="14"/>
    </row>
    <row r="40" spans="1:9" x14ac:dyDescent="0.25">
      <c r="A40" s="10"/>
      <c r="B40" s="22" t="s">
        <v>45</v>
      </c>
      <c r="C40" s="12">
        <f>+C38*C39</f>
        <v>0</v>
      </c>
      <c r="D40" s="11"/>
      <c r="E40" s="11"/>
      <c r="F40" s="11"/>
      <c r="G40" s="45">
        <f>(((G34*(1+G35+G37))/G36)*G39*5*30*12)/100000</f>
        <v>44.160000000000018</v>
      </c>
      <c r="H40" s="44">
        <f>G40*100000/(C25*12)</f>
        <v>12.097304404996718</v>
      </c>
      <c r="I40" s="14"/>
    </row>
    <row r="41" spans="1:9" x14ac:dyDescent="0.25">
      <c r="A41" s="10"/>
      <c r="B41" s="11"/>
      <c r="C41" s="12"/>
      <c r="D41" s="11"/>
      <c r="E41" s="11"/>
      <c r="F41" s="11"/>
      <c r="G41" s="11"/>
      <c r="H41" s="11"/>
      <c r="I41" s="14"/>
    </row>
    <row r="42" spans="1:9" x14ac:dyDescent="0.25">
      <c r="A42" s="10"/>
      <c r="B42" s="6" t="s">
        <v>28</v>
      </c>
      <c r="C42" s="16"/>
      <c r="D42" s="8"/>
      <c r="E42" s="8"/>
      <c r="F42" s="8"/>
      <c r="G42" s="16"/>
      <c r="H42" s="8"/>
      <c r="I42" s="9"/>
    </row>
    <row r="43" spans="1:9" x14ac:dyDescent="0.25">
      <c r="A43" s="10"/>
      <c r="B43" s="11" t="s">
        <v>29</v>
      </c>
      <c r="C43" s="12">
        <v>5</v>
      </c>
      <c r="D43" s="20">
        <f>200</f>
        <v>200</v>
      </c>
      <c r="E43" s="20">
        <f>+C43*D43</f>
        <v>1000</v>
      </c>
      <c r="F43" s="11"/>
      <c r="H43" s="11"/>
      <c r="I43" s="14"/>
    </row>
    <row r="44" spans="1:9" x14ac:dyDescent="0.25">
      <c r="A44" s="10"/>
      <c r="B44" s="11" t="s">
        <v>55</v>
      </c>
      <c r="C44" s="12">
        <v>5</v>
      </c>
      <c r="D44" s="20">
        <f>D43*2.5%</f>
        <v>5</v>
      </c>
      <c r="E44" s="20">
        <f>+C44*D44*0.8</f>
        <v>20</v>
      </c>
      <c r="F44" s="11"/>
      <c r="G44" s="11"/>
      <c r="H44" s="11"/>
      <c r="I44" s="14" t="s">
        <v>71</v>
      </c>
    </row>
    <row r="45" spans="1:9" x14ac:dyDescent="0.25">
      <c r="A45" s="10"/>
      <c r="B45" s="11" t="s">
        <v>30</v>
      </c>
      <c r="C45" s="12">
        <v>3</v>
      </c>
      <c r="D45" s="20">
        <f>25</f>
        <v>25</v>
      </c>
      <c r="E45" s="20">
        <f>+C45*D45</f>
        <v>75</v>
      </c>
      <c r="F45" s="11"/>
      <c r="G45" s="11"/>
      <c r="H45" s="11"/>
      <c r="I45" s="14"/>
    </row>
    <row r="46" spans="1:9" x14ac:dyDescent="0.25">
      <c r="A46" s="10"/>
      <c r="B46" s="11" t="s">
        <v>31</v>
      </c>
      <c r="C46" s="12">
        <v>1</v>
      </c>
      <c r="D46" s="20">
        <v>10</v>
      </c>
      <c r="E46" s="20">
        <f>+C46*D46</f>
        <v>10</v>
      </c>
      <c r="F46" s="11"/>
      <c r="G46" s="11"/>
      <c r="H46" s="20"/>
      <c r="I46" s="14"/>
    </row>
    <row r="47" spans="1:9" x14ac:dyDescent="0.25">
      <c r="A47" s="10"/>
      <c r="B47" s="11" t="s">
        <v>32</v>
      </c>
      <c r="C47" s="12">
        <v>3</v>
      </c>
      <c r="D47" s="11">
        <f>D45*15%</f>
        <v>3.75</v>
      </c>
      <c r="E47" s="20">
        <f>+C47*D47</f>
        <v>11.25</v>
      </c>
      <c r="F47" s="11"/>
      <c r="G47" s="11"/>
      <c r="H47" s="20"/>
      <c r="I47" s="14"/>
    </row>
    <row r="48" spans="1:9" x14ac:dyDescent="0.25">
      <c r="A48" s="10"/>
      <c r="B48" s="11" t="s">
        <v>54</v>
      </c>
      <c r="C48" s="12">
        <v>1</v>
      </c>
      <c r="D48" s="11">
        <v>5</v>
      </c>
      <c r="E48" s="20">
        <f>+C48*D48</f>
        <v>5</v>
      </c>
      <c r="F48" s="11"/>
      <c r="G48" s="11"/>
      <c r="H48" s="11"/>
      <c r="I48" s="14"/>
    </row>
    <row r="49" spans="1:12" x14ac:dyDescent="0.25">
      <c r="A49" s="10"/>
      <c r="B49" s="11" t="s">
        <v>64</v>
      </c>
      <c r="C49" s="12"/>
      <c r="D49" s="11"/>
      <c r="E49" s="20">
        <f>SUM(E43:E48)</f>
        <v>1121.25</v>
      </c>
      <c r="F49" s="11"/>
      <c r="G49" s="11"/>
      <c r="H49" s="11"/>
      <c r="I49" s="14"/>
    </row>
    <row r="50" spans="1:12" x14ac:dyDescent="0.25">
      <c r="A50" s="10"/>
      <c r="B50" s="11" t="s">
        <v>65</v>
      </c>
      <c r="C50" s="12"/>
      <c r="D50" s="11"/>
      <c r="E50" s="20">
        <f>E49*12%</f>
        <v>134.54999999999998</v>
      </c>
      <c r="F50" s="11"/>
      <c r="G50" s="11"/>
      <c r="H50" s="11"/>
      <c r="I50" s="14"/>
    </row>
    <row r="51" spans="1:12" x14ac:dyDescent="0.25">
      <c r="A51" s="10"/>
      <c r="B51" s="11" t="s">
        <v>66</v>
      </c>
      <c r="C51" s="12"/>
      <c r="D51" s="11"/>
      <c r="E51" s="20">
        <f>(E49+E50)*0.1</f>
        <v>125.58</v>
      </c>
      <c r="F51" s="11"/>
      <c r="G51" s="11"/>
      <c r="H51" s="11"/>
      <c r="I51" s="14"/>
    </row>
    <row r="52" spans="1:12" s="41" customFormat="1" x14ac:dyDescent="0.25">
      <c r="A52" s="38"/>
      <c r="B52" s="25" t="s">
        <v>9</v>
      </c>
      <c r="C52" s="26"/>
      <c r="D52" s="25"/>
      <c r="E52" s="44">
        <f>E49+E50+E51</f>
        <v>1381.3799999999999</v>
      </c>
      <c r="F52" s="25"/>
      <c r="G52" s="25"/>
      <c r="H52" s="44">
        <f>100000*E52/(C25*12*10)</f>
        <v>37.841880341880341</v>
      </c>
      <c r="I52" s="40"/>
    </row>
    <row r="53" spans="1:12" s="41" customFormat="1" x14ac:dyDescent="0.25">
      <c r="A53" s="38"/>
      <c r="B53" s="25"/>
      <c r="C53" s="48"/>
      <c r="D53" s="25"/>
      <c r="E53" s="44"/>
      <c r="F53" s="25"/>
      <c r="G53" s="25"/>
      <c r="H53" s="25"/>
      <c r="I53" s="40"/>
    </row>
    <row r="54" spans="1:12" x14ac:dyDescent="0.25">
      <c r="A54" s="10"/>
      <c r="B54" s="6" t="s">
        <v>46</v>
      </c>
      <c r="C54" s="16"/>
      <c r="D54" s="8"/>
      <c r="E54" s="8"/>
      <c r="F54" s="8"/>
      <c r="G54" s="8"/>
      <c r="H54" s="8"/>
      <c r="I54" s="9"/>
    </row>
    <row r="55" spans="1:12" x14ac:dyDescent="0.25">
      <c r="A55" s="10"/>
      <c r="B55" s="11" t="s">
        <v>48</v>
      </c>
      <c r="C55" s="12" t="s">
        <v>50</v>
      </c>
      <c r="D55" s="13">
        <f>+H52</f>
        <v>37.841880341880341</v>
      </c>
      <c r="E55" s="11"/>
      <c r="F55" s="11"/>
      <c r="G55" s="11"/>
      <c r="H55" s="11"/>
      <c r="I55" s="14"/>
    </row>
    <row r="56" spans="1:12" x14ac:dyDescent="0.25">
      <c r="A56" s="10"/>
      <c r="B56" s="11" t="s">
        <v>10</v>
      </c>
      <c r="C56" s="12" t="s">
        <v>50</v>
      </c>
      <c r="D56" s="13">
        <f>+H20</f>
        <v>29.381617357001975</v>
      </c>
      <c r="E56" s="18"/>
      <c r="F56" s="11"/>
      <c r="G56" s="11"/>
      <c r="H56" s="11"/>
      <c r="I56" s="14"/>
    </row>
    <row r="57" spans="1:12" x14ac:dyDescent="0.25">
      <c r="A57" s="10"/>
      <c r="B57" s="11" t="s">
        <v>47</v>
      </c>
      <c r="C57" s="12" t="s">
        <v>50</v>
      </c>
      <c r="D57" s="13">
        <f>+G30</f>
        <v>17.066622835853607</v>
      </c>
      <c r="E57" s="11"/>
      <c r="F57" s="11"/>
      <c r="G57" s="11"/>
      <c r="H57" s="11"/>
      <c r="I57" s="14"/>
    </row>
    <row r="58" spans="1:12" x14ac:dyDescent="0.25">
      <c r="A58" s="10"/>
      <c r="B58" s="11" t="s">
        <v>49</v>
      </c>
      <c r="C58" s="12" t="s">
        <v>50</v>
      </c>
      <c r="D58" s="46">
        <f>H40</f>
        <v>12.097304404996718</v>
      </c>
      <c r="E58" s="13">
        <f>+G33</f>
        <v>0</v>
      </c>
      <c r="F58" s="11"/>
      <c r="G58" s="11"/>
      <c r="H58" s="11"/>
      <c r="I58" s="14"/>
    </row>
    <row r="59" spans="1:12" x14ac:dyDescent="0.25">
      <c r="A59" s="10"/>
      <c r="B59" s="25" t="s">
        <v>46</v>
      </c>
      <c r="C59" s="26" t="s">
        <v>50</v>
      </c>
      <c r="D59" s="27">
        <f>SUM(D55:D58)</f>
        <v>96.387424939732639</v>
      </c>
      <c r="E59" s="11"/>
      <c r="F59" s="11"/>
      <c r="G59" s="11"/>
      <c r="H59" s="11"/>
      <c r="I59" s="14"/>
    </row>
    <row r="60" spans="1:12" x14ac:dyDescent="0.25">
      <c r="A60" s="28"/>
      <c r="B60" s="11"/>
      <c r="C60" s="32"/>
      <c r="D60" s="11"/>
      <c r="E60" s="11"/>
      <c r="F60" s="11"/>
      <c r="G60" s="11"/>
      <c r="H60" s="11"/>
      <c r="I60" s="14"/>
    </row>
    <row r="61" spans="1:12" ht="15.75" thickBot="1" x14ac:dyDescent="0.3">
      <c r="A61" s="29"/>
      <c r="B61" s="30"/>
      <c r="C61" s="33"/>
      <c r="D61" s="30"/>
      <c r="E61" s="30"/>
      <c r="F61" s="30"/>
      <c r="G61" s="30"/>
      <c r="H61" s="30"/>
      <c r="I61" s="31"/>
    </row>
    <row r="62" spans="1:12" hidden="1" x14ac:dyDescent="0.25">
      <c r="A62" s="16"/>
      <c r="B62" s="11"/>
      <c r="C62" s="12">
        <v>0</v>
      </c>
      <c r="D62" s="12">
        <v>1</v>
      </c>
      <c r="E62" s="12">
        <v>2</v>
      </c>
      <c r="F62" s="12">
        <v>3</v>
      </c>
      <c r="G62" s="12">
        <v>4</v>
      </c>
      <c r="H62" s="12">
        <v>5</v>
      </c>
      <c r="I62" s="12">
        <v>7</v>
      </c>
      <c r="J62" s="12">
        <v>8</v>
      </c>
      <c r="K62" s="12">
        <v>9</v>
      </c>
      <c r="L62" s="12">
        <v>10</v>
      </c>
    </row>
  </sheetData>
  <pageMargins left="0.7" right="0.7" top="0.75" bottom="0.75" header="0.3" footer="0.3"/>
  <pageSetup paperSize="9" scale="55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DMRC_GCC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DIMTS</dc:creator>
  <cp:lastModifiedBy>Kumar Anand</cp:lastModifiedBy>
  <dcterms:created xsi:type="dcterms:W3CDTF">2018-04-20T09:34:54Z</dcterms:created>
  <dcterms:modified xsi:type="dcterms:W3CDTF">2018-04-27T07:37:50Z</dcterms:modified>
</cp:coreProperties>
</file>