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755"/>
  </bookViews>
  <sheets>
    <sheet name="Summary" sheetId="9" r:id="rId1"/>
    <sheet name="Final" sheetId="4" r:id="rId2"/>
    <sheet name="S.no 32_Paver Blocks" sheetId="5" r:id="rId3"/>
    <sheet name="S.no 33_ Parking area" sheetId="6" r:id="rId4"/>
    <sheet name="S.no34_Kerb Channel" sheetId="7" state="hidden" r:id="rId5"/>
    <sheet name="Bituminious Road" sheetId="8" r:id="rId6"/>
    <sheet name="BW" sheetId="11" r:id="rId7"/>
    <sheet name="Sheet1" sheetId="1" state="hidden" r:id="rId8"/>
    <sheet name="ann IV BW gate" sheetId="10" r:id="rId9"/>
    <sheet name="Gate" sheetId="12" r:id="rId10"/>
    <sheet name="Sheet2" sheetId="13" r:id="rId11"/>
  </sheets>
  <definedNames>
    <definedName name="_xlnm.Print_Area" localSheetId="1">Final!$A$1:$H$62</definedName>
    <definedName name="_xlnm.Print_Area" localSheetId="0">Summary!$A$1:$D$19</definedName>
  </definedNames>
  <calcPr calcId="152511"/>
</workbook>
</file>

<file path=xl/calcChain.xml><?xml version="1.0" encoding="utf-8"?>
<calcChain xmlns="http://schemas.openxmlformats.org/spreadsheetml/2006/main">
  <c r="E55" i="4" l="1"/>
  <c r="E46" i="4"/>
  <c r="E6" i="4" l="1"/>
  <c r="G8" i="4" l="1"/>
  <c r="H50" i="11" l="1"/>
  <c r="I26" i="11"/>
  <c r="I15" i="11"/>
  <c r="H47" i="11" s="1"/>
  <c r="I14" i="11"/>
  <c r="I13" i="11"/>
  <c r="I12" i="11"/>
  <c r="K9" i="11"/>
  <c r="I10" i="11"/>
  <c r="K10" i="11" s="1"/>
  <c r="I9" i="11"/>
  <c r="I8" i="11"/>
  <c r="H46" i="11" s="1"/>
  <c r="E4" i="10" l="1"/>
  <c r="J38" i="11"/>
  <c r="I6" i="5"/>
  <c r="E39" i="4" l="1"/>
  <c r="E38" i="4"/>
  <c r="E37" i="4"/>
  <c r="E36" i="4"/>
  <c r="E35" i="4"/>
  <c r="E34" i="4"/>
  <c r="E33" i="4"/>
  <c r="F5" i="10"/>
  <c r="F4" i="10"/>
  <c r="F6" i="10" l="1"/>
  <c r="G56" i="4" s="1"/>
  <c r="L99" i="12"/>
  <c r="J97" i="12"/>
  <c r="J96" i="12"/>
  <c r="J98" i="12" s="1"/>
  <c r="J93" i="12"/>
  <c r="L93" i="12" s="1"/>
  <c r="L91" i="12"/>
  <c r="J90" i="12"/>
  <c r="J80" i="12"/>
  <c r="J81" i="12" s="1"/>
  <c r="J82" i="12" s="1"/>
  <c r="J77" i="12"/>
  <c r="J76" i="12"/>
  <c r="J75" i="12"/>
  <c r="J78" i="12" s="1"/>
  <c r="J79" i="12" s="1"/>
  <c r="J72" i="12"/>
  <c r="J73" i="12" s="1"/>
  <c r="J74" i="12" s="1"/>
  <c r="J69" i="12"/>
  <c r="J68" i="12"/>
  <c r="J70" i="12" s="1"/>
  <c r="J71" i="12" s="1"/>
  <c r="J66" i="12"/>
  <c r="J67" i="12" s="1"/>
  <c r="J65" i="12"/>
  <c r="J62" i="12"/>
  <c r="J63" i="12" s="1"/>
  <c r="J64" i="12" s="1"/>
  <c r="J60" i="12"/>
  <c r="J61" i="12" s="1"/>
  <c r="J59" i="12"/>
  <c r="J56" i="12"/>
  <c r="J55" i="12"/>
  <c r="J57" i="12" s="1"/>
  <c r="J58" i="12" s="1"/>
  <c r="J52" i="12"/>
  <c r="J51" i="12"/>
  <c r="J45" i="12"/>
  <c r="J44" i="12"/>
  <c r="J46" i="12" s="1"/>
  <c r="J47" i="12" s="1"/>
  <c r="J40" i="12"/>
  <c r="J39" i="12"/>
  <c r="J36" i="12"/>
  <c r="J35" i="12"/>
  <c r="J37" i="12" s="1"/>
  <c r="J38" i="12" s="1"/>
  <c r="J33" i="12"/>
  <c r="J34" i="12" s="1"/>
  <c r="J32" i="12"/>
  <c r="J27" i="12"/>
  <c r="J29" i="12" s="1"/>
  <c r="J30" i="12" s="1"/>
  <c r="J24" i="12"/>
  <c r="J25" i="12" s="1"/>
  <c r="J26" i="12" s="1"/>
  <c r="J21" i="12"/>
  <c r="J20" i="12"/>
  <c r="F16" i="12"/>
  <c r="J16" i="12" s="1"/>
  <c r="J15" i="12"/>
  <c r="J11" i="12"/>
  <c r="J10" i="12"/>
  <c r="J13" i="12" s="1"/>
  <c r="J14" i="12" s="1"/>
  <c r="I59" i="11"/>
  <c r="K59" i="11" s="1"/>
  <c r="I57" i="11"/>
  <c r="K57" i="11" s="1"/>
  <c r="I56" i="11"/>
  <c r="K56" i="11" s="1"/>
  <c r="I43" i="11"/>
  <c r="K43" i="11" s="1"/>
  <c r="I41" i="11"/>
  <c r="K41" i="11" s="1"/>
  <c r="H36" i="11"/>
  <c r="I36" i="11" s="1"/>
  <c r="K36" i="11" s="1"/>
  <c r="I35" i="11"/>
  <c r="K35" i="11" s="1"/>
  <c r="I34" i="11"/>
  <c r="K34" i="11" s="1"/>
  <c r="I32" i="11"/>
  <c r="K32" i="11" s="1"/>
  <c r="J30" i="11"/>
  <c r="I30" i="11"/>
  <c r="I28" i="11"/>
  <c r="K28" i="11" s="1"/>
  <c r="I18" i="11"/>
  <c r="I19" i="11" s="1"/>
  <c r="K15" i="11"/>
  <c r="J17" i="12" l="1"/>
  <c r="J18" i="12" s="1"/>
  <c r="J49" i="12" s="1"/>
  <c r="J87" i="12" s="1"/>
  <c r="L87" i="12" s="1"/>
  <c r="L102" i="12" s="1"/>
  <c r="J22" i="12"/>
  <c r="J23" i="12" s="1"/>
  <c r="J41" i="12"/>
  <c r="J42" i="12" s="1"/>
  <c r="J53" i="12"/>
  <c r="J54" i="12" s="1"/>
  <c r="K19" i="11"/>
  <c r="H48" i="11"/>
  <c r="H51" i="11" s="1"/>
  <c r="H52" i="11" s="1"/>
  <c r="I52" i="11" s="1"/>
  <c r="K52" i="11" s="1"/>
  <c r="K30" i="11"/>
  <c r="J84" i="12"/>
  <c r="F38" i="11"/>
  <c r="I38" i="11" s="1"/>
  <c r="K38" i="11" s="1"/>
  <c r="K26" i="11"/>
  <c r="K8" i="11"/>
  <c r="I54" i="11" l="1"/>
  <c r="K54" i="11" s="1"/>
  <c r="K60" i="11"/>
  <c r="K61" i="11" s="1"/>
  <c r="K62" i="11" s="1"/>
  <c r="K63" i="11" s="1"/>
  <c r="J19" i="6" l="1"/>
  <c r="J17" i="6"/>
  <c r="J13" i="6"/>
  <c r="J9" i="6"/>
  <c r="J20" i="6" s="1"/>
  <c r="J5" i="6"/>
  <c r="F55" i="4"/>
  <c r="G55" i="4" s="1"/>
  <c r="C6" i="9" s="1"/>
  <c r="F53" i="4"/>
  <c r="G53" i="4" s="1"/>
  <c r="C11" i="9" s="1"/>
  <c r="G54" i="4"/>
  <c r="C10" i="9"/>
  <c r="J21" i="6" l="1"/>
  <c r="J22" i="6"/>
  <c r="J23" i="6" s="1"/>
  <c r="C17" i="9"/>
  <c r="F52" i="4" l="1"/>
  <c r="G52" i="4" s="1"/>
  <c r="J5" i="5"/>
  <c r="J6" i="5"/>
  <c r="J13" i="8"/>
  <c r="H13" i="8"/>
  <c r="H12" i="8"/>
  <c r="J12" i="8" s="1"/>
  <c r="J11" i="8"/>
  <c r="H11" i="8"/>
  <c r="H10" i="8"/>
  <c r="J10" i="8" s="1"/>
  <c r="J9" i="8"/>
  <c r="H9" i="8"/>
  <c r="H8" i="8"/>
  <c r="J8" i="8" s="1"/>
  <c r="J7" i="8"/>
  <c r="H7" i="8"/>
  <c r="H6" i="8"/>
  <c r="J6" i="8" s="1"/>
  <c r="J5" i="8"/>
  <c r="H5" i="8"/>
  <c r="H14" i="8" s="1"/>
  <c r="J14" i="8" s="1"/>
  <c r="C7" i="9" l="1"/>
  <c r="G57" i="4"/>
  <c r="J7" i="5"/>
  <c r="J15" i="8"/>
  <c r="J16" i="8" s="1"/>
  <c r="G61" i="4"/>
  <c r="J10" i="1" l="1"/>
  <c r="J12" i="1" s="1"/>
  <c r="J14" i="1"/>
  <c r="G30" i="4"/>
  <c r="G32" i="4"/>
  <c r="G33" i="4"/>
  <c r="G34" i="4"/>
  <c r="G35" i="4"/>
  <c r="G36" i="4"/>
  <c r="G37" i="4"/>
  <c r="G38" i="4"/>
  <c r="G39" i="4"/>
  <c r="G40" i="4"/>
  <c r="G29" i="4"/>
  <c r="G7" i="4"/>
  <c r="G9" i="4"/>
  <c r="G11" i="4"/>
  <c r="G12" i="4"/>
  <c r="G6" i="4"/>
  <c r="G41" i="4" l="1"/>
  <c r="C9" i="9" s="1"/>
  <c r="G47" i="4"/>
  <c r="G46" i="4"/>
  <c r="G48" i="4" l="1"/>
  <c r="G49" i="4" s="1"/>
  <c r="E16" i="4" l="1"/>
  <c r="G16" i="4" s="1"/>
  <c r="G15" i="4" l="1"/>
  <c r="E13" i="4"/>
  <c r="E10" i="4"/>
  <c r="G10" i="4" s="1"/>
  <c r="G13" i="4" l="1"/>
  <c r="E14" i="4"/>
  <c r="G14" i="4" s="1"/>
  <c r="G17" i="4" l="1"/>
  <c r="G20" i="4" s="1"/>
  <c r="G23" i="4" l="1"/>
  <c r="G24" i="4" s="1"/>
  <c r="G25" i="4" s="1"/>
  <c r="G26" i="4" s="1"/>
  <c r="G19" i="4"/>
  <c r="G22" i="4" s="1"/>
  <c r="G21" i="4"/>
  <c r="C5" i="9" l="1"/>
  <c r="C8" i="9"/>
  <c r="G27" i="4"/>
  <c r="G42" i="4" s="1"/>
  <c r="G43" i="4" s="1"/>
  <c r="C12" i="9" l="1"/>
  <c r="C13" i="9" s="1"/>
  <c r="C14" i="9" s="1"/>
  <c r="C18" i="9" s="1"/>
  <c r="C19" i="9" s="1"/>
  <c r="G44" i="4"/>
  <c r="G50" i="4" s="1"/>
  <c r="G62" i="4" s="1"/>
  <c r="C49" i="1" s="1"/>
</calcChain>
</file>

<file path=xl/sharedStrings.xml><?xml version="1.0" encoding="utf-8"?>
<sst xmlns="http://schemas.openxmlformats.org/spreadsheetml/2006/main" count="666" uniqueCount="387">
  <si>
    <t>Abstract of Cost for Modified Concept</t>
  </si>
  <si>
    <t>S.No.</t>
  </si>
  <si>
    <t>Item no.</t>
  </si>
  <si>
    <t>Description</t>
  </si>
  <si>
    <t>Unit</t>
  </si>
  <si>
    <t>Quantity</t>
  </si>
  <si>
    <t>Rate</t>
  </si>
  <si>
    <t>Amount (Rs.)</t>
  </si>
  <si>
    <t>Remarks</t>
  </si>
  <si>
    <t>A</t>
  </si>
  <si>
    <t>Items as per PAR 2012</t>
  </si>
  <si>
    <t>RCC framed structure upto six storey's constructions Floor height 3.35 meter.</t>
  </si>
  <si>
    <t>1.1.1(A)</t>
  </si>
  <si>
    <t>For double storey structure</t>
  </si>
  <si>
    <t>sqm</t>
  </si>
  <si>
    <t>1.1.1(B)</t>
  </si>
  <si>
    <t>For single storey structure</t>
  </si>
  <si>
    <t>1.2.3</t>
  </si>
  <si>
    <t>Extra for every 0.3m additional height over normal height 3.35 m</t>
  </si>
  <si>
    <t>1.2.8</t>
  </si>
  <si>
    <t>Resisting  earth quake forces</t>
  </si>
  <si>
    <t>1.2.6</t>
  </si>
  <si>
    <t>Making stronger foundations to take load of one additional floor at a later date (on area of additional floor only)</t>
  </si>
  <si>
    <t>1.2.11</t>
  </si>
  <si>
    <t>Stronger structure for loading of above 500kg/sqm</t>
  </si>
  <si>
    <t>1.4.2</t>
  </si>
  <si>
    <t>Fire Fighting works (wet riser system) &amp; Sprinkler system</t>
  </si>
  <si>
    <t>1.5.2</t>
  </si>
  <si>
    <t>Automatic Fire alarm system</t>
  </si>
  <si>
    <t>R.A</t>
  </si>
  <si>
    <t>P/L coloured paver blocks</t>
  </si>
  <si>
    <t>Constn, of Parking area- scooter rikshas.</t>
  </si>
  <si>
    <t>Rd.Works 8.2/132</t>
  </si>
  <si>
    <t>P/F CC Kerbs &amp; Channels</t>
  </si>
  <si>
    <t>M</t>
  </si>
  <si>
    <t>As per SOR</t>
  </si>
  <si>
    <t>Costn. Of Bituminious road.</t>
  </si>
  <si>
    <t>Sqm</t>
  </si>
  <si>
    <t>M. R</t>
  </si>
  <si>
    <t>Provision for Kiosks, Benches, CCTV, PI &amp; PA system - LS</t>
  </si>
  <si>
    <t>L/s</t>
  </si>
  <si>
    <t>SUB Total (A)</t>
  </si>
  <si>
    <t>B</t>
  </si>
  <si>
    <t>Services</t>
  </si>
  <si>
    <t>Internal water supply &amp; Sanitary Installations @ 4%</t>
  </si>
  <si>
    <t>External service connection @5%</t>
  </si>
  <si>
    <t>Internal Electrical Installation @12.5%</t>
  </si>
  <si>
    <t>3.6.1</t>
  </si>
  <si>
    <t>Power wiring &amp; plug @4%</t>
  </si>
  <si>
    <t>3.6.2</t>
  </si>
  <si>
    <t>Central call bell system@1%</t>
  </si>
  <si>
    <t>3.6.3.1</t>
  </si>
  <si>
    <t>Lighting Conductor@0.5%</t>
  </si>
  <si>
    <t>3.6.4</t>
  </si>
  <si>
    <t>Telephone conduits @0.5%</t>
  </si>
  <si>
    <t>3.6.6</t>
  </si>
  <si>
    <t>Computer conduiting @0.5%</t>
  </si>
  <si>
    <t xml:space="preserve"> SUB TOTAL (B )</t>
  </si>
  <si>
    <t>C</t>
  </si>
  <si>
    <t xml:space="preserve">Water Tank (RCC only) Underground Sump @Rs 15/ltr                                                 a) Fire Fighting @ 100,000 Ltr.                           b) ETP @ 50,000 Ltr.                                                          </t>
  </si>
  <si>
    <t>ltr</t>
  </si>
  <si>
    <t>Underground sump</t>
  </si>
  <si>
    <t>Development of site</t>
  </si>
  <si>
    <t>levelling</t>
  </si>
  <si>
    <t>Sewer @ Rs 110/sqm</t>
  </si>
  <si>
    <t>6.4.1</t>
  </si>
  <si>
    <t>Filter Water Supply, Distribution lines 100 mm dia and below @ Rs 80/sqm</t>
  </si>
  <si>
    <t>6.4.2</t>
  </si>
  <si>
    <t>Peripherial grid 150x300 mm dia pipes</t>
  </si>
  <si>
    <t>6.4.3</t>
  </si>
  <si>
    <t>Unfiltered water supply distribution lines @Rs 45/sqm</t>
  </si>
  <si>
    <t>Horticulture operation</t>
  </si>
  <si>
    <t>Storm water drains @ Rs 85/sqm</t>
  </si>
  <si>
    <t>6.7.2</t>
  </si>
  <si>
    <t>Street lighting With HPMV Lamps @130/sqm</t>
  </si>
  <si>
    <t>ETP for Workshop LS</t>
  </si>
  <si>
    <t>34-B</t>
  </si>
  <si>
    <t>LIFTS-  16 Persons</t>
  </si>
  <si>
    <t>No.</t>
  </si>
  <si>
    <t>SUB Total (C)</t>
  </si>
  <si>
    <t>Boundary Wall &amp; Gate (D)</t>
  </si>
  <si>
    <t>Annexure-A</t>
  </si>
  <si>
    <t xml:space="preserve">                                                   Pergola</t>
  </si>
  <si>
    <t>6,73,55,000</t>
  </si>
  <si>
    <t>Annexure-B</t>
  </si>
  <si>
    <t xml:space="preserve"> SUB TOTAL (A+B+C+D) </t>
  </si>
  <si>
    <t xml:space="preserve"> DSR 10.28</t>
  </si>
  <si>
    <t>kg</t>
  </si>
  <si>
    <t>DSR 26.3</t>
  </si>
  <si>
    <t>SUB Total (A+B+C)</t>
  </si>
  <si>
    <t>Total (1)</t>
  </si>
  <si>
    <t>SUB Total (2)</t>
  </si>
  <si>
    <t>SUB Total (3)</t>
  </si>
  <si>
    <t>Total of (1) + (2)</t>
  </si>
  <si>
    <t>Items as per DSR</t>
  </si>
  <si>
    <t>Total (2)</t>
  </si>
  <si>
    <t>Items as per Market Rate</t>
  </si>
  <si>
    <t>SUB Total (4)</t>
  </si>
  <si>
    <t xml:space="preserve"> SUB TOTAL (1+2+3+4) </t>
  </si>
  <si>
    <t>S. No.</t>
  </si>
  <si>
    <t>Item</t>
  </si>
  <si>
    <t>Nos.</t>
  </si>
  <si>
    <t>Measurements.</t>
  </si>
  <si>
    <t>Qty.</t>
  </si>
  <si>
    <t>Amount</t>
  </si>
  <si>
    <t>Remarks.</t>
  </si>
  <si>
    <t>L</t>
  </si>
  <si>
    <t>H</t>
  </si>
  <si>
    <t>PCC  - M-15</t>
  </si>
  <si>
    <t>cum.</t>
  </si>
  <si>
    <t>Say</t>
  </si>
  <si>
    <t xml:space="preserve">per sqm </t>
  </si>
  <si>
    <t>Earthwork in excavation for road</t>
  </si>
  <si>
    <t>Making Sub grade</t>
  </si>
  <si>
    <t>P/L/spreading GSB</t>
  </si>
  <si>
    <t>P/L WMM</t>
  </si>
  <si>
    <t>Constn. Of D.L.C,</t>
  </si>
  <si>
    <t>Rolled cement cocrete base</t>
  </si>
  <si>
    <t>C.C. pavement</t>
  </si>
  <si>
    <t>Carriage of earth by M.T. lead-5Km.</t>
  </si>
  <si>
    <t>cum</t>
  </si>
  <si>
    <t>Total</t>
  </si>
  <si>
    <t>Add5% extra for miscl. Items.</t>
  </si>
  <si>
    <t>Total cost for 3600 Sqm.</t>
  </si>
  <si>
    <t>Cost per Sqm</t>
  </si>
  <si>
    <t>Say Rs.</t>
  </si>
  <si>
    <t>per sqm</t>
  </si>
  <si>
    <t>Road 8.2</t>
  </si>
  <si>
    <t>Cast in Situ Cement Concrete M 20 Kerb with Channel</t>
  </si>
  <si>
    <t>Construction of cement concrete kerb with channel with top and bottom width 115 and 165 mm respectively, 250 mm high in M 20 grade PCC on M10 grade foundation 150 mm thick, kerb channel 300 mm wide, 50 mm thick in PCCM20 grade, sloped towards the kerb, kerb stone with channel laid with kerb laying machine, foundation concrete laid manually, all complete as per clause 408</t>
  </si>
  <si>
    <t>Using Concrete Mixer</t>
  </si>
  <si>
    <t>Unit = Running metre</t>
  </si>
  <si>
    <t>Taking output = 300 metre length</t>
  </si>
  <si>
    <t>Cement Concrete</t>
  </si>
  <si>
    <t>Cement concrete of grade M20= 17.48 cum</t>
  </si>
  <si>
    <t>Cement concrete of grade M10 for base = 23.18 cum</t>
  </si>
  <si>
    <r>
      <t xml:space="preserve">Total Concrete = </t>
    </r>
    <r>
      <rPr>
        <b/>
        <sz val="10"/>
        <rFont val="Arial Narrow"/>
        <family val="2"/>
      </rPr>
      <t>40.66 cum</t>
    </r>
  </si>
  <si>
    <t>a)     Labour</t>
  </si>
  <si>
    <t>Mate</t>
  </si>
  <si>
    <t>day</t>
  </si>
  <si>
    <t>L-12</t>
  </si>
  <si>
    <t>Mason</t>
  </si>
  <si>
    <t>L-11</t>
  </si>
  <si>
    <t>Mazdoor</t>
  </si>
  <si>
    <t>L-13</t>
  </si>
  <si>
    <t>b)      Machinery</t>
  </si>
  <si>
    <t>Kerb casting machine @ 50 metres/hour for laying kerb and channel</t>
  </si>
  <si>
    <t>hour</t>
  </si>
  <si>
    <t>P&amp;M-029</t>
  </si>
  <si>
    <t>Concrete mixer 0.48/0.28</t>
  </si>
  <si>
    <t>P&amp;M-009</t>
  </si>
  <si>
    <t>Water tanker6 KL capacity</t>
  </si>
  <si>
    <t>P&amp;M-060</t>
  </si>
  <si>
    <t>c)      Material</t>
  </si>
  <si>
    <t>Crushed stone aggregate 20 mm nominal size 60 per cent</t>
  </si>
  <si>
    <t>M-053</t>
  </si>
  <si>
    <t>Coarse sand 30 per cent</t>
  </si>
  <si>
    <t>M-005</t>
  </si>
  <si>
    <t>Cement 10 per cent</t>
  </si>
  <si>
    <t>tonne</t>
  </si>
  <si>
    <t>M-081</t>
  </si>
  <si>
    <t>Cost of water</t>
  </si>
  <si>
    <t>KL</t>
  </si>
  <si>
    <t>M-189</t>
  </si>
  <si>
    <t xml:space="preserve">d)      Overhead charges @ 0.1 on (a+b+c) </t>
  </si>
  <si>
    <t>e)      Contractor's profit @ 0.1 on (a+b+c+d)</t>
  </si>
  <si>
    <t>Cost for 300 metre = a+b+c+d+e</t>
  </si>
  <si>
    <t>Rate per metre = (a+b+c+d+e)/300</t>
  </si>
  <si>
    <t>say</t>
  </si>
  <si>
    <t>Cosntn. Of bituminous road (Only pavement.)- Rates - Road Constn. Deptt. , Jharkhand.</t>
  </si>
  <si>
    <t>P/L primer coat</t>
  </si>
  <si>
    <t>sqm.</t>
  </si>
  <si>
    <t>P/L Tack Coat</t>
  </si>
  <si>
    <t>Dense Bituminous Macadam</t>
  </si>
  <si>
    <t>5.6 A</t>
  </si>
  <si>
    <t>Bituminous concrete</t>
  </si>
  <si>
    <t>5.8(ii)</t>
  </si>
  <si>
    <t>25 MM Mastic asphalt</t>
  </si>
  <si>
    <t xml:space="preserve"> Total cost  for 1000x3.6=3600 Sqm.</t>
  </si>
  <si>
    <t>Say  Rs.</t>
  </si>
  <si>
    <t>Per Sqm.</t>
  </si>
  <si>
    <t>Annexure I</t>
  </si>
  <si>
    <t>SOR 12.8</t>
  </si>
  <si>
    <t>P/L 60mm coloured paver blocks</t>
  </si>
  <si>
    <t>Annexure II</t>
  </si>
  <si>
    <t>Annexure III</t>
  </si>
  <si>
    <t>Annexure IV</t>
  </si>
  <si>
    <t>SOR Item no.</t>
  </si>
  <si>
    <r>
      <t xml:space="preserve">Name of work: Preparation of DPR for Redevelopment/Renovation of Bus stand at </t>
    </r>
    <r>
      <rPr>
        <b/>
        <u/>
        <sz val="10"/>
        <color theme="1"/>
        <rFont val="Times New Roman"/>
        <family val="1"/>
      </rPr>
      <t>Gumla</t>
    </r>
    <r>
      <rPr>
        <b/>
        <sz val="10"/>
        <color theme="1"/>
        <rFont val="Times New Roman"/>
        <family val="1"/>
      </rPr>
      <t xml:space="preserve"> in Jharkhand</t>
    </r>
  </si>
  <si>
    <t>Description of Items</t>
  </si>
  <si>
    <t>Building works</t>
  </si>
  <si>
    <t>Road works</t>
  </si>
  <si>
    <t>Footpath &amp; Passenger movement area</t>
  </si>
  <si>
    <t xml:space="preserve">Electrical works </t>
  </si>
  <si>
    <t>Services works (Drainage, Water Tanks &amp; Street lights etc)</t>
  </si>
  <si>
    <t>Boundary wall &amp; Gate</t>
  </si>
  <si>
    <t>Parking Area</t>
  </si>
  <si>
    <t>Sub Total</t>
  </si>
  <si>
    <t>Project Contingencies @ 3% on Total</t>
  </si>
  <si>
    <t>Total Cost of Work (A)</t>
  </si>
  <si>
    <t>Other General Charges</t>
  </si>
  <si>
    <t>Utilities shifting</t>
  </si>
  <si>
    <t>Total of Other General Charges (B)</t>
  </si>
  <si>
    <t>Total Project Cost (A+B)  in Rs.</t>
  </si>
  <si>
    <t>crore</t>
  </si>
  <si>
    <t>Total cost for building G+2</t>
  </si>
  <si>
    <r>
      <t>Total cost for 2</t>
    </r>
    <r>
      <rPr>
        <b/>
        <vertAlign val="superscript"/>
        <sz val="11"/>
        <color theme="1"/>
        <rFont val="Helvetica"/>
        <family val="2"/>
      </rPr>
      <t>nd</t>
    </r>
    <r>
      <rPr>
        <b/>
        <sz val="11"/>
        <color theme="1"/>
        <rFont val="Helvetica"/>
        <family val="2"/>
      </rPr>
      <t xml:space="preserve"> Floor only </t>
    </r>
  </si>
  <si>
    <t>32+34</t>
  </si>
  <si>
    <t>1+2+3+4+5+6+7+8+9+10</t>
  </si>
  <si>
    <t>11+12+13+14+15+16+17</t>
  </si>
  <si>
    <t>18+19+20+21+22+23+24+25+26+27+28+29+37+38</t>
  </si>
  <si>
    <t>Items as per DSR/JSOR</t>
  </si>
  <si>
    <t>Rate as per SOR(Road Construction Department) item no. 8.2A</t>
  </si>
  <si>
    <t>4.3A</t>
  </si>
  <si>
    <t>4.1(i)</t>
  </si>
  <si>
    <t>40 l becauise of rate</t>
  </si>
  <si>
    <t>because of reduced builduing area</t>
  </si>
  <si>
    <t>rate difference</t>
  </si>
  <si>
    <t>Gate &amp; Boundary wall detail</t>
  </si>
  <si>
    <t>S No.</t>
  </si>
  <si>
    <t>Qty</t>
  </si>
  <si>
    <t>D</t>
  </si>
  <si>
    <t>Boundary wall</t>
  </si>
  <si>
    <t>mtr</t>
  </si>
  <si>
    <t xml:space="preserve">Entry &amp; Exit Gates </t>
  </si>
  <si>
    <t>each</t>
  </si>
  <si>
    <t>SUB TOTAL (D)</t>
  </si>
  <si>
    <t>ANALYSIS OF RATE FOR CONSTRUCTION OF  B.M.  BOUNDARY WALL</t>
  </si>
  <si>
    <t>Considered Length of Boundary wall</t>
  </si>
  <si>
    <t>m</t>
  </si>
  <si>
    <t>No. of Column / footing @ 3m c/c</t>
  </si>
  <si>
    <t>Rate- S.O.R. 2015. ,   Bldg. Constn. Deptt., Govt. Of Jharkhand.</t>
  </si>
  <si>
    <t>S.no</t>
  </si>
  <si>
    <t>SOR Item</t>
  </si>
  <si>
    <t>Particular</t>
  </si>
  <si>
    <t>No</t>
  </si>
  <si>
    <t>5.1.1Bldg.</t>
  </si>
  <si>
    <t>Earth work in excavation.</t>
  </si>
  <si>
    <t>5.3.2 Bldg.</t>
  </si>
  <si>
    <t>P/L PCC- M-150 in foundation</t>
  </si>
  <si>
    <t>Bed under columns</t>
  </si>
  <si>
    <t>Bed under wall panels</t>
  </si>
  <si>
    <t>5.2.2.</t>
  </si>
  <si>
    <t>B W 75A-1:4 in foundation- 1st.step</t>
  </si>
  <si>
    <t>Bldg.</t>
  </si>
  <si>
    <t>2nd step</t>
  </si>
  <si>
    <t>5.3.14-Bldg.</t>
  </si>
  <si>
    <t>RCC M-200 in columns- below G.L.-1st. Step.</t>
  </si>
  <si>
    <t>5.3.8.1-Bldg.</t>
  </si>
  <si>
    <t>RCC M-200 in beam- under DPC</t>
  </si>
  <si>
    <t>P/L DPC 50 MM thick</t>
  </si>
  <si>
    <t>5.2.10</t>
  </si>
  <si>
    <t>Bw 75A-1:4 in Superstructure</t>
  </si>
  <si>
    <t>Cement plaster 1:4  12 MM</t>
  </si>
  <si>
    <t>Cement plaster 1:4  25 MM</t>
  </si>
  <si>
    <t>5.3.8.1</t>
  </si>
  <si>
    <t>P/L  R CC in coping-M 200</t>
  </si>
  <si>
    <t>5.5.5</t>
  </si>
  <si>
    <t>Tore steel reinforcement</t>
  </si>
  <si>
    <t>Kg.</t>
  </si>
  <si>
    <t>L.S @80 Kg. per cum RCC</t>
  </si>
  <si>
    <t>5.5.12-Bldg.</t>
  </si>
  <si>
    <t>S/F M.S. angle posts50x50x6 MM -4.5 Kg. / M</t>
  </si>
  <si>
    <t>16.53-DSR 2014</t>
  </si>
  <si>
    <t>P/F Concertina wire fencing  610 mm dia.</t>
  </si>
  <si>
    <t>5.1.8- Bldg.</t>
  </si>
  <si>
    <t>Filling available excavated earth.</t>
  </si>
  <si>
    <t>Total excavation-item-1</t>
  </si>
  <si>
    <t>less PCC-item 2</t>
  </si>
  <si>
    <t>Less BW in foundation item3</t>
  </si>
  <si>
    <t>less Qty. of columns upto GL</t>
  </si>
  <si>
    <t>less Qty. of plinth beam item4</t>
  </si>
  <si>
    <t>Total deduction</t>
  </si>
  <si>
    <t>Net Qty. of Filling</t>
  </si>
  <si>
    <t>III-2</t>
  </si>
  <si>
    <t>carriage of earth by M.T.</t>
  </si>
  <si>
    <t>Lead of 5 Km</t>
  </si>
  <si>
    <t>5.8.24</t>
  </si>
  <si>
    <t>Snowcem on new work</t>
  </si>
  <si>
    <t>5.8.41</t>
  </si>
  <si>
    <t>Providing primer on steelwork</t>
  </si>
  <si>
    <t>5.8.43</t>
  </si>
  <si>
    <t>Painting two coats  of synthetic paint on steelwork</t>
  </si>
  <si>
    <t>Add L.S.5% extra for Miscl.</t>
  </si>
  <si>
    <t>Total cost for 100m length</t>
  </si>
  <si>
    <t>Cost per M length</t>
  </si>
  <si>
    <t>say   Rs.</t>
  </si>
  <si>
    <t>Per M</t>
  </si>
  <si>
    <t>Rate Analysis for fixing of MS Swing Gate (Manually Operated)</t>
  </si>
  <si>
    <t>Based on rates of S.R -Bldg. Deptt. Jharkhand.</t>
  </si>
  <si>
    <t>DSR Item</t>
  </si>
  <si>
    <t xml:space="preserve">Rate </t>
  </si>
  <si>
    <t>5,5,28</t>
  </si>
  <si>
    <t>Supply, Providing ,Fabricating, Assembling and erecting at site M.S Gate………………..</t>
  </si>
  <si>
    <t>Kg</t>
  </si>
  <si>
    <t>Swing Gate</t>
  </si>
  <si>
    <t xml:space="preserve">MS Gate (4.5m+4.5m) x 2.5 m </t>
  </si>
  <si>
    <t>100 x 50 x 3 mm Tube</t>
  </si>
  <si>
    <t>Horrizontal</t>
  </si>
  <si>
    <t>Vertical</t>
  </si>
  <si>
    <t>Total mt.</t>
  </si>
  <si>
    <t xml:space="preserve"> v) Weight in Kg. @ 6.6 Kg. /Sq.m.</t>
  </si>
  <si>
    <t>80 x 40 x 2.6 mm Tube</t>
  </si>
  <si>
    <t xml:space="preserve"> vi) Weight in Kg. @ 4.55Kg. /Sq.m.</t>
  </si>
  <si>
    <t>50 x 50 x 2.6 mm Tube</t>
  </si>
  <si>
    <t xml:space="preserve">upper portion </t>
  </si>
  <si>
    <t>bottom portion</t>
  </si>
  <si>
    <t xml:space="preserve"> vii) Weight in Kg. @ 3.74 Kg. /Sq.m.</t>
  </si>
  <si>
    <t>MS sheet 2mm thick</t>
  </si>
  <si>
    <t xml:space="preserve"> viii) Weight in Kg. @ 15.70Kg. /Sq.m.</t>
  </si>
  <si>
    <t>Base plate 12mm thick below ISMB</t>
  </si>
  <si>
    <t xml:space="preserve"> ix) Weight in Kg. @ 78.50Kg. /Sq.m.</t>
  </si>
  <si>
    <t>ISMB 125*75</t>
  </si>
  <si>
    <t xml:space="preserve"> ix) Weight in Kg. @ 13.00Kg. /m.</t>
  </si>
  <si>
    <t>ISMC 100*50 for swing gate</t>
  </si>
  <si>
    <t>For guide wheel</t>
  </si>
  <si>
    <t xml:space="preserve"> x) Weight in Kg. @ 9.2Kg. /m.</t>
  </si>
  <si>
    <t>Tube 100*50*3mmthick for support of guide wheel</t>
  </si>
  <si>
    <t>Top</t>
  </si>
  <si>
    <t xml:space="preserve"> xi) Weight in Kg. @ 6.6 Kg. /Rm</t>
  </si>
  <si>
    <t>50*50*6 mm T &amp; angle</t>
  </si>
  <si>
    <t>below gate</t>
  </si>
  <si>
    <t>vii) Weight in Kg. @ 4.5Kg. /m.</t>
  </si>
  <si>
    <t xml:space="preserve"> </t>
  </si>
  <si>
    <t>Total Weight of  Swing Gate</t>
  </si>
  <si>
    <t>Wicket gate</t>
  </si>
  <si>
    <t>100*50*3mm tube</t>
  </si>
  <si>
    <t xml:space="preserve"> x) Weight in Kg. @ 6.6Kg. /Sq.m.</t>
  </si>
  <si>
    <t xml:space="preserve"> xi) Weight in Kg. @ 4.55Kg. /Sq.m.</t>
  </si>
  <si>
    <t xml:space="preserve"> xii) Weight in Kg. @ 3.74 Kg. /Sq.m.</t>
  </si>
  <si>
    <t xml:space="preserve"> xiii) Weight in Kg. @ 15.70Kg. /Sq.m.</t>
  </si>
  <si>
    <t>Base plate 12mm thick below ISMC</t>
  </si>
  <si>
    <t>Total sq.m..</t>
  </si>
  <si>
    <t xml:space="preserve"> xiv) Weight in Kg. @ 78.50Kg. /Sq.m.</t>
  </si>
  <si>
    <t>16mm dia bar</t>
  </si>
  <si>
    <t xml:space="preserve">Round bar 16mm for tower bolt                                    </t>
  </si>
  <si>
    <t xml:space="preserve"> xvi) Weight in Kg. @ 1.58Kg. /mt.</t>
  </si>
  <si>
    <t>25mm dia for sliding door bolt</t>
  </si>
  <si>
    <t xml:space="preserve"> xvi) Weight in Kg. @ 3.856Kg. /mt.</t>
  </si>
  <si>
    <t xml:space="preserve">Flat 40x5 for kundi </t>
  </si>
  <si>
    <t>Wicket gate Flat 40x5 for kundi</t>
  </si>
  <si>
    <t>Flat 40x5 for  for tower bolt</t>
  </si>
  <si>
    <t xml:space="preserve"> xviii) Weight in Kg. @ 3.5Kg. /mt.</t>
  </si>
  <si>
    <t>ISMC 100*50 for wicket  gate</t>
  </si>
  <si>
    <t>vii) Weight in Kg. @ 9.2Kg. /m.</t>
  </si>
  <si>
    <t>Total Weight of  Wicket  Gate</t>
  </si>
  <si>
    <t xml:space="preserve">Total Weight Swing Gate with Wicket Gate </t>
  </si>
  <si>
    <t>For Cloumn 600 x600 x 2.5</t>
  </si>
  <si>
    <t xml:space="preserve">4.1.8 </t>
  </si>
  <si>
    <t>PCC  in foundation-M15</t>
  </si>
  <si>
    <t xml:space="preserve">5.22.6 </t>
  </si>
  <si>
    <t>Reinforcement @100 kg/cum</t>
  </si>
  <si>
    <t>RCC -M-25</t>
  </si>
  <si>
    <t>Columns</t>
  </si>
  <si>
    <t>Footing</t>
  </si>
  <si>
    <t>Refer Annexure IV-A</t>
  </si>
  <si>
    <t>Refer Annexure IV-B</t>
  </si>
  <si>
    <t>Annexure IV -A</t>
  </si>
  <si>
    <t>Annexure IV -B</t>
  </si>
  <si>
    <t>Services as per PAR 2012</t>
  </si>
  <si>
    <t>E</t>
  </si>
  <si>
    <t>F</t>
  </si>
  <si>
    <t xml:space="preserve">Miscellaneous </t>
  </si>
  <si>
    <t xml:space="preserve">Details for 1000x3.6M </t>
  </si>
  <si>
    <t>1.3.1</t>
  </si>
  <si>
    <t>Basement floor-3.35 m height.</t>
  </si>
  <si>
    <t>1.3.2.1</t>
  </si>
  <si>
    <t>Extra for every 0.3m additional height over normal height 3.35 m-      Basement</t>
  </si>
  <si>
    <t>Commercial Area</t>
  </si>
  <si>
    <t>Costn. of Bituminious road.</t>
  </si>
  <si>
    <t xml:space="preserve">DSR 2016, ITEM NO. 16.91, </t>
  </si>
  <si>
    <t>DSR 16.37.1,  DSR 2016</t>
  </si>
  <si>
    <t>5.7.2 Bldg.</t>
  </si>
  <si>
    <t>5.7.12 Bldg.</t>
  </si>
  <si>
    <t>Cum.</t>
  </si>
  <si>
    <t>For Brick work below plinth beam</t>
  </si>
  <si>
    <t>Footing F1</t>
  </si>
  <si>
    <t>Footing F2</t>
  </si>
  <si>
    <t>Add 2%  on PAR Items</t>
  </si>
  <si>
    <t>STP LS</t>
  </si>
  <si>
    <t>1.2.1</t>
  </si>
  <si>
    <t>Every additional storey over six storeys upto nine storey</t>
  </si>
  <si>
    <t xml:space="preserve">Over Head Water Tank (RCC only) @Rs 15/ltr                                                                                                        </t>
  </si>
  <si>
    <t>Summary of Block Cost Estimate - Deoghar Bus Stand</t>
  </si>
  <si>
    <t>Abstract of Cost for Modified Concept -Deoghar Bus Stand</t>
  </si>
  <si>
    <t xml:space="preserve">S.S. frame work for truss and framed structure
137m²x23.868kg/m²= Into KG
Cost of Pergola </t>
  </si>
  <si>
    <t xml:space="preserve">Aluminum metal coated roofing including glass
137m² in total area
</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</si>
</sst>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43" formatCode="_(* #,##0.00_);_(* \(#,##0.00\);_(* &quot;-&quot;??_);_(@_)"/>
    <numFmt numFmtId="164" formatCode="_ * #,##0.00_ ;_ * \-#,##0.00_ ;_ * &quot;-&quot;??_ ;_ @_ "/>
    <numFmt numFmtId="165" formatCode="0.00_);\(0.00\)"/>
    <numFmt numFmtId="166" formatCode="0.000_);\(0.000\)"/>
    <numFmt numFmtId="167" formatCode="0.0"/>
    <numFmt numFmtId="168" formatCode="_ * #,##0_ ;_ * \-#,##0_ ;_ * &quot;-&quot;??_ ;_ @_ "/>
    <numFmt numFmtId="169" formatCode="_(* #,##0_);_(* \(#,##0\);_(* &quot;-&quot;??_);_(@_)"/>
    <numFmt numFmtId="170" formatCode="0.000"/>
  </numFmts>
  <fonts count="83">
    <font>
      <sz val="11"/>
      <color theme="1"/>
      <name val="Calibri"/>
      <family val="2"/>
      <scheme val="minor"/>
    </font>
    <font>
      <b/>
      <sz val="11"/>
      <color rgb="FF000000"/>
      <name val="Calibri"/>
      <family val="2"/>
      <scheme val="minor"/>
    </font>
    <font>
      <b/>
      <sz val="12"/>
      <color rgb="FF000000"/>
      <name val="Calibri"/>
      <family val="2"/>
      <scheme val="minor"/>
    </font>
    <font>
      <b/>
      <sz val="10"/>
      <color rgb="FF000000"/>
      <name val="Times New Roman"/>
      <family val="1"/>
    </font>
    <font>
      <b/>
      <sz val="10"/>
      <color rgb="FF000000"/>
      <name val="Arial"/>
      <family val="2"/>
    </font>
    <font>
      <b/>
      <u/>
      <sz val="11"/>
      <color rgb="FF000000"/>
      <name val="Times New Roman"/>
      <family val="1"/>
    </font>
    <font>
      <b/>
      <u/>
      <sz val="9"/>
      <color rgb="FF000000"/>
      <name val="Times New Roman"/>
      <family val="1"/>
    </font>
    <font>
      <sz val="11"/>
      <color rgb="FF000000"/>
      <name val="Times New Roman"/>
      <family val="1"/>
    </font>
    <font>
      <sz val="10"/>
      <color rgb="FF000000"/>
      <name val="Times New Roman"/>
      <family val="1"/>
    </font>
    <font>
      <sz val="10"/>
      <color theme="1"/>
      <name val="Times New Roman"/>
      <family val="1"/>
    </font>
    <font>
      <sz val="10"/>
      <color rgb="FF000000"/>
      <name val="Arial"/>
      <family val="2"/>
    </font>
    <font>
      <b/>
      <sz val="11"/>
      <color rgb="FF000000"/>
      <name val="Times New Roman"/>
      <family val="1"/>
    </font>
    <font>
      <sz val="9"/>
      <color rgb="FF000000"/>
      <name val="Times New Roman"/>
      <family val="1"/>
    </font>
    <font>
      <sz val="8"/>
      <color rgb="FF000000"/>
      <name val="Times New Roman"/>
      <family val="1"/>
    </font>
    <font>
      <u/>
      <sz val="11"/>
      <color theme="10"/>
      <name val="Calibri"/>
      <family val="2"/>
      <scheme val="minor"/>
    </font>
    <font>
      <b/>
      <sz val="10"/>
      <color theme="1"/>
      <name val="Calibri"/>
      <family val="2"/>
      <scheme val="minor"/>
    </font>
    <font>
      <sz val="10"/>
      <color theme="1"/>
      <name val="Calibri"/>
      <family val="2"/>
      <scheme val="minor"/>
    </font>
    <font>
      <sz val="11"/>
      <color theme="1"/>
      <name val="Calibri"/>
      <family val="2"/>
      <scheme val="minor"/>
    </font>
    <font>
      <b/>
      <sz val="11"/>
      <color theme="1"/>
      <name val="Calibri"/>
      <family val="2"/>
      <scheme val="minor"/>
    </font>
    <font>
      <sz val="14"/>
      <color theme="1"/>
      <name val="Calibri"/>
      <family val="2"/>
      <scheme val="minor"/>
    </font>
    <font>
      <b/>
      <sz val="14"/>
      <color theme="1"/>
      <name val="Calibri"/>
      <family val="2"/>
      <scheme val="minor"/>
    </font>
    <font>
      <b/>
      <sz val="12"/>
      <color theme="1"/>
      <name val="Calibri"/>
      <family val="2"/>
      <scheme val="minor"/>
    </font>
    <font>
      <sz val="10"/>
      <name val="Arial"/>
    </font>
    <font>
      <b/>
      <sz val="12"/>
      <name val="Arial Narrow"/>
      <family val="2"/>
    </font>
    <font>
      <b/>
      <sz val="14"/>
      <name val="Arial Narrow"/>
      <family val="2"/>
    </font>
    <font>
      <sz val="12"/>
      <color theme="1"/>
      <name val="Calibri"/>
      <family val="2"/>
      <scheme val="minor"/>
    </font>
    <font>
      <b/>
      <sz val="10"/>
      <name val="Arial Narrow"/>
      <family val="2"/>
    </font>
    <font>
      <sz val="10"/>
      <name val="Arial Narrow"/>
      <family val="2"/>
    </font>
    <font>
      <sz val="12"/>
      <name val="Arial Narrow"/>
      <family val="2"/>
    </font>
    <font>
      <b/>
      <i/>
      <sz val="10"/>
      <color indexed="10"/>
      <name val="Arial Narrow"/>
      <family val="2"/>
    </font>
    <font>
      <sz val="10"/>
      <color indexed="12"/>
      <name val="Arial Narrow"/>
      <family val="2"/>
    </font>
    <font>
      <b/>
      <i/>
      <sz val="10"/>
      <color indexed="17"/>
      <name val="Arial Narrow"/>
      <family val="2"/>
    </font>
    <font>
      <sz val="14"/>
      <name val="Arial Narrow"/>
      <family val="2"/>
    </font>
    <font>
      <b/>
      <i/>
      <sz val="14"/>
      <color indexed="10"/>
      <name val="Arial Narrow"/>
      <family val="2"/>
    </font>
    <font>
      <b/>
      <i/>
      <u/>
      <sz val="14"/>
      <color indexed="10"/>
      <name val="Arial Narrow"/>
      <family val="2"/>
    </font>
    <font>
      <b/>
      <i/>
      <sz val="14"/>
      <name val="Arial Narrow"/>
      <family val="2"/>
    </font>
    <font>
      <sz val="10"/>
      <name val="Arial"/>
      <family val="2"/>
    </font>
    <font>
      <b/>
      <u/>
      <sz val="11"/>
      <color theme="1"/>
      <name val="Helvetica"/>
      <family val="2"/>
    </font>
    <font>
      <b/>
      <sz val="10"/>
      <color theme="1"/>
      <name val="Times New Roman"/>
      <family val="1"/>
    </font>
    <font>
      <b/>
      <u/>
      <sz val="10"/>
      <color theme="1"/>
      <name val="Times New Roman"/>
      <family val="1"/>
    </font>
    <font>
      <b/>
      <u/>
      <sz val="14.5"/>
      <color theme="1"/>
      <name val="Times New Roman"/>
      <family val="1"/>
    </font>
    <font>
      <b/>
      <sz val="11"/>
      <color theme="1"/>
      <name val="Helvetica"/>
      <family val="2"/>
    </font>
    <font>
      <b/>
      <sz val="9"/>
      <color theme="1"/>
      <name val="Helvetica"/>
      <family val="2"/>
    </font>
    <font>
      <sz val="11"/>
      <color theme="1"/>
      <name val="Helvetica"/>
      <family val="2"/>
    </font>
    <font>
      <sz val="10"/>
      <color theme="1"/>
      <name val="Helvetica"/>
      <family val="2"/>
    </font>
    <font>
      <b/>
      <sz val="10"/>
      <color theme="1"/>
      <name val="Helvetica"/>
      <family val="2"/>
    </font>
    <font>
      <sz val="9"/>
      <color theme="1"/>
      <name val="Helvetica"/>
      <family val="2"/>
    </font>
    <font>
      <b/>
      <vertAlign val="superscript"/>
      <sz val="11"/>
      <color theme="1"/>
      <name val="Helvetica"/>
      <family val="2"/>
    </font>
    <font>
      <sz val="10"/>
      <color indexed="8"/>
      <name val="Arial"/>
      <family val="2"/>
    </font>
    <font>
      <sz val="10"/>
      <name val="Times New Roman"/>
      <family val="1"/>
    </font>
    <font>
      <sz val="10"/>
      <name val="Helv"/>
      <charset val="204"/>
    </font>
    <font>
      <b/>
      <sz val="14"/>
      <color rgb="FF000000"/>
      <name val="Calibri"/>
      <family val="2"/>
      <scheme val="minor"/>
    </font>
    <font>
      <b/>
      <u/>
      <sz val="14"/>
      <color theme="1"/>
      <name val="Helvetica"/>
      <family val="2"/>
    </font>
    <font>
      <b/>
      <sz val="13"/>
      <color theme="1"/>
      <name val="Calibri"/>
      <family val="2"/>
      <scheme val="minor"/>
    </font>
    <font>
      <sz val="11"/>
      <color theme="1"/>
      <name val="Times New Roman"/>
      <family val="1"/>
    </font>
    <font>
      <b/>
      <sz val="11"/>
      <color theme="1"/>
      <name val="Times New Roman"/>
      <family val="1"/>
    </font>
    <font>
      <b/>
      <u/>
      <sz val="11"/>
      <color theme="1"/>
      <name val="Times New Roman"/>
      <family val="1"/>
    </font>
    <font>
      <sz val="11"/>
      <name val="Times New Roman"/>
      <family val="1"/>
    </font>
    <font>
      <sz val="9"/>
      <color theme="1"/>
      <name val="Times New Roman"/>
      <family val="1"/>
    </font>
    <font>
      <b/>
      <sz val="11"/>
      <name val="Times New Roman"/>
      <family val="1"/>
    </font>
    <font>
      <b/>
      <sz val="12"/>
      <color theme="1"/>
      <name val="Times New Roman"/>
      <family val="1"/>
    </font>
    <font>
      <b/>
      <sz val="11"/>
      <name val="Arial"/>
      <family val="2"/>
    </font>
    <font>
      <b/>
      <sz val="10"/>
      <name val="Arial"/>
      <family val="2"/>
    </font>
    <font>
      <b/>
      <sz val="14"/>
      <color indexed="8"/>
      <name val="Arial"/>
      <family val="2"/>
    </font>
    <font>
      <b/>
      <sz val="12"/>
      <name val="Arial"/>
      <family val="2"/>
    </font>
    <font>
      <b/>
      <sz val="22"/>
      <color theme="1"/>
      <name val="Times New Roman"/>
      <family val="1"/>
    </font>
    <font>
      <b/>
      <u/>
      <sz val="12"/>
      <color theme="1"/>
      <name val="Times New Roman"/>
      <family val="1"/>
    </font>
    <font>
      <sz val="11"/>
      <color theme="2" tint="-0.89999084444715716"/>
      <name val="Calibri"/>
      <family val="2"/>
      <scheme val="minor"/>
    </font>
    <font>
      <sz val="11"/>
      <name val="Calibri"/>
      <family val="2"/>
      <scheme val="minor"/>
    </font>
    <font>
      <b/>
      <sz val="9"/>
      <name val="Calibri"/>
      <family val="2"/>
      <scheme val="minor"/>
    </font>
    <font>
      <b/>
      <sz val="9"/>
      <name val="Arial"/>
      <family val="2"/>
    </font>
    <font>
      <sz val="9"/>
      <color indexed="8"/>
      <name val="Calibri"/>
      <family val="2"/>
    </font>
    <font>
      <sz val="9"/>
      <color indexed="8"/>
      <name val="Arial"/>
      <family val="2"/>
    </font>
    <font>
      <sz val="9"/>
      <name val="Arial"/>
      <family val="2"/>
    </font>
    <font>
      <b/>
      <sz val="9"/>
      <color indexed="8"/>
      <name val="Arial"/>
      <family val="2"/>
    </font>
    <font>
      <sz val="9"/>
      <color theme="1"/>
      <name val="Calibri"/>
      <family val="2"/>
      <scheme val="minor"/>
    </font>
    <font>
      <b/>
      <sz val="9"/>
      <color theme="1"/>
      <name val="Calibri"/>
      <family val="2"/>
      <scheme val="minor"/>
    </font>
    <font>
      <b/>
      <sz val="9"/>
      <name val="Times New Roman"/>
      <family val="1"/>
    </font>
    <font>
      <b/>
      <sz val="9"/>
      <color theme="1"/>
      <name val="Times New Roman"/>
      <family val="1"/>
    </font>
    <font>
      <sz val="12"/>
      <color rgb="FF000000"/>
      <name val="Times New Roman"/>
      <family val="1"/>
    </font>
    <font>
      <b/>
      <sz val="12"/>
      <color rgb="FF000000"/>
      <name val="Times New Roman"/>
      <family val="1"/>
    </font>
    <font>
      <sz val="10"/>
      <color theme="1"/>
      <name val="Arial"/>
      <family val="2"/>
    </font>
    <font>
      <sz val="12"/>
      <color theme="1"/>
      <name val="Times New Roman"/>
      <family val="1"/>
    </font>
  </fonts>
  <fills count="8">
    <fill>
      <patternFill patternType="none"/>
    </fill>
    <fill>
      <patternFill patternType="gray125"/>
    </fill>
    <fill>
      <patternFill patternType="solid">
        <fgColor rgb="FFC4D79B"/>
        <bgColor indexed="64"/>
      </patternFill>
    </fill>
    <fill>
      <patternFill patternType="solid">
        <fgColor rgb="FFFFFFFF"/>
        <bgColor indexed="64"/>
      </patternFill>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right/>
      <top/>
      <bottom style="medium">
        <color indexed="64"/>
      </bottom>
      <diagonal/>
    </border>
    <border>
      <left style="hair">
        <color indexed="64"/>
      </left>
      <right style="hair">
        <color indexed="64"/>
      </right>
      <top style="hair">
        <color indexed="64"/>
      </top>
      <bottom style="hair">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medium">
        <color indexed="64"/>
      </top>
      <bottom style="medium">
        <color indexed="64"/>
      </bottom>
      <diagonal/>
    </border>
    <border>
      <left style="hair">
        <color indexed="64"/>
      </left>
      <right style="hair">
        <color indexed="64"/>
      </right>
      <top style="medium">
        <color indexed="64"/>
      </top>
      <bottom style="medium">
        <color indexed="64"/>
      </bottom>
      <diagonal/>
    </border>
    <border>
      <left style="hair">
        <color indexed="64"/>
      </left>
      <right style="medium">
        <color indexed="64"/>
      </right>
      <top style="medium">
        <color indexed="64"/>
      </top>
      <bottom style="medium">
        <color indexed="64"/>
      </bottom>
      <diagonal/>
    </border>
    <border>
      <left style="medium">
        <color indexed="64"/>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s>
  <cellStyleXfs count="16">
    <xf numFmtId="0" fontId="0" fillId="0" borderId="0"/>
    <xf numFmtId="0" fontId="14" fillId="0" borderId="0" applyNumberFormat="0" applyFill="0" applyBorder="0" applyAlignment="0" applyProtection="0"/>
    <xf numFmtId="43" fontId="17" fillId="0" borderId="0" applyFont="0" applyFill="0" applyBorder="0" applyAlignment="0" applyProtection="0"/>
    <xf numFmtId="0" fontId="22" fillId="0" borderId="0"/>
    <xf numFmtId="43" fontId="36" fillId="0" borderId="0" applyFont="0" applyFill="0" applyBorder="0" applyAlignment="0" applyProtection="0"/>
    <xf numFmtId="0" fontId="36" fillId="0" borderId="0"/>
    <xf numFmtId="0" fontId="48" fillId="0" borderId="0">
      <alignment textRotation="252"/>
    </xf>
    <xf numFmtId="164" fontId="17" fillId="0" borderId="0" applyFont="0" applyFill="0" applyBorder="0" applyAlignment="0" applyProtection="0"/>
    <xf numFmtId="43" fontId="36" fillId="0" borderId="0" applyFont="0" applyFill="0" applyBorder="0" applyAlignment="0" applyProtection="0"/>
    <xf numFmtId="43" fontId="17" fillId="0" borderId="0" applyFont="0" applyFill="0" applyBorder="0" applyAlignment="0" applyProtection="0"/>
    <xf numFmtId="0" fontId="48" fillId="0" borderId="0">
      <alignment textRotation="252"/>
    </xf>
    <xf numFmtId="0" fontId="49" fillId="0" borderId="0"/>
    <xf numFmtId="0" fontId="36" fillId="0" borderId="0"/>
    <xf numFmtId="0" fontId="36" fillId="0" borderId="0"/>
    <xf numFmtId="0" fontId="36" fillId="0" borderId="0"/>
    <xf numFmtId="0" fontId="50" fillId="0" borderId="0"/>
  </cellStyleXfs>
  <cellXfs count="418">
    <xf numFmtId="0" fontId="0" fillId="0" borderId="0" xfId="0"/>
    <xf numFmtId="0" fontId="3" fillId="0" borderId="1" xfId="0" applyFont="1" applyBorder="1" applyAlignment="1">
      <alignment horizontal="center" vertical="center" wrapText="1"/>
    </xf>
    <xf numFmtId="0" fontId="6" fillId="3" borderId="1"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vertical="center" wrapText="1"/>
    </xf>
    <xf numFmtId="0" fontId="10" fillId="0" borderId="1" xfId="0" applyFont="1" applyBorder="1" applyAlignment="1">
      <alignment vertical="center" wrapText="1"/>
    </xf>
    <xf numFmtId="0" fontId="8" fillId="3"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12" fillId="0" borderId="1" xfId="0" applyFont="1" applyBorder="1" applyAlignment="1">
      <alignment vertical="center" wrapText="1"/>
    </xf>
    <xf numFmtId="0" fontId="7" fillId="3" borderId="1" xfId="0" applyFont="1" applyFill="1" applyBorder="1" applyAlignment="1">
      <alignment vertical="center" wrapText="1"/>
    </xf>
    <xf numFmtId="0" fontId="13" fillId="3" borderId="1" xfId="0" applyFont="1" applyFill="1" applyBorder="1" applyAlignment="1">
      <alignment horizontal="center" vertical="center" wrapText="1"/>
    </xf>
    <xf numFmtId="0" fontId="14" fillId="3" borderId="1" xfId="1" applyFill="1" applyBorder="1" applyAlignment="1">
      <alignment horizontal="center" vertical="center" wrapText="1"/>
    </xf>
    <xf numFmtId="0" fontId="2" fillId="2" borderId="1" xfId="0" applyFont="1" applyFill="1" applyBorder="1" applyAlignment="1">
      <alignment vertical="center" wrapText="1"/>
    </xf>
    <xf numFmtId="0" fontId="4" fillId="0" borderId="1" xfId="0" applyFont="1" applyBorder="1" applyAlignment="1">
      <alignment horizontal="center" vertical="center" wrapText="1"/>
    </xf>
    <xf numFmtId="0" fontId="5" fillId="3" borderId="1" xfId="0" applyFont="1" applyFill="1" applyBorder="1" applyAlignment="1">
      <alignment horizontal="center" vertical="center" wrapText="1"/>
    </xf>
    <xf numFmtId="0" fontId="5" fillId="3" borderId="1" xfId="0" applyFont="1" applyFill="1" applyBorder="1" applyAlignment="1">
      <alignment vertical="center" wrapText="1"/>
    </xf>
    <xf numFmtId="0" fontId="7" fillId="3" borderId="1" xfId="0" applyFont="1" applyFill="1" applyBorder="1" applyAlignment="1">
      <alignment horizontal="right" vertical="center" wrapText="1"/>
    </xf>
    <xf numFmtId="0" fontId="9" fillId="3" borderId="1" xfId="0" applyFont="1" applyFill="1" applyBorder="1" applyAlignment="1">
      <alignment horizontal="center" vertical="center" wrapText="1"/>
    </xf>
    <xf numFmtId="0" fontId="8" fillId="3" borderId="1" xfId="0" applyFont="1" applyFill="1" applyBorder="1" applyAlignment="1">
      <alignment horizontal="right" vertical="center" wrapText="1"/>
    </xf>
    <xf numFmtId="3" fontId="8" fillId="3" borderId="1" xfId="0" applyNumberFormat="1" applyFont="1" applyFill="1" applyBorder="1" applyAlignment="1">
      <alignment horizontal="right" vertical="center" wrapText="1"/>
    </xf>
    <xf numFmtId="0" fontId="9" fillId="0" borderId="1" xfId="0" applyFont="1" applyBorder="1" applyAlignment="1">
      <alignment horizontal="center" vertical="center" wrapText="1"/>
    </xf>
    <xf numFmtId="3" fontId="8" fillId="0" borderId="1" xfId="0" applyNumberFormat="1" applyFont="1" applyBorder="1" applyAlignment="1">
      <alignment horizontal="right" vertical="center" wrapText="1"/>
    </xf>
    <xf numFmtId="0" fontId="5" fillId="0" borderId="1" xfId="0" applyFont="1" applyBorder="1" applyAlignment="1">
      <alignment horizontal="center" vertical="center" wrapText="1"/>
    </xf>
    <xf numFmtId="3" fontId="3" fillId="3" borderId="1" xfId="0" applyNumberFormat="1" applyFont="1" applyFill="1" applyBorder="1" applyAlignment="1">
      <alignment horizontal="right" vertical="center" wrapText="1"/>
    </xf>
    <xf numFmtId="0" fontId="8" fillId="0" borderId="1" xfId="0" applyFont="1" applyBorder="1" applyAlignment="1">
      <alignment horizontal="right" vertical="center" wrapText="1"/>
    </xf>
    <xf numFmtId="0" fontId="7" fillId="0" borderId="1" xfId="0" applyFont="1" applyBorder="1" applyAlignment="1">
      <alignment vertical="center" wrapText="1"/>
    </xf>
    <xf numFmtId="0" fontId="7" fillId="0" borderId="1" xfId="0" applyFont="1" applyBorder="1" applyAlignment="1">
      <alignment horizontal="right" vertical="center" wrapText="1"/>
    </xf>
    <xf numFmtId="0" fontId="0" fillId="0" borderId="1" xfId="0" applyBorder="1" applyAlignment="1">
      <alignment vertical="center" wrapText="1"/>
    </xf>
    <xf numFmtId="0" fontId="0" fillId="0" borderId="1" xfId="0" applyBorder="1" applyAlignment="1">
      <alignment wrapText="1"/>
    </xf>
    <xf numFmtId="3" fontId="0" fillId="0" borderId="0" xfId="0" applyNumberFormat="1"/>
    <xf numFmtId="4" fontId="0" fillId="0" borderId="0" xfId="0" applyNumberFormat="1"/>
    <xf numFmtId="1" fontId="7" fillId="3" borderId="1" xfId="0" applyNumberFormat="1" applyFont="1" applyFill="1" applyBorder="1" applyAlignment="1">
      <alignment horizontal="center" vertical="center" wrapText="1"/>
    </xf>
    <xf numFmtId="0" fontId="8" fillId="4" borderId="1" xfId="0" applyFont="1" applyFill="1" applyBorder="1" applyAlignment="1">
      <alignment horizontal="center" vertical="center" wrapText="1"/>
    </xf>
    <xf numFmtId="0" fontId="10" fillId="4" borderId="1" xfId="0" applyFont="1" applyFill="1" applyBorder="1" applyAlignment="1">
      <alignment vertical="center" wrapText="1"/>
    </xf>
    <xf numFmtId="3" fontId="8" fillId="4" borderId="1" xfId="0" applyNumberFormat="1" applyFont="1" applyFill="1" applyBorder="1" applyAlignment="1">
      <alignment horizontal="right" vertical="center" wrapText="1"/>
    </xf>
    <xf numFmtId="0" fontId="0" fillId="4" borderId="0" xfId="0" applyFill="1"/>
    <xf numFmtId="3" fontId="0" fillId="4" borderId="0" xfId="0" applyNumberFormat="1" applyFill="1"/>
    <xf numFmtId="0" fontId="8" fillId="4" borderId="1" xfId="0" applyFont="1" applyFill="1" applyBorder="1" applyAlignment="1">
      <alignment vertical="center" wrapText="1"/>
    </xf>
    <xf numFmtId="0" fontId="7" fillId="4" borderId="1" xfId="0" applyFont="1" applyFill="1" applyBorder="1" applyAlignment="1">
      <alignment horizontal="center" vertical="center" wrapText="1"/>
    </xf>
    <xf numFmtId="0" fontId="7" fillId="4" borderId="1" xfId="0" applyFont="1" applyFill="1" applyBorder="1" applyAlignment="1">
      <alignment vertical="center" wrapText="1"/>
    </xf>
    <xf numFmtId="3" fontId="7" fillId="4" borderId="1" xfId="0" applyNumberFormat="1" applyFont="1" applyFill="1" applyBorder="1" applyAlignment="1">
      <alignment horizontal="right"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vertical="center" wrapText="1"/>
    </xf>
    <xf numFmtId="0" fontId="5" fillId="0"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0" fillId="0" borderId="0" xfId="0" applyFill="1"/>
    <xf numFmtId="0" fontId="8" fillId="0" borderId="1" xfId="0" applyFont="1" applyFill="1" applyBorder="1" applyAlignment="1">
      <alignment horizontal="center" vertical="center" wrapText="1"/>
    </xf>
    <xf numFmtId="0" fontId="8" fillId="0" borderId="1" xfId="0" applyFont="1" applyFill="1" applyBorder="1" applyAlignment="1">
      <alignment vertical="center" wrapText="1"/>
    </xf>
    <xf numFmtId="0" fontId="9" fillId="0" borderId="1" xfId="0" applyFont="1" applyFill="1" applyBorder="1" applyAlignment="1">
      <alignment horizontal="center" vertical="center" wrapText="1"/>
    </xf>
    <xf numFmtId="0" fontId="8" fillId="0" borderId="1" xfId="0" applyFont="1" applyFill="1" applyBorder="1" applyAlignment="1">
      <alignment horizontal="right" vertical="center" wrapText="1"/>
    </xf>
    <xf numFmtId="4" fontId="8" fillId="0" borderId="1" xfId="0" applyNumberFormat="1" applyFont="1" applyFill="1" applyBorder="1" applyAlignment="1">
      <alignment horizontal="right" vertical="center" wrapText="1"/>
    </xf>
    <xf numFmtId="0" fontId="10" fillId="0" borderId="1" xfId="0" applyFont="1" applyFill="1" applyBorder="1" applyAlignment="1">
      <alignment vertical="center" wrapText="1"/>
    </xf>
    <xf numFmtId="4" fontId="3" fillId="0" borderId="1" xfId="0" applyNumberFormat="1" applyFont="1" applyFill="1" applyBorder="1" applyAlignment="1">
      <alignment horizontal="right" vertical="center" wrapText="1"/>
    </xf>
    <xf numFmtId="4" fontId="7" fillId="0" borderId="1" xfId="0" applyNumberFormat="1" applyFont="1" applyFill="1" applyBorder="1" applyAlignment="1">
      <alignment horizontal="center" vertical="center" wrapText="1"/>
    </xf>
    <xf numFmtId="0" fontId="7" fillId="0" borderId="1" xfId="0" applyFont="1" applyFill="1" applyBorder="1" applyAlignment="1">
      <alignment vertical="center" wrapText="1"/>
    </xf>
    <xf numFmtId="4" fontId="7" fillId="0" borderId="1" xfId="0" applyNumberFormat="1" applyFont="1" applyFill="1" applyBorder="1" applyAlignment="1">
      <alignment horizontal="right" vertical="center" wrapText="1"/>
    </xf>
    <xf numFmtId="0" fontId="12" fillId="0" borderId="1" xfId="0" applyFont="1" applyFill="1" applyBorder="1" applyAlignment="1">
      <alignment vertical="center" wrapText="1"/>
    </xf>
    <xf numFmtId="0" fontId="13" fillId="0" borderId="1" xfId="0" applyFont="1" applyFill="1" applyBorder="1" applyAlignment="1">
      <alignment horizontal="center" vertical="center" wrapText="1"/>
    </xf>
    <xf numFmtId="0" fontId="8" fillId="0" borderId="1" xfId="0" applyFont="1" applyFill="1" applyBorder="1" applyAlignment="1">
      <alignment horizontal="center" vertical="center"/>
    </xf>
    <xf numFmtId="4" fontId="8" fillId="0" borderId="1" xfId="0" applyNumberFormat="1" applyFont="1" applyFill="1" applyBorder="1" applyAlignment="1">
      <alignment horizontal="right" vertical="center"/>
    </xf>
    <xf numFmtId="0" fontId="16" fillId="0" borderId="1" xfId="0" applyFont="1" applyFill="1" applyBorder="1"/>
    <xf numFmtId="0" fontId="16" fillId="0" borderId="0" xfId="0" applyFont="1" applyFill="1"/>
    <xf numFmtId="0" fontId="8" fillId="0" borderId="2" xfId="0" applyFont="1" applyFill="1" applyBorder="1" applyAlignment="1">
      <alignment vertical="center" wrapText="1"/>
    </xf>
    <xf numFmtId="0" fontId="8" fillId="0" borderId="1" xfId="0" applyFont="1" applyFill="1" applyBorder="1" applyAlignment="1">
      <alignment vertical="center"/>
    </xf>
    <xf numFmtId="2" fontId="8" fillId="0" borderId="1" xfId="0" applyNumberFormat="1" applyFont="1" applyFill="1" applyBorder="1" applyAlignment="1">
      <alignment vertical="center"/>
    </xf>
    <xf numFmtId="0" fontId="3" fillId="0" borderId="2" xfId="0" applyFont="1" applyFill="1" applyBorder="1" applyAlignment="1">
      <alignment horizontal="right" vertical="center" wrapText="1"/>
    </xf>
    <xf numFmtId="0" fontId="3" fillId="0" borderId="4" xfId="0" applyFont="1" applyFill="1" applyBorder="1" applyAlignment="1">
      <alignment horizontal="right" vertical="center" wrapText="1"/>
    </xf>
    <xf numFmtId="4" fontId="16" fillId="0" borderId="1" xfId="0" applyNumberFormat="1" applyFont="1" applyFill="1" applyBorder="1"/>
    <xf numFmtId="4" fontId="15" fillId="0" borderId="1" xfId="0" applyNumberFormat="1" applyFont="1" applyFill="1" applyBorder="1"/>
    <xf numFmtId="0" fontId="8" fillId="0" borderId="1" xfId="0" applyFont="1" applyFill="1" applyBorder="1" applyAlignment="1">
      <alignment vertical="center" wrapText="1"/>
    </xf>
    <xf numFmtId="0" fontId="3" fillId="0" borderId="2" xfId="0" applyFont="1" applyFill="1" applyBorder="1" applyAlignment="1">
      <alignment horizontal="right" vertical="center" wrapText="1"/>
    </xf>
    <xf numFmtId="0" fontId="3" fillId="0" borderId="4" xfId="0" applyFont="1" applyFill="1" applyBorder="1" applyAlignment="1">
      <alignment horizontal="right" vertical="center" wrapText="1"/>
    </xf>
    <xf numFmtId="0" fontId="15" fillId="0" borderId="0" xfId="0" applyFont="1" applyFill="1" applyBorder="1" applyAlignment="1">
      <alignment horizontal="center"/>
    </xf>
    <xf numFmtId="0" fontId="0" fillId="0" borderId="1" xfId="0" applyBorder="1"/>
    <xf numFmtId="0" fontId="18" fillId="0" borderId="1" xfId="0" applyFont="1" applyBorder="1" applyAlignment="1">
      <alignment horizontal="center" vertical="center" wrapText="1"/>
    </xf>
    <xf numFmtId="0" fontId="0" fillId="4" borderId="1" xfId="0" applyFill="1" applyBorder="1"/>
    <xf numFmtId="0" fontId="18" fillId="4" borderId="1" xfId="0" applyFont="1" applyFill="1" applyBorder="1"/>
    <xf numFmtId="2" fontId="0" fillId="0" borderId="1" xfId="0" applyNumberFormat="1" applyBorder="1"/>
    <xf numFmtId="2" fontId="0" fillId="4" borderId="1" xfId="0" applyNumberFormat="1" applyFill="1" applyBorder="1"/>
    <xf numFmtId="0" fontId="21" fillId="4" borderId="1" xfId="0" applyFont="1" applyFill="1" applyBorder="1"/>
    <xf numFmtId="0" fontId="23" fillId="0" borderId="1" xfId="3" applyFont="1" applyFill="1" applyBorder="1" applyAlignment="1">
      <alignment horizontal="center" vertical="center" wrapText="1"/>
    </xf>
    <xf numFmtId="0" fontId="25" fillId="0" borderId="0" xfId="0" applyFont="1"/>
    <xf numFmtId="0" fontId="26" fillId="0" borderId="1" xfId="3" applyFont="1" applyFill="1" applyBorder="1" applyAlignment="1">
      <alignment horizontal="center" vertical="center" wrapText="1"/>
    </xf>
    <xf numFmtId="0" fontId="27" fillId="0" borderId="1" xfId="3" applyFont="1" applyFill="1" applyBorder="1" applyAlignment="1">
      <alignment horizontal="center" vertical="center" wrapText="1"/>
    </xf>
    <xf numFmtId="0" fontId="28" fillId="0" borderId="1" xfId="3" applyFont="1" applyFill="1" applyBorder="1" applyAlignment="1">
      <alignment horizontal="center" vertical="top" wrapText="1"/>
    </xf>
    <xf numFmtId="0" fontId="27" fillId="0" borderId="1" xfId="3" applyFont="1" applyFill="1" applyBorder="1" applyAlignment="1">
      <alignment vertical="top"/>
    </xf>
    <xf numFmtId="165" fontId="27" fillId="0" borderId="1" xfId="3" applyNumberFormat="1" applyFont="1" applyFill="1" applyBorder="1" applyAlignment="1">
      <alignment horizontal="right" vertical="center"/>
    </xf>
    <xf numFmtId="165" fontId="27" fillId="0" borderId="1" xfId="3" applyNumberFormat="1" applyFont="1" applyFill="1" applyBorder="1" applyAlignment="1">
      <alignment horizontal="center" vertical="top" wrapText="1"/>
    </xf>
    <xf numFmtId="166" fontId="27" fillId="0" borderId="1" xfId="3" applyNumberFormat="1" applyFont="1" applyFill="1" applyBorder="1" applyAlignment="1">
      <alignment horizontal="left" vertical="center"/>
    </xf>
    <xf numFmtId="165" fontId="30" fillId="0" borderId="1" xfId="3" applyNumberFormat="1" applyFont="1" applyFill="1" applyBorder="1" applyAlignment="1">
      <alignment horizontal="left" vertical="top"/>
    </xf>
    <xf numFmtId="165" fontId="27" fillId="0" borderId="1" xfId="3" applyNumberFormat="1" applyFont="1" applyFill="1" applyBorder="1" applyAlignment="1">
      <alignment horizontal="left" vertical="center"/>
    </xf>
    <xf numFmtId="0" fontId="26" fillId="0" borderId="1" xfId="3" applyFont="1" applyFill="1" applyBorder="1" applyAlignment="1">
      <alignment horizontal="justify" vertical="center" wrapText="1"/>
    </xf>
    <xf numFmtId="165" fontId="27" fillId="0" borderId="1" xfId="3" applyNumberFormat="1" applyFont="1" applyFill="1" applyBorder="1" applyAlignment="1">
      <alignment horizontal="center" vertical="center" wrapText="1"/>
    </xf>
    <xf numFmtId="166" fontId="27" fillId="0" borderId="1" xfId="3" applyNumberFormat="1" applyFont="1" applyFill="1" applyBorder="1" applyAlignment="1">
      <alignment horizontal="right" vertical="center"/>
    </xf>
    <xf numFmtId="165" fontId="30" fillId="0" borderId="1" xfId="3" applyNumberFormat="1" applyFont="1" applyFill="1" applyBorder="1" applyAlignment="1">
      <alignment vertical="top"/>
    </xf>
    <xf numFmtId="0" fontId="30" fillId="0" borderId="1" xfId="3" applyFont="1" applyFill="1" applyBorder="1" applyAlignment="1">
      <alignment vertical="center" wrapText="1"/>
    </xf>
    <xf numFmtId="165" fontId="30" fillId="0" borderId="1" xfId="3" applyNumberFormat="1" applyFont="1" applyFill="1" applyBorder="1" applyAlignment="1">
      <alignment horizontal="center" vertical="center" wrapText="1"/>
    </xf>
    <xf numFmtId="166" fontId="30" fillId="0" borderId="1" xfId="3" applyNumberFormat="1" applyFont="1" applyFill="1" applyBorder="1" applyAlignment="1">
      <alignment horizontal="right" vertical="center"/>
    </xf>
    <xf numFmtId="165" fontId="30" fillId="0" borderId="1" xfId="3" applyNumberFormat="1" applyFont="1" applyFill="1" applyBorder="1" applyAlignment="1">
      <alignment horizontal="right" vertical="top"/>
    </xf>
    <xf numFmtId="0" fontId="26" fillId="0" borderId="1" xfId="3" applyFont="1" applyFill="1" applyBorder="1" applyAlignment="1">
      <alignment vertical="center" wrapText="1"/>
    </xf>
    <xf numFmtId="0" fontId="27" fillId="0" borderId="1" xfId="3" applyFont="1" applyFill="1" applyBorder="1" applyAlignment="1">
      <alignment horizontal="justify" vertical="center" wrapText="1"/>
    </xf>
    <xf numFmtId="0" fontId="24" fillId="4" borderId="1" xfId="3" applyFont="1" applyFill="1" applyBorder="1" applyAlignment="1">
      <alignment horizontal="center" vertical="center" wrapText="1"/>
    </xf>
    <xf numFmtId="0" fontId="32" fillId="4" borderId="1" xfId="3" applyFont="1" applyFill="1" applyBorder="1" applyAlignment="1">
      <alignment horizontal="center" vertical="center" wrapText="1"/>
    </xf>
    <xf numFmtId="0" fontId="24" fillId="4" borderId="1" xfId="3" applyFont="1" applyFill="1" applyBorder="1" applyAlignment="1">
      <alignment horizontal="justify" vertical="center" wrapText="1"/>
    </xf>
    <xf numFmtId="165" fontId="32" fillId="4" borderId="1" xfId="3" applyNumberFormat="1" applyFont="1" applyFill="1" applyBorder="1" applyAlignment="1">
      <alignment horizontal="center" vertical="center" wrapText="1"/>
    </xf>
    <xf numFmtId="166" fontId="32" fillId="4" borderId="1" xfId="3" applyNumberFormat="1" applyFont="1" applyFill="1" applyBorder="1" applyAlignment="1">
      <alignment horizontal="right" vertical="center"/>
    </xf>
    <xf numFmtId="165" fontId="33" fillId="4" borderId="1" xfId="3" applyNumberFormat="1" applyFont="1" applyFill="1" applyBorder="1" applyAlignment="1">
      <alignment horizontal="right" vertical="center"/>
    </xf>
    <xf numFmtId="165" fontId="34" fillId="4" borderId="1" xfId="3" applyNumberFormat="1" applyFont="1" applyFill="1" applyBorder="1" applyAlignment="1">
      <alignment horizontal="right" vertical="center"/>
    </xf>
    <xf numFmtId="165" fontId="35" fillId="4" borderId="1" xfId="3" applyNumberFormat="1" applyFont="1" applyFill="1" applyBorder="1" applyAlignment="1">
      <alignment horizontal="center" vertical="center" wrapText="1"/>
    </xf>
    <xf numFmtId="0" fontId="19" fillId="0" borderId="0" xfId="0" applyFont="1" applyAlignment="1">
      <alignment vertical="center"/>
    </xf>
    <xf numFmtId="0" fontId="0" fillId="0" borderId="1" xfId="0" applyFont="1" applyBorder="1" applyAlignment="1">
      <alignment horizontal="center" vertical="center"/>
    </xf>
    <xf numFmtId="0" fontId="0" fillId="0" borderId="1" xfId="0" applyFont="1" applyBorder="1" applyAlignment="1">
      <alignment horizontal="left" vertical="center"/>
    </xf>
    <xf numFmtId="0" fontId="0" fillId="0" borderId="1" xfId="0" applyFont="1" applyBorder="1" applyAlignment="1">
      <alignment horizontal="center" vertical="center" wrapText="1"/>
    </xf>
    <xf numFmtId="0" fontId="0" fillId="0" borderId="0" xfId="0" applyAlignment="1">
      <alignment vertical="center"/>
    </xf>
    <xf numFmtId="0" fontId="25" fillId="0" borderId="1" xfId="0" applyFont="1" applyBorder="1"/>
    <xf numFmtId="0" fontId="18" fillId="0" borderId="6" xfId="0" applyFont="1" applyBorder="1" applyAlignment="1">
      <alignment vertical="center" wrapText="1"/>
    </xf>
    <xf numFmtId="0" fontId="0" fillId="0" borderId="0" xfId="0" applyAlignment="1">
      <alignment horizontal="center"/>
    </xf>
    <xf numFmtId="0" fontId="0" fillId="0" borderId="1" xfId="0" applyBorder="1" applyAlignment="1">
      <alignment horizontal="right"/>
    </xf>
    <xf numFmtId="0" fontId="0" fillId="4" borderId="1" xfId="0" applyFill="1" applyBorder="1" applyAlignment="1">
      <alignment horizontal="center"/>
    </xf>
    <xf numFmtId="1" fontId="21" fillId="4" borderId="1" xfId="0" applyNumberFormat="1" applyFont="1" applyFill="1" applyBorder="1" applyAlignment="1">
      <alignment horizontal="right"/>
    </xf>
    <xf numFmtId="1" fontId="21" fillId="4" borderId="1" xfId="0" applyNumberFormat="1" applyFont="1" applyFill="1" applyBorder="1"/>
    <xf numFmtId="0" fontId="10" fillId="0" borderId="1" xfId="0" applyFont="1" applyFill="1" applyBorder="1" applyAlignment="1">
      <alignment horizontal="center" vertical="center" wrapText="1"/>
    </xf>
    <xf numFmtId="0" fontId="18" fillId="4" borderId="1" xfId="0" applyFont="1" applyFill="1" applyBorder="1" applyAlignment="1">
      <alignment horizontal="center"/>
    </xf>
    <xf numFmtId="0" fontId="37" fillId="0" borderId="0" xfId="0" applyFont="1" applyFill="1" applyAlignment="1">
      <alignment vertical="center" wrapText="1"/>
    </xf>
    <xf numFmtId="0" fontId="38" fillId="0" borderId="0" xfId="0" applyFont="1" applyFill="1" applyAlignment="1">
      <alignment vertical="center" wrapText="1"/>
    </xf>
    <xf numFmtId="0" fontId="40" fillId="0" borderId="0" xfId="0" applyFont="1" applyFill="1" applyAlignment="1">
      <alignment horizontal="center" vertical="center" wrapText="1"/>
    </xf>
    <xf numFmtId="0" fontId="41" fillId="0" borderId="1" xfId="0" applyFont="1" applyFill="1" applyBorder="1" applyAlignment="1">
      <alignment horizontal="center" vertical="top" wrapText="1"/>
    </xf>
    <xf numFmtId="0" fontId="41" fillId="0" borderId="1" xfId="0" applyFont="1" applyFill="1" applyBorder="1" applyAlignment="1">
      <alignment horizontal="center" vertical="top"/>
    </xf>
    <xf numFmtId="0" fontId="42" fillId="0" borderId="1" xfId="0" applyFont="1" applyFill="1" applyBorder="1" applyAlignment="1">
      <alignment horizontal="center" vertical="top"/>
    </xf>
    <xf numFmtId="0" fontId="43" fillId="0" borderId="0" xfId="0" applyFont="1" applyFill="1" applyBorder="1"/>
    <xf numFmtId="0" fontId="43" fillId="0" borderId="1" xfId="0" applyFont="1" applyFill="1" applyBorder="1" applyAlignment="1">
      <alignment horizontal="center" vertical="center"/>
    </xf>
    <xf numFmtId="0" fontId="43" fillId="0" borderId="1" xfId="0" applyFont="1" applyFill="1" applyBorder="1" applyAlignment="1">
      <alignment vertical="center" wrapText="1"/>
    </xf>
    <xf numFmtId="168" fontId="43" fillId="5" borderId="1" xfId="2" applyNumberFormat="1" applyFont="1" applyFill="1" applyBorder="1" applyAlignment="1">
      <alignment horizontal="right" vertical="center"/>
    </xf>
    <xf numFmtId="0" fontId="44" fillId="0" borderId="1" xfId="0" applyFont="1" applyFill="1" applyBorder="1" applyAlignment="1">
      <alignment horizontal="center" vertical="center"/>
    </xf>
    <xf numFmtId="0" fontId="44" fillId="0" borderId="1" xfId="0" applyFont="1" applyFill="1" applyBorder="1" applyAlignment="1">
      <alignment horizontal="center" vertical="center" wrapText="1"/>
    </xf>
    <xf numFmtId="0" fontId="41" fillId="0" borderId="1" xfId="0" applyFont="1" applyFill="1" applyBorder="1" applyAlignment="1">
      <alignment horizontal="right" vertical="center" wrapText="1"/>
    </xf>
    <xf numFmtId="0" fontId="43" fillId="0" borderId="1" xfId="0" applyFont="1" applyFill="1" applyBorder="1"/>
    <xf numFmtId="0" fontId="43" fillId="5" borderId="1" xfId="0" applyFont="1" applyFill="1" applyBorder="1" applyAlignment="1">
      <alignment horizontal="center" vertical="center"/>
    </xf>
    <xf numFmtId="164" fontId="43" fillId="0" borderId="1" xfId="2" applyNumberFormat="1" applyFont="1" applyFill="1" applyBorder="1" applyAlignment="1">
      <alignment vertical="center" wrapText="1"/>
    </xf>
    <xf numFmtId="168" fontId="43" fillId="0" borderId="0" xfId="0" applyNumberFormat="1" applyFont="1" applyFill="1" applyBorder="1"/>
    <xf numFmtId="43" fontId="43" fillId="0" borderId="0" xfId="0" applyNumberFormat="1" applyFont="1" applyFill="1" applyBorder="1"/>
    <xf numFmtId="0" fontId="45" fillId="0" borderId="1" xfId="0" applyFont="1" applyFill="1" applyBorder="1" applyAlignment="1">
      <alignment vertical="center"/>
    </xf>
    <xf numFmtId="0" fontId="43" fillId="0" borderId="1" xfId="0" applyFont="1" applyFill="1" applyBorder="1" applyAlignment="1">
      <alignment horizontal="left" vertical="center" wrapText="1"/>
    </xf>
    <xf numFmtId="168" fontId="43" fillId="0" borderId="1" xfId="0" applyNumberFormat="1" applyFont="1" applyFill="1" applyBorder="1" applyAlignment="1">
      <alignment horizontal="right" vertical="center"/>
    </xf>
    <xf numFmtId="0" fontId="46" fillId="0" borderId="1" xfId="0" applyFont="1" applyFill="1" applyBorder="1" applyAlignment="1">
      <alignment wrapText="1"/>
    </xf>
    <xf numFmtId="169" fontId="41" fillId="0" borderId="1" xfId="0" applyNumberFormat="1" applyFont="1" applyFill="1" applyBorder="1" applyAlignment="1">
      <alignment horizontal="right" vertical="center"/>
    </xf>
    <xf numFmtId="0" fontId="43" fillId="0" borderId="1" xfId="0" applyFont="1" applyFill="1" applyBorder="1" applyAlignment="1">
      <alignment vertical="center"/>
    </xf>
    <xf numFmtId="0" fontId="43" fillId="0" borderId="1" xfId="0" applyFont="1" applyFill="1" applyBorder="1" applyAlignment="1">
      <alignment horizontal="center"/>
    </xf>
    <xf numFmtId="168" fontId="43" fillId="0" borderId="1" xfId="0" applyNumberFormat="1" applyFont="1" applyFill="1" applyBorder="1"/>
    <xf numFmtId="164" fontId="41" fillId="0" borderId="1" xfId="2" applyNumberFormat="1" applyFont="1" applyFill="1" applyBorder="1" applyAlignment="1">
      <alignment horizontal="right" vertical="center"/>
    </xf>
    <xf numFmtId="0" fontId="41" fillId="0" borderId="1" xfId="0" applyFont="1" applyFill="1" applyBorder="1"/>
    <xf numFmtId="43" fontId="43" fillId="0" borderId="1" xfId="0" applyNumberFormat="1" applyFont="1" applyFill="1" applyBorder="1" applyAlignment="1">
      <alignment horizontal="center" vertical="center" wrapText="1"/>
    </xf>
    <xf numFmtId="3" fontId="0" fillId="0" borderId="0" xfId="0" applyNumberFormat="1" applyFill="1"/>
    <xf numFmtId="0" fontId="0" fillId="0" borderId="1" xfId="0" applyBorder="1" applyAlignment="1">
      <alignment vertical="center"/>
    </xf>
    <xf numFmtId="167" fontId="0" fillId="0" borderId="1" xfId="0" applyNumberFormat="1" applyBorder="1" applyAlignment="1">
      <alignment vertical="center"/>
    </xf>
    <xf numFmtId="1" fontId="8" fillId="0" borderId="1" xfId="0" applyNumberFormat="1" applyFont="1" applyFill="1" applyBorder="1" applyAlignment="1">
      <alignment horizontal="center" vertical="center" wrapText="1"/>
    </xf>
    <xf numFmtId="0" fontId="37" fillId="0" borderId="0" xfId="0" applyFont="1" applyFill="1" applyBorder="1" applyAlignment="1">
      <alignment horizontal="center" vertical="center" wrapText="1"/>
    </xf>
    <xf numFmtId="0" fontId="42" fillId="0" borderId="0" xfId="0" applyFont="1" applyFill="1" applyBorder="1" applyAlignment="1">
      <alignment horizontal="center" vertical="top"/>
    </xf>
    <xf numFmtId="0" fontId="38" fillId="0" borderId="0" xfId="0" applyFont="1" applyFill="1" applyBorder="1" applyAlignment="1">
      <alignment horizontal="center" vertical="center" wrapText="1"/>
    </xf>
    <xf numFmtId="0" fontId="0" fillId="0" borderId="0" xfId="0"/>
    <xf numFmtId="0" fontId="43" fillId="0" borderId="0" xfId="0" applyFont="1" applyFill="1" applyBorder="1"/>
    <xf numFmtId="0" fontId="43" fillId="0" borderId="1" xfId="0" applyFont="1" applyFill="1" applyBorder="1" applyAlignment="1">
      <alignment horizontal="center" vertical="center"/>
    </xf>
    <xf numFmtId="0" fontId="43" fillId="0" borderId="1" xfId="0" applyFont="1" applyFill="1" applyBorder="1" applyAlignment="1">
      <alignment vertical="center" wrapText="1"/>
    </xf>
    <xf numFmtId="168" fontId="43" fillId="5" borderId="1" xfId="2" applyNumberFormat="1" applyFont="1" applyFill="1" applyBorder="1" applyAlignment="1">
      <alignment horizontal="right" vertical="center"/>
    </xf>
    <xf numFmtId="0" fontId="43" fillId="0" borderId="1" xfId="0" applyFont="1" applyFill="1" applyBorder="1"/>
    <xf numFmtId="0" fontId="44" fillId="0" borderId="1" xfId="0" applyFont="1" applyFill="1" applyBorder="1" applyAlignment="1">
      <alignment horizontal="center" vertical="center"/>
    </xf>
    <xf numFmtId="0" fontId="44" fillId="0" borderId="1" xfId="0" applyFont="1" applyFill="1" applyBorder="1" applyAlignment="1">
      <alignment horizontal="center" vertical="center" wrapText="1"/>
    </xf>
    <xf numFmtId="0" fontId="43" fillId="0" borderId="0" xfId="0" applyFont="1" applyFill="1" applyBorder="1" applyAlignment="1">
      <alignment vertical="center" wrapText="1"/>
    </xf>
    <xf numFmtId="0" fontId="45" fillId="0" borderId="0" xfId="0" applyFont="1" applyFill="1" applyBorder="1" applyAlignment="1">
      <alignment vertical="center"/>
    </xf>
    <xf numFmtId="0" fontId="46" fillId="0" borderId="0" xfId="0" applyFont="1" applyFill="1" applyBorder="1" applyAlignment="1">
      <alignment wrapText="1"/>
    </xf>
    <xf numFmtId="0" fontId="41" fillId="0" borderId="0" xfId="0" applyFont="1" applyFill="1" applyBorder="1"/>
    <xf numFmtId="0" fontId="0" fillId="0" borderId="0" xfId="0"/>
    <xf numFmtId="0" fontId="54" fillId="0" borderId="10" xfId="0" applyFont="1" applyFill="1" applyBorder="1" applyAlignment="1">
      <alignment horizontal="left" vertical="center" wrapText="1"/>
    </xf>
    <xf numFmtId="0" fontId="36" fillId="0" borderId="22" xfId="0" applyFont="1" applyFill="1" applyBorder="1" applyAlignment="1">
      <alignment horizontal="left" vertical="top"/>
    </xf>
    <xf numFmtId="0" fontId="36" fillId="0" borderId="23" xfId="0" applyFont="1" applyFill="1" applyBorder="1" applyAlignment="1">
      <alignment horizontal="left" vertical="top"/>
    </xf>
    <xf numFmtId="0" fontId="36" fillId="6" borderId="25" xfId="0" applyFont="1" applyFill="1" applyBorder="1" applyAlignment="1">
      <alignment horizontal="left" vertical="top"/>
    </xf>
    <xf numFmtId="0" fontId="0" fillId="6" borderId="26" xfId="0" applyFill="1" applyBorder="1" applyAlignment="1">
      <alignment horizontal="left" wrapText="1"/>
    </xf>
    <xf numFmtId="0" fontId="64" fillId="6" borderId="26" xfId="0" applyFont="1" applyFill="1" applyBorder="1" applyAlignment="1">
      <alignment horizontal="left" vertical="top"/>
    </xf>
    <xf numFmtId="43" fontId="62" fillId="6" borderId="26" xfId="9" applyFont="1" applyFill="1" applyBorder="1" applyAlignment="1">
      <alignment horizontal="left" vertical="top"/>
    </xf>
    <xf numFmtId="43" fontId="18" fillId="6" borderId="26" xfId="9" applyFont="1" applyFill="1" applyBorder="1" applyAlignment="1">
      <alignment horizontal="left"/>
    </xf>
    <xf numFmtId="43" fontId="61" fillId="6" borderId="27" xfId="9" applyFont="1" applyFill="1" applyBorder="1" applyAlignment="1">
      <alignment horizontal="left"/>
    </xf>
    <xf numFmtId="3" fontId="55" fillId="5" borderId="1" xfId="0" applyNumberFormat="1" applyFont="1" applyFill="1" applyBorder="1" applyAlignment="1">
      <alignment horizontal="right" vertical="center"/>
    </xf>
    <xf numFmtId="168" fontId="54" fillId="5" borderId="1" xfId="2" applyNumberFormat="1" applyFont="1" applyFill="1" applyBorder="1" applyAlignment="1">
      <alignment horizontal="right" vertical="top"/>
    </xf>
    <xf numFmtId="3" fontId="54" fillId="5" borderId="1" xfId="0" applyNumberFormat="1" applyFont="1" applyFill="1" applyBorder="1" applyAlignment="1">
      <alignment horizontal="right" vertical="center"/>
    </xf>
    <xf numFmtId="168" fontId="55" fillId="5" borderId="1" xfId="2" applyNumberFormat="1" applyFont="1" applyFill="1" applyBorder="1" applyAlignment="1">
      <alignment horizontal="right" vertical="top"/>
    </xf>
    <xf numFmtId="0" fontId="66" fillId="0" borderId="0" xfId="0" applyFont="1" applyBorder="1" applyAlignment="1">
      <alignment vertical="center" wrapText="1"/>
    </xf>
    <xf numFmtId="0" fontId="25" fillId="0" borderId="0" xfId="0" applyFont="1"/>
    <xf numFmtId="0" fontId="20" fillId="0" borderId="0" xfId="0" applyFont="1"/>
    <xf numFmtId="0" fontId="25" fillId="0" borderId="25" xfId="0" applyFont="1" applyBorder="1"/>
    <xf numFmtId="0" fontId="25" fillId="0" borderId="26" xfId="0" applyFont="1" applyBorder="1"/>
    <xf numFmtId="0" fontId="54" fillId="5" borderId="1" xfId="0" applyFont="1" applyFill="1" applyBorder="1" applyAlignment="1">
      <alignment horizontal="center" vertical="center" wrapText="1"/>
    </xf>
    <xf numFmtId="0" fontId="54" fillId="0" borderId="1" xfId="0" applyFont="1" applyFill="1" applyBorder="1" applyAlignment="1">
      <alignment vertical="center"/>
    </xf>
    <xf numFmtId="0" fontId="18" fillId="0" borderId="1" xfId="0" applyFont="1" applyBorder="1"/>
    <xf numFmtId="3" fontId="54" fillId="5" borderId="1" xfId="0" applyNumberFormat="1" applyFont="1" applyFill="1" applyBorder="1" applyAlignment="1">
      <alignment horizontal="center" vertical="center"/>
    </xf>
    <xf numFmtId="0" fontId="18" fillId="0" borderId="1" xfId="0" applyFont="1" applyBorder="1" applyAlignment="1">
      <alignment horizontal="center"/>
    </xf>
    <xf numFmtId="0" fontId="0" fillId="0" borderId="1" xfId="0" applyBorder="1"/>
    <xf numFmtId="0" fontId="0" fillId="0" borderId="1" xfId="0" applyBorder="1" applyAlignment="1">
      <alignment horizontal="center"/>
    </xf>
    <xf numFmtId="0" fontId="0" fillId="0" borderId="0" xfId="0" applyFont="1"/>
    <xf numFmtId="0" fontId="55" fillId="0" borderId="0" xfId="0" applyFont="1" applyFill="1" applyBorder="1" applyAlignment="1">
      <alignment vertical="center" wrapText="1"/>
    </xf>
    <xf numFmtId="0" fontId="55" fillId="0" borderId="0" xfId="0" applyFont="1" applyFill="1" applyBorder="1" applyAlignment="1">
      <alignment vertical="top" wrapText="1"/>
    </xf>
    <xf numFmtId="0" fontId="55" fillId="0" borderId="11" xfId="0" applyFont="1" applyBorder="1" applyAlignment="1">
      <alignment horizontal="left" vertical="center"/>
    </xf>
    <xf numFmtId="0" fontId="55" fillId="0" borderId="12" xfId="0" applyFont="1" applyBorder="1" applyAlignment="1">
      <alignment horizontal="left" vertical="center" wrapText="1"/>
    </xf>
    <xf numFmtId="0" fontId="55" fillId="0" borderId="12" xfId="0" applyFont="1" applyBorder="1" applyAlignment="1">
      <alignment horizontal="left" vertical="center"/>
    </xf>
    <xf numFmtId="0" fontId="55" fillId="0" borderId="13" xfId="0" applyFont="1" applyBorder="1" applyAlignment="1">
      <alignment horizontal="left" vertical="center"/>
    </xf>
    <xf numFmtId="0" fontId="0" fillId="0" borderId="14" xfId="0" applyFont="1" applyFill="1" applyBorder="1" applyAlignment="1">
      <alignment horizontal="left" vertical="center"/>
    </xf>
    <xf numFmtId="0" fontId="54" fillId="0" borderId="15" xfId="0" applyFont="1" applyFill="1" applyBorder="1" applyAlignment="1">
      <alignment horizontal="left" vertical="center" wrapText="1"/>
    </xf>
    <xf numFmtId="0" fontId="54" fillId="0" borderId="15" xfId="0" applyFont="1" applyFill="1" applyBorder="1" applyAlignment="1">
      <alignment horizontal="left" vertical="top" wrapText="1"/>
    </xf>
    <xf numFmtId="0" fontId="0" fillId="0" borderId="17" xfId="0" applyFont="1" applyFill="1" applyBorder="1" applyAlignment="1">
      <alignment horizontal="left" vertical="center"/>
    </xf>
    <xf numFmtId="0" fontId="54" fillId="0" borderId="10" xfId="0" applyFont="1" applyFill="1" applyBorder="1" applyAlignment="1">
      <alignment horizontal="left" vertical="top" wrapText="1"/>
    </xf>
    <xf numFmtId="0" fontId="0" fillId="0" borderId="10" xfId="0" applyFont="1" applyFill="1" applyBorder="1" applyAlignment="1">
      <alignment horizontal="left" vertical="top" wrapText="1"/>
    </xf>
    <xf numFmtId="43" fontId="0" fillId="0" borderId="10" xfId="9" applyFont="1" applyFill="1" applyBorder="1" applyAlignment="1">
      <alignment horizontal="left" vertical="top"/>
    </xf>
    <xf numFmtId="43" fontId="0" fillId="0" borderId="18" xfId="9" applyFont="1" applyFill="1" applyBorder="1" applyAlignment="1">
      <alignment horizontal="left" vertical="top"/>
    </xf>
    <xf numFmtId="2" fontId="0" fillId="0" borderId="18" xfId="9" applyNumberFormat="1" applyFont="1" applyBorder="1" applyAlignment="1">
      <alignment horizontal="left" vertical="top"/>
    </xf>
    <xf numFmtId="0" fontId="55" fillId="0" borderId="10" xfId="0" applyFont="1" applyFill="1" applyBorder="1" applyAlignment="1">
      <alignment horizontal="left" vertical="top" wrapText="1"/>
    </xf>
    <xf numFmtId="0" fontId="67" fillId="0" borderId="17" xfId="0" applyFont="1" applyFill="1" applyBorder="1" applyAlignment="1">
      <alignment horizontal="left" vertical="center" wrapText="1"/>
    </xf>
    <xf numFmtId="0" fontId="57" fillId="0" borderId="10" xfId="0" applyFont="1" applyFill="1" applyBorder="1" applyAlignment="1">
      <alignment horizontal="left" vertical="top" wrapText="1"/>
    </xf>
    <xf numFmtId="0" fontId="0" fillId="0" borderId="10" xfId="0" applyFont="1" applyBorder="1" applyAlignment="1">
      <alignment horizontal="left" vertical="top" wrapText="1"/>
    </xf>
    <xf numFmtId="0" fontId="0" fillId="0" borderId="18" xfId="0" applyFont="1" applyBorder="1" applyAlignment="1">
      <alignment horizontal="left" vertical="top" wrapText="1"/>
    </xf>
    <xf numFmtId="43" fontId="68" fillId="0" borderId="10" xfId="9" applyFont="1" applyFill="1" applyBorder="1" applyAlignment="1">
      <alignment horizontal="left" vertical="top"/>
    </xf>
    <xf numFmtId="0" fontId="59" fillId="0" borderId="10" xfId="0" applyFont="1" applyFill="1" applyBorder="1" applyAlignment="1">
      <alignment horizontal="left" vertical="top" wrapText="1"/>
    </xf>
    <xf numFmtId="0" fontId="0" fillId="0" borderId="17" xfId="0" applyFont="1" applyFill="1" applyBorder="1" applyAlignment="1">
      <alignment horizontal="left" vertical="top"/>
    </xf>
    <xf numFmtId="0" fontId="0" fillId="0" borderId="10" xfId="0" applyFont="1" applyBorder="1" applyAlignment="1">
      <alignment horizontal="left" vertical="top"/>
    </xf>
    <xf numFmtId="43" fontId="0" fillId="0" borderId="18" xfId="0" applyNumberFormat="1" applyFont="1" applyBorder="1" applyAlignment="1">
      <alignment horizontal="left" vertical="top"/>
    </xf>
    <xf numFmtId="2" fontId="0" fillId="0" borderId="10" xfId="9" applyNumberFormat="1" applyFont="1" applyBorder="1" applyAlignment="1">
      <alignment horizontal="left" vertical="top"/>
    </xf>
    <xf numFmtId="43" fontId="0" fillId="0" borderId="10" xfId="0" applyNumberFormat="1" applyFont="1" applyFill="1" applyBorder="1" applyAlignment="1">
      <alignment horizontal="left" vertical="top" wrapText="1"/>
    </xf>
    <xf numFmtId="170" fontId="0" fillId="0" borderId="10" xfId="0" applyNumberFormat="1" applyFont="1" applyFill="1" applyBorder="1" applyAlignment="1">
      <alignment horizontal="left" vertical="top" wrapText="1"/>
    </xf>
    <xf numFmtId="2" fontId="0" fillId="0" borderId="18" xfId="0" applyNumberFormat="1" applyFont="1" applyFill="1" applyBorder="1" applyAlignment="1">
      <alignment horizontal="left" vertical="top" wrapText="1"/>
    </xf>
    <xf numFmtId="43" fontId="0" fillId="0" borderId="10" xfId="9" applyFont="1" applyBorder="1" applyAlignment="1">
      <alignment horizontal="left" vertical="top"/>
    </xf>
    <xf numFmtId="1" fontId="0" fillId="0" borderId="18" xfId="9" applyNumberFormat="1" applyFont="1" applyBorder="1" applyAlignment="1">
      <alignment horizontal="left" vertical="top"/>
    </xf>
    <xf numFmtId="0" fontId="0" fillId="0" borderId="17" xfId="0" applyFont="1" applyBorder="1" applyAlignment="1">
      <alignment horizontal="left" vertical="center"/>
    </xf>
    <xf numFmtId="0" fontId="0" fillId="0" borderId="10" xfId="0" applyFont="1" applyBorder="1" applyAlignment="1">
      <alignment horizontal="left" vertical="center" wrapText="1"/>
    </xf>
    <xf numFmtId="0" fontId="0" fillId="0" borderId="17" xfId="0" applyFont="1" applyBorder="1"/>
    <xf numFmtId="0" fontId="0" fillId="0" borderId="10" xfId="0" applyFont="1" applyBorder="1"/>
    <xf numFmtId="2" fontId="18" fillId="0" borderId="18" xfId="0" applyNumberFormat="1" applyFont="1" applyBorder="1" applyAlignment="1">
      <alignment horizontal="left" vertical="top"/>
    </xf>
    <xf numFmtId="0" fontId="18" fillId="0" borderId="10" xfId="0" applyFont="1" applyBorder="1"/>
    <xf numFmtId="2" fontId="18" fillId="0" borderId="18" xfId="0" applyNumberFormat="1" applyFont="1" applyBorder="1" applyAlignment="1">
      <alignment horizontal="left"/>
    </xf>
    <xf numFmtId="0" fontId="18" fillId="0" borderId="18" xfId="0" applyFont="1" applyBorder="1" applyAlignment="1">
      <alignment horizontal="left"/>
    </xf>
    <xf numFmtId="0" fontId="0" fillId="0" borderId="0" xfId="0" applyFont="1" applyAlignment="1">
      <alignment horizontal="left"/>
    </xf>
    <xf numFmtId="0" fontId="25" fillId="0" borderId="27" xfId="0" applyFont="1" applyBorder="1" applyAlignment="1">
      <alignment horizontal="left"/>
    </xf>
    <xf numFmtId="0" fontId="25" fillId="0" borderId="0" xfId="0" applyFont="1" applyAlignment="1">
      <alignment horizontal="left"/>
    </xf>
    <xf numFmtId="0" fontId="36" fillId="0" borderId="24" xfId="0" applyFont="1" applyFill="1" applyBorder="1" applyAlignment="1">
      <alignment horizontal="center" vertical="top"/>
    </xf>
    <xf numFmtId="0" fontId="69" fillId="6" borderId="19" xfId="0" applyFont="1" applyFill="1" applyBorder="1" applyAlignment="1">
      <alignment horizontal="left" vertical="center"/>
    </xf>
    <xf numFmtId="0" fontId="70" fillId="6" borderId="20" xfId="0" applyFont="1" applyFill="1" applyBorder="1" applyAlignment="1">
      <alignment horizontal="left" vertical="center" wrapText="1"/>
    </xf>
    <xf numFmtId="0" fontId="70" fillId="6" borderId="20" xfId="0" applyFont="1" applyFill="1" applyBorder="1" applyAlignment="1">
      <alignment horizontal="left" vertical="center"/>
    </xf>
    <xf numFmtId="0" fontId="70" fillId="6" borderId="21" xfId="0" applyFont="1" applyFill="1" applyBorder="1" applyAlignment="1">
      <alignment horizontal="left" vertical="center"/>
    </xf>
    <xf numFmtId="0" fontId="65" fillId="0" borderId="0" xfId="0" applyFont="1" applyBorder="1" applyAlignment="1">
      <alignment wrapText="1"/>
    </xf>
    <xf numFmtId="0" fontId="71" fillId="5" borderId="17" xfId="0" applyFont="1" applyFill="1" applyBorder="1" applyAlignment="1">
      <alignment horizontal="left" vertical="center"/>
    </xf>
    <xf numFmtId="0" fontId="72" fillId="0" borderId="10" xfId="0" applyFont="1" applyFill="1" applyBorder="1" applyAlignment="1">
      <alignment horizontal="left" vertical="center"/>
    </xf>
    <xf numFmtId="0" fontId="73" fillId="0" borderId="10" xfId="0" applyFont="1" applyFill="1" applyBorder="1" applyAlignment="1">
      <alignment horizontal="left" indent="1"/>
    </xf>
    <xf numFmtId="170" fontId="73" fillId="0" borderId="10" xfId="0" applyNumberFormat="1" applyFont="1" applyFill="1" applyBorder="1" applyAlignment="1">
      <alignment horizontal="left"/>
    </xf>
    <xf numFmtId="2" fontId="73" fillId="0" borderId="10" xfId="0" applyNumberFormat="1" applyFont="1" applyFill="1" applyBorder="1" applyAlignment="1">
      <alignment horizontal="left"/>
    </xf>
    <xf numFmtId="2" fontId="73" fillId="0" borderId="18" xfId="0" applyNumberFormat="1" applyFont="1" applyFill="1" applyBorder="1" applyAlignment="1">
      <alignment horizontal="center"/>
    </xf>
    <xf numFmtId="0" fontId="71" fillId="5" borderId="17" xfId="0" applyFont="1" applyFill="1" applyBorder="1" applyAlignment="1">
      <alignment horizontal="left" vertical="top"/>
    </xf>
    <xf numFmtId="170" fontId="70" fillId="0" borderId="10" xfId="0" applyNumberFormat="1" applyFont="1" applyFill="1" applyBorder="1" applyAlignment="1">
      <alignment horizontal="left"/>
    </xf>
    <xf numFmtId="170" fontId="70" fillId="0" borderId="18" xfId="0" applyNumberFormat="1" applyFont="1" applyFill="1" applyBorder="1" applyAlignment="1">
      <alignment horizontal="center"/>
    </xf>
    <xf numFmtId="0" fontId="72" fillId="0" borderId="10" xfId="0" applyFont="1" applyFill="1" applyBorder="1" applyAlignment="1">
      <alignment horizontal="left" vertical="top"/>
    </xf>
    <xf numFmtId="0" fontId="74" fillId="0" borderId="10" xfId="0" applyFont="1" applyFill="1" applyBorder="1" applyAlignment="1">
      <alignment horizontal="left" vertical="top"/>
    </xf>
    <xf numFmtId="170" fontId="73" fillId="5" borderId="10" xfId="0" applyNumberFormat="1" applyFont="1" applyFill="1" applyBorder="1" applyAlignment="1">
      <alignment horizontal="left"/>
    </xf>
    <xf numFmtId="0" fontId="73" fillId="5" borderId="10" xfId="0" applyFont="1" applyFill="1" applyBorder="1" applyAlignment="1">
      <alignment horizontal="left" indent="1"/>
    </xf>
    <xf numFmtId="2" fontId="70" fillId="0" borderId="10" xfId="0" applyNumberFormat="1" applyFont="1" applyFill="1" applyBorder="1" applyAlignment="1">
      <alignment horizontal="left"/>
    </xf>
    <xf numFmtId="2" fontId="73" fillId="6" borderId="10" xfId="0" applyNumberFormat="1" applyFont="1" applyFill="1" applyBorder="1" applyAlignment="1">
      <alignment horizontal="left"/>
    </xf>
    <xf numFmtId="0" fontId="72" fillId="5" borderId="10" xfId="0" applyFont="1" applyFill="1" applyBorder="1" applyAlignment="1">
      <alignment horizontal="left" vertical="top"/>
    </xf>
    <xf numFmtId="0" fontId="74" fillId="5" borderId="10" xfId="0" applyFont="1" applyFill="1" applyBorder="1" applyAlignment="1">
      <alignment horizontal="left" vertical="top"/>
    </xf>
    <xf numFmtId="0" fontId="75" fillId="5" borderId="10" xfId="0" applyFont="1" applyFill="1" applyBorder="1" applyAlignment="1">
      <alignment horizontal="left"/>
    </xf>
    <xf numFmtId="170" fontId="70" fillId="5" borderId="10" xfId="0" applyNumberFormat="1" applyFont="1" applyFill="1" applyBorder="1" applyAlignment="1">
      <alignment horizontal="left"/>
    </xf>
    <xf numFmtId="0" fontId="75" fillId="0" borderId="10" xfId="0" applyFont="1" applyFill="1" applyBorder="1" applyAlignment="1">
      <alignment horizontal="left"/>
    </xf>
    <xf numFmtId="1" fontId="73" fillId="0" borderId="10" xfId="0" applyNumberFormat="1" applyFont="1" applyFill="1" applyBorder="1" applyAlignment="1">
      <alignment horizontal="left"/>
    </xf>
    <xf numFmtId="1" fontId="70" fillId="0" borderId="10" xfId="0" applyNumberFormat="1" applyFont="1" applyFill="1" applyBorder="1" applyAlignment="1">
      <alignment horizontal="left"/>
    </xf>
    <xf numFmtId="0" fontId="71" fillId="6" borderId="17" xfId="0" applyFont="1" applyFill="1" applyBorder="1" applyAlignment="1">
      <alignment horizontal="left" vertical="top"/>
    </xf>
    <xf numFmtId="0" fontId="73" fillId="6" borderId="10" xfId="0" applyFont="1" applyFill="1" applyBorder="1" applyAlignment="1">
      <alignment horizontal="left" vertical="top"/>
    </xf>
    <xf numFmtId="170" fontId="73" fillId="6" borderId="10" xfId="0" applyNumberFormat="1" applyFont="1" applyFill="1" applyBorder="1" applyAlignment="1">
      <alignment horizontal="left"/>
    </xf>
    <xf numFmtId="170" fontId="70" fillId="6" borderId="10" xfId="0" applyNumberFormat="1" applyFont="1" applyFill="1" applyBorder="1" applyAlignment="1">
      <alignment horizontal="left"/>
    </xf>
    <xf numFmtId="170" fontId="70" fillId="6" borderId="18" xfId="0" applyNumberFormat="1" applyFont="1" applyFill="1" applyBorder="1" applyAlignment="1">
      <alignment horizontal="center"/>
    </xf>
    <xf numFmtId="0" fontId="71" fillId="0" borderId="10" xfId="0" applyFont="1" applyFill="1" applyBorder="1" applyAlignment="1">
      <alignment horizontal="left"/>
    </xf>
    <xf numFmtId="2" fontId="70" fillId="7" borderId="10" xfId="0" applyNumberFormat="1" applyFont="1" applyFill="1" applyBorder="1" applyAlignment="1">
      <alignment horizontal="left"/>
    </xf>
    <xf numFmtId="2" fontId="70" fillId="6" borderId="10" xfId="0" applyNumberFormat="1" applyFont="1" applyFill="1" applyBorder="1" applyAlignment="1">
      <alignment horizontal="left"/>
    </xf>
    <xf numFmtId="170" fontId="70" fillId="5" borderId="17" xfId="0" applyNumberFormat="1" applyFont="1" applyFill="1" applyBorder="1" applyAlignment="1">
      <alignment horizontal="left"/>
    </xf>
    <xf numFmtId="170" fontId="70" fillId="0" borderId="17" xfId="0" applyNumberFormat="1" applyFont="1" applyFill="1" applyBorder="1" applyAlignment="1">
      <alignment horizontal="left"/>
    </xf>
    <xf numFmtId="0" fontId="73" fillId="6" borderId="17" xfId="0" applyFont="1" applyFill="1" applyBorder="1" applyAlignment="1">
      <alignment horizontal="left" vertical="top"/>
    </xf>
    <xf numFmtId="0" fontId="76" fillId="6" borderId="10" xfId="0" applyFont="1" applyFill="1" applyBorder="1" applyAlignment="1">
      <alignment horizontal="left" wrapText="1"/>
    </xf>
    <xf numFmtId="0" fontId="70" fillId="6" borderId="10" xfId="0" applyFont="1" applyFill="1" applyBorder="1" applyAlignment="1">
      <alignment horizontal="left" vertical="top"/>
    </xf>
    <xf numFmtId="43" fontId="70" fillId="6" borderId="10" xfId="9" applyFont="1" applyFill="1" applyBorder="1" applyAlignment="1">
      <alignment horizontal="left" vertical="top"/>
    </xf>
    <xf numFmtId="43" fontId="76" fillId="6" borderId="10" xfId="9" applyFont="1" applyFill="1" applyBorder="1" applyAlignment="1">
      <alignment horizontal="left"/>
    </xf>
    <xf numFmtId="0" fontId="58" fillId="0" borderId="17" xfId="0" applyFont="1" applyFill="1" applyBorder="1" applyAlignment="1">
      <alignment horizontal="left" vertical="center"/>
    </xf>
    <xf numFmtId="0" fontId="58" fillId="0" borderId="10" xfId="0" applyFont="1" applyFill="1" applyBorder="1" applyAlignment="1">
      <alignment horizontal="left" wrapText="1"/>
    </xf>
    <xf numFmtId="43" fontId="58" fillId="0" borderId="10" xfId="9" applyFont="1" applyFill="1" applyBorder="1" applyAlignment="1">
      <alignment horizontal="left" vertical="center"/>
    </xf>
    <xf numFmtId="43" fontId="58" fillId="0" borderId="10" xfId="9" applyFont="1" applyFill="1" applyBorder="1" applyAlignment="1">
      <alignment horizontal="left"/>
    </xf>
    <xf numFmtId="170" fontId="77" fillId="0" borderId="10" xfId="0" applyNumberFormat="1" applyFont="1" applyFill="1" applyBorder="1" applyAlignment="1">
      <alignment horizontal="left" vertical="center"/>
    </xf>
    <xf numFmtId="43" fontId="58" fillId="0" borderId="18" xfId="9" applyFont="1" applyFill="1" applyBorder="1" applyAlignment="1">
      <alignment horizontal="center"/>
    </xf>
    <xf numFmtId="0" fontId="58" fillId="0" borderId="10" xfId="0" applyFont="1" applyFill="1" applyBorder="1" applyAlignment="1">
      <alignment horizontal="left" vertical="center" wrapText="1"/>
    </xf>
    <xf numFmtId="0" fontId="58" fillId="0" borderId="10" xfId="0" applyFont="1" applyBorder="1" applyAlignment="1">
      <alignment horizontal="left"/>
    </xf>
    <xf numFmtId="0" fontId="58" fillId="0" borderId="18" xfId="0" applyFont="1" applyBorder="1" applyAlignment="1">
      <alignment horizontal="center"/>
    </xf>
    <xf numFmtId="43" fontId="75" fillId="0" borderId="10" xfId="9" applyFont="1" applyFill="1" applyBorder="1" applyAlignment="1">
      <alignment horizontal="left"/>
    </xf>
    <xf numFmtId="0" fontId="58" fillId="0" borderId="17" xfId="0" applyFont="1" applyBorder="1" applyAlignment="1">
      <alignment horizontal="left" vertical="center"/>
    </xf>
    <xf numFmtId="0" fontId="58" fillId="0" borderId="10" xfId="0" applyFont="1" applyBorder="1" applyAlignment="1">
      <alignment horizontal="left" wrapText="1"/>
    </xf>
    <xf numFmtId="43" fontId="58" fillId="0" borderId="10" xfId="9" applyFont="1" applyBorder="1" applyAlignment="1">
      <alignment horizontal="left" vertical="center"/>
    </xf>
    <xf numFmtId="43" fontId="58" fillId="0" borderId="10" xfId="9" applyFont="1" applyBorder="1" applyAlignment="1">
      <alignment horizontal="left"/>
    </xf>
    <xf numFmtId="170" fontId="78" fillId="0" borderId="18" xfId="0" applyNumberFormat="1" applyFont="1" applyBorder="1" applyAlignment="1">
      <alignment horizontal="center"/>
    </xf>
    <xf numFmtId="0" fontId="78" fillId="6" borderId="17" xfId="0" applyFont="1" applyFill="1" applyBorder="1" applyAlignment="1">
      <alignment horizontal="left"/>
    </xf>
    <xf numFmtId="0" fontId="78" fillId="6" borderId="10" xfId="0" applyFont="1" applyFill="1" applyBorder="1" applyAlignment="1">
      <alignment horizontal="left"/>
    </xf>
    <xf numFmtId="43" fontId="78" fillId="6" borderId="10" xfId="9" applyFont="1" applyFill="1" applyBorder="1" applyAlignment="1">
      <alignment horizontal="left"/>
    </xf>
    <xf numFmtId="43" fontId="58" fillId="6" borderId="10" xfId="9" applyFont="1" applyFill="1" applyBorder="1" applyAlignment="1">
      <alignment horizontal="left"/>
    </xf>
    <xf numFmtId="43" fontId="78" fillId="6" borderId="18" xfId="9" applyFont="1" applyFill="1" applyBorder="1" applyAlignment="1">
      <alignment horizontal="center"/>
    </xf>
    <xf numFmtId="0" fontId="75" fillId="6" borderId="10" xfId="0" applyFont="1" applyFill="1" applyBorder="1" applyAlignment="1">
      <alignment horizontal="left" wrapText="1"/>
    </xf>
    <xf numFmtId="43" fontId="70" fillId="6" borderId="18" xfId="9" applyFont="1" applyFill="1" applyBorder="1" applyAlignment="1">
      <alignment horizontal="left"/>
    </xf>
    <xf numFmtId="0" fontId="0" fillId="0" borderId="1" xfId="0" applyBorder="1" applyAlignment="1">
      <alignment horizontal="right"/>
    </xf>
    <xf numFmtId="0" fontId="18" fillId="0" borderId="0" xfId="0" applyFont="1" applyBorder="1" applyAlignment="1">
      <alignment horizontal="right"/>
    </xf>
    <xf numFmtId="0" fontId="18" fillId="0" borderId="0" xfId="0" applyFont="1" applyBorder="1" applyAlignment="1"/>
    <xf numFmtId="3" fontId="55" fillId="5" borderId="1" xfId="0" applyNumberFormat="1" applyFont="1" applyFill="1" applyBorder="1" applyAlignment="1">
      <alignment horizontal="left" vertical="center"/>
    </xf>
    <xf numFmtId="0" fontId="79" fillId="0" borderId="1" xfId="0" applyFont="1" applyFill="1" applyBorder="1" applyAlignment="1">
      <alignment vertical="center" wrapText="1"/>
    </xf>
    <xf numFmtId="3" fontId="80" fillId="0" borderId="1" xfId="0" applyNumberFormat="1" applyFont="1" applyFill="1" applyBorder="1" applyAlignment="1">
      <alignment horizontal="right" vertical="center" wrapText="1"/>
    </xf>
    <xf numFmtId="0" fontId="79" fillId="0" borderId="1" xfId="0" applyFont="1" applyFill="1" applyBorder="1" applyAlignment="1">
      <alignment horizontal="center" vertical="center" wrapText="1"/>
    </xf>
    <xf numFmtId="0" fontId="25" fillId="0" borderId="0" xfId="0" applyFont="1" applyFill="1"/>
    <xf numFmtId="0" fontId="0" fillId="0" borderId="1" xfId="0" applyBorder="1" applyAlignment="1">
      <alignment horizontal="center" vertical="center"/>
    </xf>
    <xf numFmtId="1" fontId="0" fillId="0" borderId="1" xfId="0" applyNumberFormat="1" applyBorder="1" applyAlignment="1">
      <alignment vertical="center"/>
    </xf>
    <xf numFmtId="0" fontId="0" fillId="0" borderId="1" xfId="0" applyBorder="1" applyAlignment="1">
      <alignment horizontal="right" vertical="center" wrapText="1"/>
    </xf>
    <xf numFmtId="0" fontId="54" fillId="0" borderId="1" xfId="0" applyFont="1" applyFill="1" applyBorder="1" applyAlignment="1">
      <alignment horizontal="center" vertical="center"/>
    </xf>
    <xf numFmtId="0" fontId="54" fillId="0" borderId="1" xfId="0" applyFont="1" applyFill="1" applyBorder="1" applyAlignment="1">
      <alignment horizontal="center" vertical="top" wrapText="1"/>
    </xf>
    <xf numFmtId="0" fontId="81" fillId="0" borderId="1" xfId="0" applyFont="1" applyFill="1" applyBorder="1" applyAlignment="1">
      <alignment vertical="top" wrapText="1"/>
    </xf>
    <xf numFmtId="0" fontId="54" fillId="5" borderId="1" xfId="0" applyFont="1" applyFill="1" applyBorder="1" applyAlignment="1">
      <alignment horizontal="center" vertical="top"/>
    </xf>
    <xf numFmtId="1" fontId="57" fillId="5" borderId="1" xfId="0" applyNumberFormat="1" applyFont="1" applyFill="1" applyBorder="1" applyAlignment="1">
      <alignment horizontal="center" vertical="top"/>
    </xf>
    <xf numFmtId="168" fontId="54" fillId="5" borderId="1" xfId="2" applyNumberFormat="1" applyFont="1" applyFill="1" applyBorder="1" applyAlignment="1">
      <alignment horizontal="right" vertical="center"/>
    </xf>
    <xf numFmtId="168" fontId="0" fillId="0" borderId="0" xfId="0" applyNumberFormat="1"/>
    <xf numFmtId="1" fontId="54" fillId="5" borderId="1" xfId="0" applyNumberFormat="1" applyFont="1" applyFill="1" applyBorder="1" applyAlignment="1">
      <alignment horizontal="center" vertical="top"/>
    </xf>
    <xf numFmtId="1" fontId="54" fillId="0" borderId="1" xfId="0" applyNumberFormat="1" applyFont="1" applyFill="1" applyBorder="1" applyAlignment="1">
      <alignment horizontal="center" vertical="top"/>
    </xf>
    <xf numFmtId="0" fontId="51" fillId="2" borderId="3" xfId="0" applyFont="1" applyFill="1" applyBorder="1" applyAlignment="1">
      <alignment vertical="center" wrapText="1"/>
    </xf>
    <xf numFmtId="0" fontId="51" fillId="2" borderId="4" xfId="0" applyFont="1" applyFill="1" applyBorder="1" applyAlignment="1">
      <alignment vertical="center" wrapText="1"/>
    </xf>
    <xf numFmtId="0" fontId="70" fillId="0" borderId="10" xfId="0" applyFont="1" applyFill="1" applyBorder="1" applyAlignment="1">
      <alignment horizontal="left" vertical="top" wrapText="1"/>
    </xf>
    <xf numFmtId="0" fontId="0" fillId="0" borderId="22" xfId="0" applyFont="1" applyFill="1" applyBorder="1" applyAlignment="1">
      <alignment horizontal="left" vertical="center"/>
    </xf>
    <xf numFmtId="0" fontId="68" fillId="0" borderId="10" xfId="0" applyFont="1" applyFill="1" applyBorder="1"/>
    <xf numFmtId="1" fontId="68" fillId="0" borderId="10" xfId="0" applyNumberFormat="1" applyFont="1" applyFill="1" applyBorder="1"/>
    <xf numFmtId="2" fontId="68" fillId="0" borderId="10" xfId="0" applyNumberFormat="1" applyFont="1" applyFill="1" applyBorder="1"/>
    <xf numFmtId="0" fontId="0" fillId="0" borderId="10" xfId="0" applyFont="1" applyFill="1" applyBorder="1" applyAlignment="1">
      <alignment horizontal="left" vertical="top"/>
    </xf>
    <xf numFmtId="2" fontId="0" fillId="0" borderId="18" xfId="0" applyNumberFormat="1" applyFont="1" applyBorder="1" applyAlignment="1">
      <alignment horizontal="left" vertical="top"/>
    </xf>
    <xf numFmtId="0" fontId="25" fillId="0" borderId="10" xfId="0" applyFont="1" applyFill="1" applyBorder="1" applyAlignment="1">
      <alignment horizontal="left" vertical="top" wrapText="1"/>
    </xf>
    <xf numFmtId="43" fontId="25" fillId="0" borderId="10" xfId="9" applyFont="1" applyFill="1" applyBorder="1" applyAlignment="1">
      <alignment horizontal="left" vertical="top"/>
    </xf>
    <xf numFmtId="1" fontId="25" fillId="0" borderId="10" xfId="0" applyNumberFormat="1" applyFont="1" applyFill="1" applyBorder="1" applyAlignment="1">
      <alignment horizontal="left" vertical="top" wrapText="1"/>
    </xf>
    <xf numFmtId="2" fontId="0" fillId="0" borderId="10" xfId="0" applyNumberFormat="1" applyFont="1" applyFill="1" applyBorder="1" applyAlignment="1">
      <alignment horizontal="left" vertical="top" wrapText="1"/>
    </xf>
    <xf numFmtId="0" fontId="25" fillId="0" borderId="15" xfId="0" applyFont="1" applyBorder="1"/>
    <xf numFmtId="0" fontId="82" fillId="0" borderId="10" xfId="0" applyFont="1" applyFill="1" applyBorder="1" applyAlignment="1">
      <alignment horizontal="right" vertical="top" wrapText="1"/>
    </xf>
    <xf numFmtId="0" fontId="25" fillId="0" borderId="16" xfId="0" applyFont="1" applyBorder="1"/>
    <xf numFmtId="0" fontId="8" fillId="0" borderId="1" xfId="0" applyFont="1" applyFill="1" applyBorder="1" applyAlignment="1">
      <alignment vertical="center" wrapText="1"/>
    </xf>
    <xf numFmtId="169" fontId="8" fillId="0" borderId="1" xfId="2" applyNumberFormat="1" applyFont="1" applyFill="1" applyBorder="1" applyAlignment="1">
      <alignment horizontal="right" vertical="center" wrapText="1"/>
    </xf>
    <xf numFmtId="0" fontId="8" fillId="0" borderId="1" xfId="0" applyFont="1" applyFill="1" applyBorder="1" applyAlignment="1">
      <alignment vertical="center" wrapText="1"/>
    </xf>
    <xf numFmtId="0" fontId="15" fillId="0" borderId="5" xfId="0" applyFont="1" applyFill="1" applyBorder="1" applyAlignment="1">
      <alignment horizontal="center"/>
    </xf>
    <xf numFmtId="3" fontId="8" fillId="0" borderId="1" xfId="0" applyNumberFormat="1" applyFont="1" applyFill="1" applyBorder="1" applyAlignment="1">
      <alignment horizontal="right" vertical="center" wrapText="1"/>
    </xf>
    <xf numFmtId="0" fontId="52" fillId="0" borderId="1" xfId="0" applyFont="1" applyFill="1" applyBorder="1" applyAlignment="1">
      <alignment horizontal="center" vertical="center" wrapText="1"/>
    </xf>
    <xf numFmtId="0" fontId="38" fillId="0" borderId="1" xfId="0" applyFont="1" applyFill="1" applyBorder="1" applyAlignment="1">
      <alignment horizontal="center" vertical="center" wrapText="1"/>
    </xf>
    <xf numFmtId="0" fontId="45" fillId="0" borderId="2" xfId="0" applyFont="1" applyFill="1" applyBorder="1" applyAlignment="1">
      <alignment horizontal="right" vertical="center"/>
    </xf>
    <xf numFmtId="0" fontId="45" fillId="0" borderId="4" xfId="0" applyFont="1" applyFill="1" applyBorder="1" applyAlignment="1">
      <alignment horizontal="right" vertical="center"/>
    </xf>
    <xf numFmtId="0" fontId="51" fillId="2" borderId="1" xfId="0" applyFont="1" applyFill="1" applyBorder="1" applyAlignment="1">
      <alignment horizontal="center" vertical="center" wrapText="1"/>
    </xf>
    <xf numFmtId="0" fontId="11" fillId="0" borderId="2" xfId="0" applyFont="1" applyFill="1" applyBorder="1" applyAlignment="1">
      <alignment horizontal="left" vertical="center" wrapText="1"/>
    </xf>
    <xf numFmtId="0" fontId="11" fillId="0" borderId="3" xfId="0" applyFont="1" applyFill="1" applyBorder="1" applyAlignment="1">
      <alignment horizontal="left" vertical="center" wrapText="1"/>
    </xf>
    <xf numFmtId="0" fontId="11" fillId="0" borderId="4" xfId="0" applyFont="1" applyFill="1" applyBorder="1" applyAlignment="1">
      <alignment horizontal="left" vertical="center" wrapText="1"/>
    </xf>
    <xf numFmtId="0" fontId="3" fillId="0" borderId="1" xfId="0" applyFont="1" applyFill="1" applyBorder="1" applyAlignment="1">
      <alignment horizontal="right" vertical="center" wrapText="1"/>
    </xf>
    <xf numFmtId="0" fontId="5" fillId="0" borderId="1" xfId="0" applyFont="1" applyFill="1" applyBorder="1" applyAlignment="1">
      <alignment vertical="center" wrapText="1"/>
    </xf>
    <xf numFmtId="0" fontId="8" fillId="0" borderId="1" xfId="0" applyFont="1" applyFill="1" applyBorder="1" applyAlignment="1">
      <alignment vertical="center" wrapText="1"/>
    </xf>
    <xf numFmtId="0" fontId="80" fillId="0" borderId="1" xfId="0" applyFont="1" applyFill="1" applyBorder="1" applyAlignment="1">
      <alignment horizontal="right" vertical="center" wrapText="1"/>
    </xf>
    <xf numFmtId="0" fontId="3" fillId="0" borderId="2" xfId="0" applyFont="1" applyFill="1" applyBorder="1" applyAlignment="1">
      <alignment horizontal="right" vertical="center" wrapText="1"/>
    </xf>
    <xf numFmtId="0" fontId="3" fillId="0" borderId="3" xfId="0" applyFont="1" applyFill="1" applyBorder="1" applyAlignment="1">
      <alignment horizontal="right" vertical="center" wrapText="1"/>
    </xf>
    <xf numFmtId="0" fontId="3" fillId="0" borderId="4" xfId="0" applyFont="1" applyFill="1" applyBorder="1" applyAlignment="1">
      <alignment horizontal="right" vertical="center" wrapText="1"/>
    </xf>
    <xf numFmtId="0" fontId="3" fillId="0" borderId="2"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51" fillId="2" borderId="2" xfId="0" applyFont="1" applyFill="1" applyBorder="1" applyAlignment="1">
      <alignment horizontal="center" vertical="center" wrapText="1"/>
    </xf>
    <xf numFmtId="0" fontId="51" fillId="2" borderId="3" xfId="0" applyFont="1" applyFill="1" applyBorder="1" applyAlignment="1">
      <alignment horizontal="center" vertical="center" wrapText="1"/>
    </xf>
    <xf numFmtId="0" fontId="51" fillId="2" borderId="4" xfId="0" applyFont="1" applyFill="1" applyBorder="1" applyAlignment="1">
      <alignment horizontal="center" vertical="center" wrapText="1"/>
    </xf>
    <xf numFmtId="0" fontId="18" fillId="0" borderId="1" xfId="0" applyFont="1" applyBorder="1" applyAlignment="1">
      <alignment horizontal="center" vertical="center" wrapText="1"/>
    </xf>
    <xf numFmtId="0" fontId="20" fillId="0" borderId="2" xfId="0" applyFont="1" applyBorder="1" applyAlignment="1">
      <alignment horizontal="center"/>
    </xf>
    <xf numFmtId="0" fontId="20" fillId="0" borderId="3" xfId="0" applyFont="1" applyBorder="1" applyAlignment="1">
      <alignment horizontal="center"/>
    </xf>
    <xf numFmtId="0" fontId="20" fillId="0" borderId="4" xfId="0" applyFont="1" applyBorder="1" applyAlignment="1">
      <alignment horizontal="center"/>
    </xf>
    <xf numFmtId="0" fontId="21" fillId="0" borderId="7" xfId="0" applyFont="1" applyBorder="1" applyAlignment="1">
      <alignment horizontal="right"/>
    </xf>
    <xf numFmtId="0" fontId="18" fillId="0" borderId="8" xfId="0" applyFont="1" applyBorder="1" applyAlignment="1">
      <alignment horizontal="center" vertical="center" wrapText="1"/>
    </xf>
    <xf numFmtId="0" fontId="18" fillId="0" borderId="6" xfId="0" applyFont="1" applyBorder="1" applyAlignment="1">
      <alignment horizontal="center" vertical="center" wrapText="1"/>
    </xf>
    <xf numFmtId="0" fontId="53" fillId="0" borderId="7" xfId="0" applyFont="1" applyBorder="1" applyAlignment="1">
      <alignment horizontal="right"/>
    </xf>
    <xf numFmtId="0" fontId="26" fillId="0" borderId="2" xfId="3" applyFont="1" applyFill="1" applyBorder="1" applyAlignment="1">
      <alignment horizontal="left" vertical="center" wrapText="1"/>
    </xf>
    <xf numFmtId="0" fontId="26" fillId="0" borderId="3" xfId="3" applyFont="1" applyFill="1" applyBorder="1" applyAlignment="1">
      <alignment horizontal="left" vertical="center" wrapText="1"/>
    </xf>
    <xf numFmtId="0" fontId="26" fillId="0" borderId="4" xfId="3" applyFont="1" applyFill="1" applyBorder="1" applyAlignment="1">
      <alignment horizontal="left" vertical="center" wrapText="1"/>
    </xf>
    <xf numFmtId="0" fontId="24" fillId="0" borderId="2" xfId="3" applyFont="1" applyFill="1" applyBorder="1" applyAlignment="1">
      <alignment horizontal="center" vertical="center" wrapText="1"/>
    </xf>
    <xf numFmtId="0" fontId="24" fillId="0" borderId="3" xfId="3" applyFont="1" applyFill="1" applyBorder="1" applyAlignment="1">
      <alignment horizontal="center" vertical="center" wrapText="1"/>
    </xf>
    <xf numFmtId="0" fontId="24" fillId="0" borderId="4" xfId="3" applyFont="1" applyFill="1" applyBorder="1" applyAlignment="1">
      <alignment horizontal="center" vertical="center" wrapText="1"/>
    </xf>
    <xf numFmtId="0" fontId="28" fillId="0" borderId="2" xfId="3" applyFont="1" applyFill="1" applyBorder="1" applyAlignment="1">
      <alignment horizontal="left" vertical="center" wrapText="1"/>
    </xf>
    <xf numFmtId="0" fontId="28" fillId="0" borderId="3" xfId="3" applyFont="1" applyFill="1" applyBorder="1" applyAlignment="1">
      <alignment horizontal="left" vertical="center" wrapText="1"/>
    </xf>
    <xf numFmtId="0" fontId="28" fillId="0" borderId="4" xfId="3" applyFont="1" applyFill="1" applyBorder="1" applyAlignment="1">
      <alignment horizontal="left" vertical="center" wrapText="1"/>
    </xf>
    <xf numFmtId="0" fontId="29" fillId="0" borderId="2" xfId="3" applyFont="1" applyFill="1" applyBorder="1" applyAlignment="1">
      <alignment horizontal="left" vertical="center" wrapText="1"/>
    </xf>
    <xf numFmtId="0" fontId="29" fillId="0" borderId="4" xfId="3" applyFont="1" applyFill="1" applyBorder="1" applyAlignment="1">
      <alignment horizontal="left" vertical="center" wrapText="1"/>
    </xf>
    <xf numFmtId="0" fontId="31" fillId="0" borderId="2" xfId="3" applyFont="1" applyFill="1" applyBorder="1" applyAlignment="1">
      <alignment horizontal="left" vertical="center" wrapText="1"/>
    </xf>
    <xf numFmtId="0" fontId="31" fillId="0" borderId="3" xfId="3" applyFont="1" applyFill="1" applyBorder="1" applyAlignment="1">
      <alignment horizontal="left" vertical="center" wrapText="1"/>
    </xf>
    <xf numFmtId="0" fontId="31" fillId="0" borderId="4" xfId="3" applyFont="1" applyFill="1" applyBorder="1" applyAlignment="1">
      <alignment horizontal="left" vertical="center" wrapText="1"/>
    </xf>
    <xf numFmtId="0" fontId="27" fillId="0" borderId="2" xfId="3" applyFont="1" applyFill="1" applyBorder="1" applyAlignment="1">
      <alignment horizontal="left" vertical="center" wrapText="1"/>
    </xf>
    <xf numFmtId="0" fontId="27" fillId="0" borderId="3" xfId="3" applyFont="1" applyFill="1" applyBorder="1" applyAlignment="1">
      <alignment horizontal="left" vertical="center" wrapText="1"/>
    </xf>
    <xf numFmtId="0" fontId="27" fillId="0" borderId="4" xfId="3" applyFont="1" applyFill="1" applyBorder="1" applyAlignment="1">
      <alignment horizontal="left" vertical="center" wrapText="1"/>
    </xf>
    <xf numFmtId="0" fontId="20" fillId="0" borderId="2" xfId="0" applyFont="1" applyBorder="1" applyAlignment="1">
      <alignment horizontal="center" vertical="center" wrapText="1"/>
    </xf>
    <xf numFmtId="0" fontId="20" fillId="0" borderId="3" xfId="0" applyFont="1" applyBorder="1" applyAlignment="1">
      <alignment horizontal="center" vertical="center" wrapText="1"/>
    </xf>
    <xf numFmtId="0" fontId="20" fillId="0" borderId="4" xfId="0" applyFont="1" applyBorder="1" applyAlignment="1">
      <alignment horizontal="center" vertical="center" wrapText="1"/>
    </xf>
    <xf numFmtId="0" fontId="56" fillId="0" borderId="0" xfId="0" applyFont="1" applyBorder="1" applyAlignment="1">
      <alignment horizontal="center" vertical="center" wrapText="1"/>
    </xf>
    <xf numFmtId="0" fontId="18" fillId="0" borderId="9" xfId="0" applyFont="1" applyBorder="1" applyAlignment="1">
      <alignment horizontal="center"/>
    </xf>
    <xf numFmtId="0" fontId="11" fillId="3" borderId="1" xfId="0" applyFont="1" applyFill="1" applyBorder="1" applyAlignment="1">
      <alignment horizontal="center" vertical="center" wrapText="1"/>
    </xf>
    <xf numFmtId="0" fontId="3" fillId="3" borderId="1" xfId="0" applyFont="1" applyFill="1" applyBorder="1" applyAlignment="1">
      <alignment horizontal="right" vertical="center" wrapText="1"/>
    </xf>
    <xf numFmtId="0" fontId="7" fillId="3" borderId="1" xfId="0" applyFont="1" applyFill="1" applyBorder="1" applyAlignment="1">
      <alignment horizontal="right" vertical="center" wrapText="1"/>
    </xf>
    <xf numFmtId="0" fontId="8" fillId="3" borderId="1" xfId="0" applyFont="1" applyFill="1" applyBorder="1" applyAlignment="1">
      <alignment vertical="center" wrapText="1"/>
    </xf>
    <xf numFmtId="0" fontId="8" fillId="0" borderId="1" xfId="0" applyFont="1" applyBorder="1" applyAlignment="1">
      <alignment vertical="center" wrapText="1"/>
    </xf>
    <xf numFmtId="0" fontId="1" fillId="2" borderId="1" xfId="0" applyFont="1" applyFill="1" applyBorder="1" applyAlignment="1">
      <alignment horizontal="center" vertical="center" wrapText="1"/>
    </xf>
    <xf numFmtId="0" fontId="5" fillId="3" borderId="1" xfId="0" applyFont="1" applyFill="1" applyBorder="1" applyAlignment="1">
      <alignment vertical="center" wrapText="1"/>
    </xf>
    <xf numFmtId="0" fontId="18" fillId="0" borderId="1" xfId="0" applyFont="1" applyBorder="1" applyAlignment="1">
      <alignment horizontal="right"/>
    </xf>
    <xf numFmtId="0" fontId="20" fillId="0" borderId="2" xfId="0" applyFont="1" applyBorder="1" applyAlignment="1">
      <alignment horizontal="center" vertical="center"/>
    </xf>
    <xf numFmtId="0" fontId="20" fillId="0" borderId="3" xfId="0" applyFont="1" applyBorder="1" applyAlignment="1">
      <alignment horizontal="center" vertical="center"/>
    </xf>
    <xf numFmtId="0" fontId="20" fillId="0" borderId="4" xfId="0" applyFont="1" applyBorder="1" applyAlignment="1">
      <alignment horizontal="center" vertical="center"/>
    </xf>
    <xf numFmtId="3" fontId="55" fillId="5" borderId="2" xfId="0" applyNumberFormat="1" applyFont="1" applyFill="1" applyBorder="1" applyAlignment="1">
      <alignment horizontal="center" vertical="center"/>
    </xf>
    <xf numFmtId="3" fontId="55" fillId="5" borderId="3" xfId="0" applyNumberFormat="1" applyFont="1" applyFill="1" applyBorder="1" applyAlignment="1">
      <alignment horizontal="center" vertical="center"/>
    </xf>
    <xf numFmtId="3" fontId="55" fillId="5" borderId="4" xfId="0" applyNumberFormat="1" applyFont="1" applyFill="1" applyBorder="1" applyAlignment="1">
      <alignment horizontal="center" vertical="center"/>
    </xf>
    <xf numFmtId="0" fontId="74" fillId="6" borderId="10" xfId="0" applyFont="1" applyFill="1" applyBorder="1" applyAlignment="1">
      <alignment horizontal="left" vertical="top"/>
    </xf>
    <xf numFmtId="0" fontId="63" fillId="6" borderId="26" xfId="0" applyFont="1" applyFill="1" applyBorder="1" applyAlignment="1">
      <alignment horizontal="left" vertical="top"/>
    </xf>
    <xf numFmtId="170" fontId="70" fillId="0" borderId="10" xfId="0" applyNumberFormat="1" applyFont="1" applyFill="1" applyBorder="1" applyAlignment="1">
      <alignment horizontal="left"/>
    </xf>
    <xf numFmtId="0" fontId="18" fillId="0" borderId="0" xfId="0" applyFont="1" applyBorder="1" applyAlignment="1">
      <alignment horizontal="center"/>
    </xf>
    <xf numFmtId="0" fontId="60" fillId="0" borderId="0" xfId="0" applyFont="1" applyBorder="1" applyAlignment="1">
      <alignment horizontal="center" wrapText="1"/>
    </xf>
    <xf numFmtId="170" fontId="70" fillId="5" borderId="10" xfId="0" applyNumberFormat="1" applyFont="1" applyFill="1" applyBorder="1" applyAlignment="1">
      <alignment horizontal="left"/>
    </xf>
  </cellXfs>
  <cellStyles count="16">
    <cellStyle name="Comma" xfId="2" builtinId="3"/>
    <cellStyle name="Comma [0] 2" xfId="6"/>
    <cellStyle name="Comma 2" xfId="7"/>
    <cellStyle name="Comma 2 2" xfId="4"/>
    <cellStyle name="Comma 3" xfId="8"/>
    <cellStyle name="Comma 4" xfId="9"/>
    <cellStyle name="Hyperlink" xfId="1" builtinId="8"/>
    <cellStyle name="Normal" xfId="0" builtinId="0"/>
    <cellStyle name="Normal 2" xfId="3"/>
    <cellStyle name="Normal 2 2" xfId="5"/>
    <cellStyle name="Normal 2 3" xfId="10"/>
    <cellStyle name="Normal 23" xfId="11"/>
    <cellStyle name="Normal 3" xfId="12"/>
    <cellStyle name="Normal 3 2" xfId="13"/>
    <cellStyle name="Normal 6" xfId="14"/>
    <cellStyle name="Style 1" xfId="1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javascript:void(0)"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tabSelected="1" view="pageLayout" topLeftCell="B37" zoomScaleNormal="100" zoomScaleSheetLayoutView="100" workbookViewId="0">
      <selection activeCell="E24" sqref="E24"/>
    </sheetView>
  </sheetViews>
  <sheetFormatPr defaultRowHeight="15"/>
  <cols>
    <col min="1" max="1" width="6.5703125" bestFit="1" customWidth="1"/>
    <col min="2" max="2" width="48.7109375" customWidth="1"/>
    <col min="3" max="3" width="16.28515625" bestFit="1" customWidth="1"/>
    <col min="4" max="4" width="14.140625" customWidth="1"/>
    <col min="5" max="7" width="25.85546875" style="160" customWidth="1"/>
    <col min="9" max="9" width="17.28515625" customWidth="1"/>
    <col min="10" max="10" width="26.28515625" customWidth="1"/>
  </cols>
  <sheetData>
    <row r="1" spans="1:12" ht="27" customHeight="1">
      <c r="A1" s="347" t="s">
        <v>383</v>
      </c>
      <c r="B1" s="347"/>
      <c r="C1" s="347"/>
      <c r="D1" s="347"/>
      <c r="E1" s="157"/>
      <c r="F1" s="157"/>
      <c r="G1" s="157"/>
      <c r="H1" s="124"/>
    </row>
    <row r="2" spans="1:12" ht="18.75" hidden="1">
      <c r="A2" s="348" t="s">
        <v>188</v>
      </c>
      <c r="B2" s="348"/>
      <c r="C2" s="348"/>
      <c r="D2" s="348"/>
      <c r="E2" s="159"/>
      <c r="F2" s="159"/>
      <c r="G2" s="159"/>
      <c r="H2" s="125"/>
      <c r="I2" s="125"/>
      <c r="J2" s="126"/>
    </row>
    <row r="3" spans="1:12" s="172" customFormat="1" ht="24" customHeight="1">
      <c r="A3" s="351" t="s">
        <v>368</v>
      </c>
      <c r="B3" s="351"/>
      <c r="C3" s="351"/>
      <c r="D3" s="351"/>
      <c r="E3" s="326"/>
      <c r="F3" s="326"/>
      <c r="G3" s="326"/>
      <c r="H3" s="327"/>
    </row>
    <row r="4" spans="1:12">
      <c r="A4" s="127" t="s">
        <v>1</v>
      </c>
      <c r="B4" s="128" t="s">
        <v>189</v>
      </c>
      <c r="C4" s="128" t="s">
        <v>7</v>
      </c>
      <c r="D4" s="129" t="s">
        <v>8</v>
      </c>
      <c r="E4" s="158"/>
      <c r="F4" s="158"/>
      <c r="G4" s="158"/>
      <c r="H4" s="130"/>
      <c r="I4" s="130"/>
    </row>
    <row r="5" spans="1:12">
      <c r="A5" s="131">
        <v>1</v>
      </c>
      <c r="B5" s="132" t="s">
        <v>190</v>
      </c>
      <c r="C5" s="133">
        <f>+(Final!G17*104%)+(Final!G19)*104%+(Final!G49)</f>
        <v>184142074.59173337</v>
      </c>
      <c r="D5" s="165"/>
      <c r="E5" s="134" t="s">
        <v>208</v>
      </c>
      <c r="F5" s="166"/>
      <c r="G5" s="166"/>
      <c r="H5" s="162">
        <v>1</v>
      </c>
      <c r="I5" s="163" t="s">
        <v>190</v>
      </c>
      <c r="J5" s="164">
        <v>159681331.25599998</v>
      </c>
    </row>
    <row r="6" spans="1:12" ht="19.5" customHeight="1">
      <c r="A6" s="131">
        <v>2</v>
      </c>
      <c r="B6" s="132" t="s">
        <v>191</v>
      </c>
      <c r="C6" s="133">
        <f>+Final!G55</f>
        <v>1475600</v>
      </c>
      <c r="D6" s="165"/>
      <c r="E6" s="134">
        <v>35</v>
      </c>
      <c r="F6" s="166"/>
      <c r="G6" s="166"/>
      <c r="H6" s="162">
        <v>2</v>
      </c>
      <c r="I6" s="163" t="s">
        <v>191</v>
      </c>
      <c r="J6" s="164">
        <v>37052361.999999993</v>
      </c>
      <c r="L6" t="s">
        <v>215</v>
      </c>
    </row>
    <row r="7" spans="1:12" ht="23.25" customHeight="1">
      <c r="A7" s="131">
        <v>3</v>
      </c>
      <c r="B7" s="132" t="s">
        <v>192</v>
      </c>
      <c r="C7" s="133">
        <f>+Final!G54+Final!G52</f>
        <v>318800</v>
      </c>
      <c r="D7" s="165"/>
      <c r="E7" s="134" t="s">
        <v>207</v>
      </c>
      <c r="F7" s="166"/>
      <c r="G7" s="166"/>
      <c r="H7" s="162">
        <v>3</v>
      </c>
      <c r="I7" s="163" t="s">
        <v>192</v>
      </c>
      <c r="J7" s="164">
        <v>6695892</v>
      </c>
    </row>
    <row r="8" spans="1:12">
      <c r="A8" s="131">
        <v>4</v>
      </c>
      <c r="B8" s="132" t="s">
        <v>193</v>
      </c>
      <c r="C8" s="133">
        <f>SUM(Final!G20:G26)*104%</f>
        <v>42019906.240000002</v>
      </c>
      <c r="D8" s="165"/>
      <c r="E8" s="134" t="s">
        <v>209</v>
      </c>
      <c r="F8" s="166"/>
      <c r="G8" s="166"/>
      <c r="H8" s="162">
        <v>4</v>
      </c>
      <c r="I8" s="163" t="s">
        <v>193</v>
      </c>
      <c r="J8" s="164">
        <v>31948658.136</v>
      </c>
      <c r="L8" t="s">
        <v>216</v>
      </c>
    </row>
    <row r="9" spans="1:12" ht="30" customHeight="1">
      <c r="A9" s="131">
        <v>5</v>
      </c>
      <c r="B9" s="132" t="s">
        <v>194</v>
      </c>
      <c r="C9" s="133">
        <f>+(Final!G41)*104%+Final!G59+Final!G60</f>
        <v>23296233.200000003</v>
      </c>
      <c r="D9" s="165"/>
      <c r="E9" s="135" t="s">
        <v>210</v>
      </c>
      <c r="F9" s="167"/>
      <c r="G9" s="167"/>
      <c r="H9" s="162">
        <v>5</v>
      </c>
      <c r="I9" s="163" t="s">
        <v>194</v>
      </c>
      <c r="J9" s="164">
        <v>21638625</v>
      </c>
    </row>
    <row r="10" spans="1:12" ht="20.25" customHeight="1">
      <c r="A10" s="131">
        <v>6</v>
      </c>
      <c r="B10" s="132" t="s">
        <v>195</v>
      </c>
      <c r="C10" s="133">
        <f>+Final!G56</f>
        <v>2433180</v>
      </c>
      <c r="D10" s="165"/>
      <c r="E10" s="134">
        <v>36</v>
      </c>
      <c r="F10" s="166"/>
      <c r="G10" s="166"/>
      <c r="H10" s="162">
        <v>6</v>
      </c>
      <c r="I10" s="163" t="s">
        <v>195</v>
      </c>
      <c r="J10" s="164">
        <v>5937600</v>
      </c>
    </row>
    <row r="11" spans="1:12">
      <c r="A11" s="131">
        <v>7</v>
      </c>
      <c r="B11" s="132" t="s">
        <v>196</v>
      </c>
      <c r="C11" s="133">
        <f>+Final!G53</f>
        <v>218835</v>
      </c>
      <c r="D11" s="165"/>
      <c r="E11" s="134">
        <v>33</v>
      </c>
      <c r="F11" s="166"/>
      <c r="G11" s="166"/>
      <c r="H11" s="162">
        <v>7</v>
      </c>
      <c r="I11" s="163" t="s">
        <v>196</v>
      </c>
      <c r="J11" s="164">
        <v>369600</v>
      </c>
      <c r="L11" t="s">
        <v>217</v>
      </c>
    </row>
    <row r="12" spans="1:12">
      <c r="A12" s="131"/>
      <c r="B12" s="136" t="s">
        <v>197</v>
      </c>
      <c r="C12" s="133">
        <f>SUM(C5:C11)</f>
        <v>253904629.03173339</v>
      </c>
      <c r="D12" s="137"/>
      <c r="E12" s="161"/>
      <c r="F12" s="161"/>
      <c r="G12" s="161"/>
      <c r="H12" s="130"/>
      <c r="I12" s="130"/>
    </row>
    <row r="13" spans="1:12">
      <c r="A13" s="138"/>
      <c r="B13" s="139" t="s">
        <v>198</v>
      </c>
      <c r="C13" s="152">
        <f>C12*3%</f>
        <v>7617138.8709520018</v>
      </c>
      <c r="D13" s="132"/>
      <c r="E13" s="168"/>
      <c r="F13" s="168"/>
      <c r="G13" s="168"/>
      <c r="H13" s="130"/>
      <c r="I13" s="140"/>
    </row>
    <row r="14" spans="1:12">
      <c r="A14" s="131"/>
      <c r="B14" s="136" t="s">
        <v>199</v>
      </c>
      <c r="C14" s="133">
        <f>SUM(C12:C13)</f>
        <v>261521767.9026854</v>
      </c>
      <c r="D14" s="137"/>
      <c r="E14" s="161"/>
      <c r="F14" s="161"/>
      <c r="G14" s="161"/>
      <c r="H14" s="130"/>
      <c r="I14" s="141"/>
    </row>
    <row r="15" spans="1:12">
      <c r="A15" s="349" t="s">
        <v>200</v>
      </c>
      <c r="B15" s="350"/>
      <c r="C15" s="142"/>
      <c r="D15" s="142"/>
      <c r="E15" s="169"/>
      <c r="F15" s="169"/>
      <c r="G15" s="169"/>
      <c r="H15" s="130"/>
      <c r="I15" s="130"/>
    </row>
    <row r="16" spans="1:12">
      <c r="A16" s="131"/>
      <c r="B16" s="143" t="s">
        <v>201</v>
      </c>
      <c r="C16" s="144">
        <v>2500000</v>
      </c>
      <c r="D16" s="145"/>
      <c r="E16" s="170"/>
      <c r="F16" s="170"/>
      <c r="G16" s="170"/>
      <c r="H16" s="130"/>
      <c r="I16" s="130"/>
    </row>
    <row r="17" spans="1:9">
      <c r="A17" s="138"/>
      <c r="B17" s="136" t="s">
        <v>202</v>
      </c>
      <c r="C17" s="146">
        <f>SUM(C16:C16)</f>
        <v>2500000</v>
      </c>
      <c r="D17" s="137"/>
      <c r="E17" s="161"/>
      <c r="F17" s="161"/>
      <c r="G17" s="161"/>
      <c r="H17" s="130"/>
      <c r="I17" s="141"/>
    </row>
    <row r="18" spans="1:9">
      <c r="A18" s="147"/>
      <c r="B18" s="148" t="s">
        <v>203</v>
      </c>
      <c r="C18" s="149">
        <f>+C14+C17</f>
        <v>264021767.9026854</v>
      </c>
      <c r="D18" s="137"/>
      <c r="E18" s="161"/>
      <c r="F18" s="161"/>
      <c r="G18" s="161"/>
      <c r="H18" s="130"/>
      <c r="I18" s="130"/>
    </row>
    <row r="19" spans="1:9">
      <c r="A19" s="147"/>
      <c r="B19" s="136" t="s">
        <v>110</v>
      </c>
      <c r="C19" s="150">
        <f>C18/10000000</f>
        <v>26.402176790268541</v>
      </c>
      <c r="D19" s="151" t="s">
        <v>204</v>
      </c>
      <c r="E19" s="171"/>
      <c r="F19" s="171"/>
      <c r="G19" s="171"/>
      <c r="H19" s="130"/>
      <c r="I19" s="130"/>
    </row>
    <row r="21" spans="1:9">
      <c r="B21" s="136" t="s">
        <v>205</v>
      </c>
      <c r="C21" s="150"/>
      <c r="D21" s="151" t="s">
        <v>204</v>
      </c>
      <c r="E21" s="171"/>
      <c r="F21" s="171"/>
      <c r="G21" s="171"/>
    </row>
    <row r="22" spans="1:9" ht="17.25">
      <c r="B22" s="136" t="s">
        <v>206</v>
      </c>
      <c r="C22" s="150"/>
      <c r="D22" s="151" t="s">
        <v>204</v>
      </c>
      <c r="E22" s="171"/>
      <c r="F22" s="171"/>
      <c r="G22" s="171"/>
    </row>
  </sheetData>
  <mergeCells count="4">
    <mergeCell ref="A1:D1"/>
    <mergeCell ref="A2:D2"/>
    <mergeCell ref="A15:B15"/>
    <mergeCell ref="A3:D3"/>
  </mergeCells>
  <printOptions horizontalCentered="1"/>
  <pageMargins left="0.70866141732283505" right="0.70866141732283505" top="0.74803149606299202" bottom="0.74803149606299202" header="0.31496062992126" footer="0.31496062992126"/>
  <pageSetup paperSize="9" scale="92" firstPageNumber="203" orientation="portrait" useFirstPageNumber="1" r:id="rId1"/>
  <headerFooter>
    <oddFooter>&amp;C&amp;P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4"/>
  <sheetViews>
    <sheetView view="pageLayout" topLeftCell="A55" zoomScaleNormal="100" workbookViewId="0">
      <selection activeCell="G13" sqref="G13"/>
    </sheetView>
  </sheetViews>
  <sheetFormatPr defaultRowHeight="15"/>
  <cols>
    <col min="1" max="1" width="5.5703125" customWidth="1"/>
    <col min="2" max="2" width="7.85546875" customWidth="1"/>
    <col min="3" max="3" width="24.140625" customWidth="1"/>
    <col min="4" max="4" width="6" customWidth="1"/>
    <col min="6" max="6" width="7.5703125" customWidth="1"/>
    <col min="7" max="7" width="13.85546875" customWidth="1"/>
    <col min="8" max="8" width="15.140625" customWidth="1"/>
    <col min="9" max="9" width="12.7109375" bestFit="1" customWidth="1"/>
  </cols>
  <sheetData>
    <row r="1" spans="1:9" ht="17.25" customHeight="1">
      <c r="A1" s="351" t="s">
        <v>384</v>
      </c>
      <c r="B1" s="351"/>
      <c r="C1" s="351"/>
      <c r="D1" s="351"/>
      <c r="E1" s="351"/>
      <c r="F1" s="351"/>
      <c r="G1" s="351"/>
      <c r="H1" s="351"/>
    </row>
    <row r="2" spans="1:9" s="172" customFormat="1" ht="20.25" customHeight="1">
      <c r="A2" s="365" t="s">
        <v>368</v>
      </c>
      <c r="B2" s="366"/>
      <c r="C2" s="366"/>
      <c r="D2" s="366"/>
      <c r="E2" s="366"/>
      <c r="F2" s="366"/>
      <c r="G2" s="366"/>
      <c r="H2" s="367"/>
    </row>
    <row r="3" spans="1:9">
      <c r="A3" s="1" t="s">
        <v>1</v>
      </c>
      <c r="B3" s="1" t="s">
        <v>2</v>
      </c>
      <c r="C3" s="1" t="s">
        <v>3</v>
      </c>
      <c r="D3" s="1" t="s">
        <v>4</v>
      </c>
      <c r="E3" s="1" t="s">
        <v>5</v>
      </c>
      <c r="F3" s="1" t="s">
        <v>6</v>
      </c>
      <c r="G3" s="14" t="s">
        <v>7</v>
      </c>
      <c r="H3" s="1" t="s">
        <v>8</v>
      </c>
    </row>
    <row r="4" spans="1:9" s="46" customFormat="1" ht="15" customHeight="1">
      <c r="A4" s="44" t="s">
        <v>9</v>
      </c>
      <c r="B4" s="356" t="s">
        <v>10</v>
      </c>
      <c r="C4" s="356"/>
      <c r="D4" s="356"/>
      <c r="E4" s="356"/>
      <c r="F4" s="356"/>
      <c r="G4" s="356"/>
      <c r="H4" s="356"/>
    </row>
    <row r="5" spans="1:9" s="46" customFormat="1" ht="38.25">
      <c r="A5" s="47">
        <v>1</v>
      </c>
      <c r="B5" s="47">
        <v>1.1000000000000001</v>
      </c>
      <c r="C5" s="70" t="s">
        <v>11</v>
      </c>
      <c r="D5" s="47"/>
      <c r="E5" s="49"/>
      <c r="F5" s="49"/>
      <c r="G5" s="50"/>
      <c r="H5" s="45"/>
    </row>
    <row r="6" spans="1:9" s="46" customFormat="1">
      <c r="A6" s="47">
        <v>2</v>
      </c>
      <c r="B6" s="47" t="s">
        <v>12</v>
      </c>
      <c r="C6" s="70" t="s">
        <v>13</v>
      </c>
      <c r="D6" s="47" t="s">
        <v>14</v>
      </c>
      <c r="E6" s="49">
        <f>1105*4</f>
        <v>4420</v>
      </c>
      <c r="F6" s="49">
        <v>23500</v>
      </c>
      <c r="G6" s="51">
        <f>E6*F6</f>
        <v>103870000</v>
      </c>
      <c r="H6" s="45"/>
    </row>
    <row r="7" spans="1:9" s="46" customFormat="1">
      <c r="A7" s="47">
        <v>3</v>
      </c>
      <c r="B7" s="47" t="s">
        <v>15</v>
      </c>
      <c r="C7" s="70" t="s">
        <v>16</v>
      </c>
      <c r="D7" s="47" t="s">
        <v>14</v>
      </c>
      <c r="E7" s="49">
        <v>0</v>
      </c>
      <c r="F7" s="49">
        <v>14250</v>
      </c>
      <c r="G7" s="51">
        <f t="shared" ref="G7:G14" si="0">E7*F7</f>
        <v>0</v>
      </c>
      <c r="H7" s="45"/>
    </row>
    <row r="8" spans="1:9" s="46" customFormat="1" ht="25.5">
      <c r="A8" s="47">
        <v>4</v>
      </c>
      <c r="B8" s="47" t="s">
        <v>380</v>
      </c>
      <c r="C8" s="342" t="s">
        <v>381</v>
      </c>
      <c r="D8" s="47" t="s">
        <v>14</v>
      </c>
      <c r="E8" s="156">
        <v>0</v>
      </c>
      <c r="F8" s="47">
        <v>560</v>
      </c>
      <c r="G8" s="51">
        <f t="shared" si="0"/>
        <v>0</v>
      </c>
      <c r="H8" s="45"/>
    </row>
    <row r="9" spans="1:9" s="46" customFormat="1" ht="38.25">
      <c r="A9" s="47">
        <v>5</v>
      </c>
      <c r="B9" s="47" t="s">
        <v>17</v>
      </c>
      <c r="C9" s="70" t="s">
        <v>18</v>
      </c>
      <c r="D9" s="47" t="s">
        <v>14</v>
      </c>
      <c r="E9" s="156">
        <v>0</v>
      </c>
      <c r="F9" s="47">
        <v>270</v>
      </c>
      <c r="G9" s="51">
        <f t="shared" si="0"/>
        <v>0</v>
      </c>
      <c r="H9" s="45"/>
    </row>
    <row r="10" spans="1:9" s="46" customFormat="1">
      <c r="A10" s="47">
        <v>6</v>
      </c>
      <c r="B10" s="47" t="s">
        <v>19</v>
      </c>
      <c r="C10" s="70" t="s">
        <v>20</v>
      </c>
      <c r="D10" s="47" t="s">
        <v>14</v>
      </c>
      <c r="E10" s="324">
        <f>E6+E7+E15</f>
        <v>6366</v>
      </c>
      <c r="F10" s="47">
        <v>1140</v>
      </c>
      <c r="G10" s="51">
        <f t="shared" si="0"/>
        <v>7257240</v>
      </c>
      <c r="H10" s="45"/>
    </row>
    <row r="11" spans="1:9" s="46" customFormat="1" ht="51">
      <c r="A11" s="47">
        <v>7</v>
      </c>
      <c r="B11" s="47" t="s">
        <v>21</v>
      </c>
      <c r="C11" s="70" t="s">
        <v>22</v>
      </c>
      <c r="D11" s="47" t="s">
        <v>14</v>
      </c>
      <c r="E11" s="47">
        <v>1105</v>
      </c>
      <c r="F11" s="47">
        <v>2270</v>
      </c>
      <c r="G11" s="51">
        <f t="shared" si="0"/>
        <v>2508350</v>
      </c>
      <c r="H11" s="45"/>
    </row>
    <row r="12" spans="1:9" s="46" customFormat="1" ht="25.5">
      <c r="A12" s="47">
        <v>8</v>
      </c>
      <c r="B12" s="47" t="s">
        <v>23</v>
      </c>
      <c r="C12" s="70" t="s">
        <v>24</v>
      </c>
      <c r="D12" s="47" t="s">
        <v>14</v>
      </c>
      <c r="E12" s="324">
        <v>0</v>
      </c>
      <c r="F12" s="47">
        <v>1500</v>
      </c>
      <c r="G12" s="51">
        <f t="shared" si="0"/>
        <v>0</v>
      </c>
      <c r="H12" s="45"/>
    </row>
    <row r="13" spans="1:9" s="46" customFormat="1" ht="38.25">
      <c r="A13" s="47">
        <v>9</v>
      </c>
      <c r="B13" s="47" t="s">
        <v>25</v>
      </c>
      <c r="C13" s="52" t="s">
        <v>26</v>
      </c>
      <c r="D13" s="47" t="s">
        <v>14</v>
      </c>
      <c r="E13" s="325">
        <f>E6+E7+E15</f>
        <v>6366</v>
      </c>
      <c r="F13" s="47">
        <v>750</v>
      </c>
      <c r="G13" s="51">
        <f t="shared" si="0"/>
        <v>4774500</v>
      </c>
      <c r="H13" s="52"/>
    </row>
    <row r="14" spans="1:9" s="46" customFormat="1" ht="25.5">
      <c r="A14" s="47">
        <v>10</v>
      </c>
      <c r="B14" s="47" t="s">
        <v>27</v>
      </c>
      <c r="C14" s="52" t="s">
        <v>28</v>
      </c>
      <c r="D14" s="47" t="s">
        <v>14</v>
      </c>
      <c r="E14" s="156">
        <f>+E13</f>
        <v>6366</v>
      </c>
      <c r="F14" s="47">
        <v>500</v>
      </c>
      <c r="G14" s="51">
        <f t="shared" si="0"/>
        <v>3183000</v>
      </c>
      <c r="H14" s="52"/>
    </row>
    <row r="15" spans="1:9" s="172" customFormat="1" ht="25.5">
      <c r="A15" s="317">
        <v>11</v>
      </c>
      <c r="B15" s="318" t="s">
        <v>364</v>
      </c>
      <c r="C15" s="319" t="s">
        <v>365</v>
      </c>
      <c r="D15" s="320" t="s">
        <v>14</v>
      </c>
      <c r="E15" s="321">
        <v>1946</v>
      </c>
      <c r="F15" s="321">
        <v>19000</v>
      </c>
      <c r="G15" s="322">
        <f>F15*E15</f>
        <v>36974000</v>
      </c>
      <c r="H15" s="191"/>
      <c r="I15" s="323"/>
    </row>
    <row r="16" spans="1:9" s="172" customFormat="1" ht="51">
      <c r="A16" s="317">
        <v>12</v>
      </c>
      <c r="B16" s="318" t="s">
        <v>366</v>
      </c>
      <c r="C16" s="319" t="s">
        <v>367</v>
      </c>
      <c r="D16" s="320" t="s">
        <v>14</v>
      </c>
      <c r="E16" s="321">
        <f>E15*(4-3.35)/0.3</f>
        <v>4216.333333333333</v>
      </c>
      <c r="F16" s="321">
        <v>2320</v>
      </c>
      <c r="G16" s="322">
        <f>F16*E16</f>
        <v>9781893.3333333321</v>
      </c>
      <c r="H16" s="191"/>
      <c r="I16" s="323"/>
    </row>
    <row r="17" spans="1:9" s="46" customFormat="1">
      <c r="A17" s="44"/>
      <c r="B17" s="355" t="s">
        <v>41</v>
      </c>
      <c r="C17" s="355"/>
      <c r="D17" s="355"/>
      <c r="E17" s="355"/>
      <c r="F17" s="355"/>
      <c r="G17" s="53">
        <f>SUM(G6:G16)</f>
        <v>168348983.33333334</v>
      </c>
      <c r="H17" s="45"/>
    </row>
    <row r="18" spans="1:9" s="46" customFormat="1">
      <c r="A18" s="44" t="s">
        <v>42</v>
      </c>
      <c r="B18" s="356" t="s">
        <v>359</v>
      </c>
      <c r="C18" s="356"/>
      <c r="D18" s="356"/>
      <c r="E18" s="356"/>
      <c r="F18" s="356"/>
      <c r="G18" s="54"/>
      <c r="H18" s="45"/>
    </row>
    <row r="19" spans="1:9" s="46" customFormat="1" ht="25.5" customHeight="1">
      <c r="A19" s="47">
        <v>13</v>
      </c>
      <c r="B19" s="47">
        <v>3.1</v>
      </c>
      <c r="C19" s="357" t="s">
        <v>44</v>
      </c>
      <c r="D19" s="357"/>
      <c r="E19" s="357"/>
      <c r="F19" s="357"/>
      <c r="G19" s="51">
        <f>+G17*0.04</f>
        <v>6733959.333333334</v>
      </c>
      <c r="H19" s="45"/>
    </row>
    <row r="20" spans="1:9" s="46" customFormat="1">
      <c r="A20" s="47">
        <v>14</v>
      </c>
      <c r="B20" s="47">
        <v>3.2</v>
      </c>
      <c r="C20" s="357" t="s">
        <v>45</v>
      </c>
      <c r="D20" s="357"/>
      <c r="E20" s="357"/>
      <c r="F20" s="357"/>
      <c r="G20" s="51">
        <f>+G17*0.05</f>
        <v>8417449.1666666679</v>
      </c>
      <c r="H20" s="45"/>
    </row>
    <row r="21" spans="1:9" s="46" customFormat="1">
      <c r="A21" s="47">
        <v>15</v>
      </c>
      <c r="B21" s="47">
        <v>3.3</v>
      </c>
      <c r="C21" s="357" t="s">
        <v>46</v>
      </c>
      <c r="D21" s="357"/>
      <c r="E21" s="357"/>
      <c r="F21" s="357"/>
      <c r="G21" s="51">
        <f>+G17*12.5/100</f>
        <v>21043622.916666668</v>
      </c>
      <c r="H21" s="45"/>
    </row>
    <row r="22" spans="1:9" s="46" customFormat="1">
      <c r="A22" s="47">
        <v>16</v>
      </c>
      <c r="B22" s="47" t="s">
        <v>47</v>
      </c>
      <c r="C22" s="357" t="s">
        <v>48</v>
      </c>
      <c r="D22" s="357"/>
      <c r="E22" s="357"/>
      <c r="F22" s="357"/>
      <c r="G22" s="51">
        <f>+G19</f>
        <v>6733959.333333334</v>
      </c>
      <c r="H22" s="45"/>
    </row>
    <row r="23" spans="1:9" s="46" customFormat="1">
      <c r="A23" s="47">
        <v>17</v>
      </c>
      <c r="B23" s="47" t="s">
        <v>49</v>
      </c>
      <c r="C23" s="357" t="s">
        <v>50</v>
      </c>
      <c r="D23" s="357"/>
      <c r="E23" s="357"/>
      <c r="F23" s="357"/>
      <c r="G23" s="51">
        <f>+G17*0.01</f>
        <v>1683489.8333333335</v>
      </c>
      <c r="H23" s="45"/>
    </row>
    <row r="24" spans="1:9" s="46" customFormat="1">
      <c r="A24" s="47">
        <v>18</v>
      </c>
      <c r="B24" s="47" t="s">
        <v>51</v>
      </c>
      <c r="C24" s="357" t="s">
        <v>52</v>
      </c>
      <c r="D24" s="357"/>
      <c r="E24" s="357"/>
      <c r="F24" s="357"/>
      <c r="G24" s="51">
        <f>+G23/2</f>
        <v>841744.91666666674</v>
      </c>
      <c r="H24" s="45"/>
    </row>
    <row r="25" spans="1:9" s="46" customFormat="1">
      <c r="A25" s="47">
        <v>19</v>
      </c>
      <c r="B25" s="47" t="s">
        <v>53</v>
      </c>
      <c r="C25" s="357" t="s">
        <v>54</v>
      </c>
      <c r="D25" s="357"/>
      <c r="E25" s="357"/>
      <c r="F25" s="357"/>
      <c r="G25" s="51">
        <f>+G24</f>
        <v>841744.91666666674</v>
      </c>
      <c r="H25" s="45"/>
    </row>
    <row r="26" spans="1:9" s="46" customFormat="1">
      <c r="A26" s="47">
        <v>20</v>
      </c>
      <c r="B26" s="47" t="s">
        <v>55</v>
      </c>
      <c r="C26" s="357" t="s">
        <v>56</v>
      </c>
      <c r="D26" s="357"/>
      <c r="E26" s="357"/>
      <c r="F26" s="357"/>
      <c r="G26" s="51">
        <f>+G25</f>
        <v>841744.91666666674</v>
      </c>
      <c r="H26" s="45"/>
    </row>
    <row r="27" spans="1:9" s="46" customFormat="1">
      <c r="A27" s="55"/>
      <c r="B27" s="355" t="s">
        <v>57</v>
      </c>
      <c r="C27" s="355"/>
      <c r="D27" s="355"/>
      <c r="E27" s="355"/>
      <c r="F27" s="355"/>
      <c r="G27" s="53">
        <f>SUM(G19:G26)</f>
        <v>47137715.333333336</v>
      </c>
      <c r="H27" s="45"/>
      <c r="I27" s="153"/>
    </row>
    <row r="28" spans="1:9" s="46" customFormat="1">
      <c r="A28" s="44" t="s">
        <v>58</v>
      </c>
      <c r="B28" s="352" t="s">
        <v>362</v>
      </c>
      <c r="C28" s="353"/>
      <c r="D28" s="353"/>
      <c r="E28" s="353"/>
      <c r="F28" s="354"/>
      <c r="G28" s="56"/>
      <c r="H28" s="45"/>
    </row>
    <row r="29" spans="1:9" s="46" customFormat="1" ht="25.5">
      <c r="A29" s="47">
        <v>21</v>
      </c>
      <c r="B29" s="47">
        <v>5.0999999999999996</v>
      </c>
      <c r="C29" s="344" t="s">
        <v>382</v>
      </c>
      <c r="D29" s="47" t="s">
        <v>60</v>
      </c>
      <c r="E29" s="47">
        <v>6000</v>
      </c>
      <c r="F29" s="47">
        <v>15</v>
      </c>
      <c r="G29" s="51">
        <f>+F29*E29</f>
        <v>90000</v>
      </c>
      <c r="H29" s="45"/>
      <c r="I29" s="153"/>
    </row>
    <row r="30" spans="1:9" s="46" customFormat="1">
      <c r="A30" s="47">
        <v>22</v>
      </c>
      <c r="B30" s="47">
        <v>5.5</v>
      </c>
      <c r="C30" s="344" t="s">
        <v>61</v>
      </c>
      <c r="D30" s="47" t="s">
        <v>60</v>
      </c>
      <c r="E30" s="47">
        <v>12000</v>
      </c>
      <c r="F30" s="47">
        <v>15</v>
      </c>
      <c r="G30" s="51">
        <f t="shared" ref="G30:G40" si="1">+F30*E30</f>
        <v>180000</v>
      </c>
      <c r="H30" s="45"/>
    </row>
    <row r="31" spans="1:9" s="46" customFormat="1">
      <c r="A31" s="47">
        <v>23</v>
      </c>
      <c r="B31" s="47">
        <v>6</v>
      </c>
      <c r="C31" s="70" t="s">
        <v>62</v>
      </c>
      <c r="D31" s="47"/>
      <c r="E31" s="47"/>
      <c r="F31" s="47"/>
      <c r="G31" s="51"/>
      <c r="H31" s="45"/>
    </row>
    <row r="32" spans="1:9" s="46" customFormat="1">
      <c r="A32" s="47">
        <v>24</v>
      </c>
      <c r="B32" s="47">
        <v>6.1</v>
      </c>
      <c r="C32" s="70" t="s">
        <v>63</v>
      </c>
      <c r="D32" s="47" t="s">
        <v>14</v>
      </c>
      <c r="E32" s="47">
        <v>2043</v>
      </c>
      <c r="F32" s="47">
        <v>95</v>
      </c>
      <c r="G32" s="51">
        <f t="shared" si="1"/>
        <v>194085</v>
      </c>
      <c r="H32" s="45"/>
    </row>
    <row r="33" spans="1:9" s="46" customFormat="1">
      <c r="A33" s="47">
        <v>25</v>
      </c>
      <c r="B33" s="47">
        <v>6.3</v>
      </c>
      <c r="C33" s="70" t="s">
        <v>64</v>
      </c>
      <c r="D33" s="47" t="s">
        <v>14</v>
      </c>
      <c r="E33" s="47">
        <f>+E32</f>
        <v>2043</v>
      </c>
      <c r="F33" s="47">
        <v>110</v>
      </c>
      <c r="G33" s="51">
        <f t="shared" si="1"/>
        <v>224730</v>
      </c>
      <c r="H33" s="45"/>
    </row>
    <row r="34" spans="1:9" s="46" customFormat="1" ht="38.25">
      <c r="A34" s="47">
        <v>26</v>
      </c>
      <c r="B34" s="47" t="s">
        <v>65</v>
      </c>
      <c r="C34" s="70" t="s">
        <v>66</v>
      </c>
      <c r="D34" s="47" t="s">
        <v>14</v>
      </c>
      <c r="E34" s="47">
        <f>+E32</f>
        <v>2043</v>
      </c>
      <c r="F34" s="47">
        <v>80</v>
      </c>
      <c r="G34" s="51">
        <f t="shared" si="1"/>
        <v>163440</v>
      </c>
      <c r="H34" s="45"/>
    </row>
    <row r="35" spans="1:9" s="46" customFormat="1" ht="25.5">
      <c r="A35" s="47">
        <v>27</v>
      </c>
      <c r="B35" s="47" t="s">
        <v>67</v>
      </c>
      <c r="C35" s="70" t="s">
        <v>68</v>
      </c>
      <c r="D35" s="47" t="s">
        <v>14</v>
      </c>
      <c r="E35" s="47">
        <f>+E32</f>
        <v>2043</v>
      </c>
      <c r="F35" s="47">
        <v>60</v>
      </c>
      <c r="G35" s="51">
        <f t="shared" si="1"/>
        <v>122580</v>
      </c>
      <c r="H35" s="45"/>
    </row>
    <row r="36" spans="1:9" s="46" customFormat="1" ht="38.25">
      <c r="A36" s="47">
        <v>28</v>
      </c>
      <c r="B36" s="47" t="s">
        <v>69</v>
      </c>
      <c r="C36" s="70" t="s">
        <v>70</v>
      </c>
      <c r="D36" s="47" t="s">
        <v>14</v>
      </c>
      <c r="E36" s="47">
        <f>+E32</f>
        <v>2043</v>
      </c>
      <c r="F36" s="47">
        <v>45</v>
      </c>
      <c r="G36" s="51">
        <f t="shared" si="1"/>
        <v>91935</v>
      </c>
      <c r="H36" s="45"/>
    </row>
    <row r="37" spans="1:9" s="46" customFormat="1">
      <c r="A37" s="47">
        <v>29</v>
      </c>
      <c r="B37" s="47">
        <v>6.6</v>
      </c>
      <c r="C37" s="70" t="s">
        <v>71</v>
      </c>
      <c r="D37" s="47" t="s">
        <v>14</v>
      </c>
      <c r="E37" s="47">
        <f>+E32</f>
        <v>2043</v>
      </c>
      <c r="F37" s="47">
        <v>80</v>
      </c>
      <c r="G37" s="51">
        <f t="shared" si="1"/>
        <v>163440</v>
      </c>
      <c r="H37" s="45"/>
    </row>
    <row r="38" spans="1:9" s="46" customFormat="1" ht="25.5">
      <c r="A38" s="47">
        <v>30</v>
      </c>
      <c r="B38" s="47">
        <v>6.5</v>
      </c>
      <c r="C38" s="70" t="s">
        <v>72</v>
      </c>
      <c r="D38" s="47" t="s">
        <v>14</v>
      </c>
      <c r="E38" s="47">
        <f>+E32</f>
        <v>2043</v>
      </c>
      <c r="F38" s="47">
        <v>85</v>
      </c>
      <c r="G38" s="51">
        <f t="shared" si="1"/>
        <v>173655</v>
      </c>
      <c r="H38" s="45"/>
      <c r="I38" s="46" t="s">
        <v>323</v>
      </c>
    </row>
    <row r="39" spans="1:9" s="46" customFormat="1" ht="25.5">
      <c r="A39" s="47">
        <v>31</v>
      </c>
      <c r="B39" s="47" t="s">
        <v>73</v>
      </c>
      <c r="C39" s="70" t="s">
        <v>74</v>
      </c>
      <c r="D39" s="47" t="s">
        <v>14</v>
      </c>
      <c r="E39" s="47">
        <f>+E32</f>
        <v>2043</v>
      </c>
      <c r="F39" s="47">
        <v>130</v>
      </c>
      <c r="G39" s="51">
        <f t="shared" si="1"/>
        <v>265590</v>
      </c>
      <c r="H39" s="57"/>
    </row>
    <row r="40" spans="1:9" s="46" customFormat="1">
      <c r="A40" s="47">
        <v>32</v>
      </c>
      <c r="B40" s="47"/>
      <c r="C40" s="70" t="s">
        <v>77</v>
      </c>
      <c r="D40" s="47" t="s">
        <v>78</v>
      </c>
      <c r="E40" s="47">
        <v>2</v>
      </c>
      <c r="F40" s="47">
        <v>7000000</v>
      </c>
      <c r="G40" s="51">
        <f t="shared" si="1"/>
        <v>14000000</v>
      </c>
      <c r="H40" s="57"/>
    </row>
    <row r="41" spans="1:9" s="46" customFormat="1">
      <c r="A41" s="55"/>
      <c r="B41" s="355" t="s">
        <v>79</v>
      </c>
      <c r="C41" s="355"/>
      <c r="D41" s="355"/>
      <c r="E41" s="355"/>
      <c r="F41" s="355"/>
      <c r="G41" s="53">
        <f>SUM(G29:G40)</f>
        <v>15669455</v>
      </c>
      <c r="H41" s="45"/>
    </row>
    <row r="42" spans="1:9" s="46" customFormat="1">
      <c r="A42" s="45"/>
      <c r="B42" s="355" t="s">
        <v>89</v>
      </c>
      <c r="C42" s="355"/>
      <c r="D42" s="355"/>
      <c r="E42" s="355"/>
      <c r="F42" s="355"/>
      <c r="G42" s="53">
        <f>G17+G27+G41</f>
        <v>231156153.66666669</v>
      </c>
      <c r="H42" s="58"/>
    </row>
    <row r="43" spans="1:9" s="46" customFormat="1">
      <c r="A43" s="45"/>
      <c r="B43" s="359" t="s">
        <v>378</v>
      </c>
      <c r="C43" s="360"/>
      <c r="D43" s="360"/>
      <c r="E43" s="360"/>
      <c r="F43" s="361"/>
      <c r="G43" s="53">
        <f>G42*2%</f>
        <v>4623123.0733333342</v>
      </c>
      <c r="H43" s="58"/>
    </row>
    <row r="44" spans="1:9" s="46" customFormat="1">
      <c r="A44" s="45"/>
      <c r="B44" s="359" t="s">
        <v>90</v>
      </c>
      <c r="C44" s="360"/>
      <c r="D44" s="360"/>
      <c r="E44" s="360"/>
      <c r="F44" s="361"/>
      <c r="G44" s="53">
        <f>SUM(G42:G43)</f>
        <v>235779276.74000001</v>
      </c>
      <c r="H44" s="58"/>
    </row>
    <row r="45" spans="1:9" s="62" customFormat="1" ht="17.25" customHeight="1">
      <c r="A45" s="44" t="s">
        <v>221</v>
      </c>
      <c r="B45" s="352" t="s">
        <v>94</v>
      </c>
      <c r="C45" s="353"/>
      <c r="D45" s="353"/>
      <c r="E45" s="353"/>
      <c r="F45" s="50"/>
      <c r="G45" s="60"/>
      <c r="H45" s="61"/>
    </row>
    <row r="46" spans="1:9" s="62" customFormat="1" ht="51">
      <c r="A46" s="59">
        <v>34</v>
      </c>
      <c r="B46" s="47" t="s">
        <v>86</v>
      </c>
      <c r="C46" s="63" t="s">
        <v>385</v>
      </c>
      <c r="D46" s="48" t="s">
        <v>87</v>
      </c>
      <c r="E46" s="48">
        <f>137*23.868</f>
        <v>3269.9159999999997</v>
      </c>
      <c r="F46" s="48">
        <v>472.4</v>
      </c>
      <c r="G46" s="60">
        <f>E46*F46</f>
        <v>1544708.3183999998</v>
      </c>
      <c r="H46" s="61"/>
    </row>
    <row r="47" spans="1:9" s="62" customFormat="1" ht="51">
      <c r="A47" s="59">
        <v>35</v>
      </c>
      <c r="B47" s="47" t="s">
        <v>88</v>
      </c>
      <c r="C47" s="48" t="s">
        <v>386</v>
      </c>
      <c r="D47" s="64" t="s">
        <v>14</v>
      </c>
      <c r="E47" s="64">
        <v>137</v>
      </c>
      <c r="F47" s="65">
        <v>3730.7</v>
      </c>
      <c r="G47" s="60">
        <f>E47*F47</f>
        <v>511105.89999999997</v>
      </c>
      <c r="H47" s="61"/>
    </row>
    <row r="48" spans="1:9" s="62" customFormat="1" ht="12.75">
      <c r="A48" s="61"/>
      <c r="B48" s="355" t="s">
        <v>91</v>
      </c>
      <c r="C48" s="355"/>
      <c r="D48" s="355"/>
      <c r="E48" s="355"/>
      <c r="F48" s="355"/>
      <c r="G48" s="53">
        <f>SUM(G46:G47)</f>
        <v>2055814.2183999997</v>
      </c>
      <c r="H48" s="47"/>
    </row>
    <row r="49" spans="1:9" s="62" customFormat="1" ht="12.75">
      <c r="A49" s="61"/>
      <c r="B49" s="66"/>
      <c r="C49" s="67"/>
      <c r="D49" s="362" t="s">
        <v>95</v>
      </c>
      <c r="E49" s="363"/>
      <c r="F49" s="364"/>
      <c r="G49" s="53">
        <f>+G48</f>
        <v>2055814.2183999997</v>
      </c>
      <c r="H49" s="47"/>
      <c r="I49" s="345"/>
    </row>
    <row r="50" spans="1:9" s="62" customFormat="1" ht="12.75">
      <c r="A50" s="61"/>
      <c r="B50" s="71"/>
      <c r="C50" s="72"/>
      <c r="D50" s="362" t="s">
        <v>93</v>
      </c>
      <c r="E50" s="363"/>
      <c r="F50" s="364"/>
      <c r="G50" s="53">
        <f>+G49+G44</f>
        <v>237835090.95840001</v>
      </c>
      <c r="H50" s="47"/>
      <c r="I50" s="73"/>
    </row>
    <row r="51" spans="1:9" s="62" customFormat="1" ht="14.25">
      <c r="A51" s="44" t="s">
        <v>360</v>
      </c>
      <c r="B51" s="352" t="s">
        <v>211</v>
      </c>
      <c r="C51" s="353"/>
      <c r="D51" s="61"/>
      <c r="E51" s="61"/>
      <c r="F51" s="61"/>
      <c r="G51" s="68"/>
      <c r="H51" s="47"/>
    </row>
    <row r="52" spans="1:9" s="62" customFormat="1" ht="12.75">
      <c r="A52" s="47">
        <v>36</v>
      </c>
      <c r="B52" s="47" t="s">
        <v>29</v>
      </c>
      <c r="C52" s="52" t="s">
        <v>30</v>
      </c>
      <c r="D52" s="47" t="s">
        <v>14</v>
      </c>
      <c r="E52" s="47">
        <v>150</v>
      </c>
      <c r="F52" s="47">
        <f>+'S.no 32_Paver Blocks'!J8</f>
        <v>1375.5</v>
      </c>
      <c r="G52" s="51">
        <f>+E52*F52</f>
        <v>206325</v>
      </c>
      <c r="H52" s="122" t="s">
        <v>181</v>
      </c>
    </row>
    <row r="53" spans="1:9" s="62" customFormat="1" ht="25.5">
      <c r="A53" s="47">
        <v>37</v>
      </c>
      <c r="B53" s="47" t="s">
        <v>29</v>
      </c>
      <c r="C53" s="52" t="s">
        <v>31</v>
      </c>
      <c r="D53" s="47" t="s">
        <v>14</v>
      </c>
      <c r="E53" s="47">
        <v>135</v>
      </c>
      <c r="F53" s="47">
        <f>+'S.no 33_ Parking area'!J24</f>
        <v>1621</v>
      </c>
      <c r="G53" s="51">
        <f t="shared" ref="G53:G55" si="2">+E53*F53</f>
        <v>218835</v>
      </c>
      <c r="H53" s="122" t="s">
        <v>184</v>
      </c>
    </row>
    <row r="54" spans="1:9" s="62" customFormat="1" ht="63.75">
      <c r="A54" s="47">
        <v>38</v>
      </c>
      <c r="B54" s="47" t="s">
        <v>35</v>
      </c>
      <c r="C54" s="52" t="s">
        <v>33</v>
      </c>
      <c r="D54" s="47" t="s">
        <v>34</v>
      </c>
      <c r="E54" s="47">
        <v>275</v>
      </c>
      <c r="F54" s="47">
        <v>409</v>
      </c>
      <c r="G54" s="51">
        <f t="shared" si="2"/>
        <v>112475</v>
      </c>
      <c r="H54" s="122" t="s">
        <v>212</v>
      </c>
    </row>
    <row r="55" spans="1:9" s="62" customFormat="1" ht="25.5">
      <c r="A55" s="47">
        <v>39</v>
      </c>
      <c r="B55" s="47" t="s">
        <v>35</v>
      </c>
      <c r="C55" s="52" t="s">
        <v>369</v>
      </c>
      <c r="D55" s="47" t="s">
        <v>37</v>
      </c>
      <c r="E55" s="47">
        <f>341+135</f>
        <v>476</v>
      </c>
      <c r="F55" s="156">
        <f>+'Bituminious Road'!J17</f>
        <v>3100</v>
      </c>
      <c r="G55" s="51">
        <f t="shared" si="2"/>
        <v>1475600</v>
      </c>
      <c r="H55" s="122" t="s">
        <v>185</v>
      </c>
    </row>
    <row r="56" spans="1:9" s="62" customFormat="1" ht="25.5">
      <c r="A56" s="47">
        <v>40</v>
      </c>
      <c r="B56" s="47" t="s">
        <v>35</v>
      </c>
      <c r="C56" s="70" t="s">
        <v>80</v>
      </c>
      <c r="D56" s="70"/>
      <c r="E56" s="70"/>
      <c r="F56" s="70"/>
      <c r="G56" s="51">
        <f>+'ann IV BW gate'!F6</f>
        <v>2433180</v>
      </c>
      <c r="H56" s="122" t="s">
        <v>186</v>
      </c>
    </row>
    <row r="57" spans="1:9" s="62" customFormat="1" ht="12.75">
      <c r="A57" s="61"/>
      <c r="B57" s="355" t="s">
        <v>92</v>
      </c>
      <c r="C57" s="355"/>
      <c r="D57" s="355"/>
      <c r="E57" s="355"/>
      <c r="F57" s="355"/>
      <c r="G57" s="53">
        <f>SUM(G52:G56)</f>
        <v>4446415</v>
      </c>
      <c r="H57" s="47"/>
    </row>
    <row r="58" spans="1:9" s="62" customFormat="1" ht="14.25" customHeight="1">
      <c r="A58" s="44" t="s">
        <v>361</v>
      </c>
      <c r="B58" s="352" t="s">
        <v>96</v>
      </c>
      <c r="C58" s="353"/>
      <c r="D58" s="61"/>
      <c r="E58" s="61"/>
      <c r="F58" s="61"/>
      <c r="G58" s="68"/>
      <c r="H58" s="47"/>
    </row>
    <row r="59" spans="1:9" s="62" customFormat="1" ht="38.25">
      <c r="A59" s="47">
        <v>41</v>
      </c>
      <c r="B59" s="47" t="s">
        <v>38</v>
      </c>
      <c r="C59" s="70" t="s">
        <v>39</v>
      </c>
      <c r="D59" s="70" t="s">
        <v>40</v>
      </c>
      <c r="E59" s="70"/>
      <c r="F59" s="70"/>
      <c r="G59" s="346">
        <v>3000000</v>
      </c>
      <c r="H59" s="52"/>
    </row>
    <row r="60" spans="1:9" s="46" customFormat="1">
      <c r="A60" s="47">
        <v>42</v>
      </c>
      <c r="B60" s="47" t="s">
        <v>38</v>
      </c>
      <c r="C60" s="70" t="s">
        <v>379</v>
      </c>
      <c r="D60" s="47"/>
      <c r="E60" s="47"/>
      <c r="F60" s="47"/>
      <c r="G60" s="343">
        <v>4000000</v>
      </c>
      <c r="H60" s="57"/>
    </row>
    <row r="61" spans="1:9" s="62" customFormat="1" ht="21.75" customHeight="1">
      <c r="A61" s="61"/>
      <c r="B61" s="355" t="s">
        <v>97</v>
      </c>
      <c r="C61" s="355"/>
      <c r="D61" s="355"/>
      <c r="E61" s="355"/>
      <c r="F61" s="355"/>
      <c r="G61" s="69">
        <f>SUM(G59:G60)</f>
        <v>7000000</v>
      </c>
      <c r="H61" s="47"/>
      <c r="I61" s="345"/>
    </row>
    <row r="62" spans="1:9" s="313" customFormat="1" ht="21" customHeight="1">
      <c r="A62" s="310"/>
      <c r="B62" s="358" t="s">
        <v>98</v>
      </c>
      <c r="C62" s="358"/>
      <c r="D62" s="358"/>
      <c r="E62" s="358"/>
      <c r="F62" s="358"/>
      <c r="G62" s="311">
        <f>+G50+G57+G61</f>
        <v>249281505.95840001</v>
      </c>
      <c r="H62" s="312"/>
    </row>
    <row r="63" spans="1:9" s="62" customFormat="1" ht="12.75"/>
    <row r="64" spans="1:9" s="62" customFormat="1" ht="12.75"/>
  </sheetData>
  <mergeCells count="29">
    <mergeCell ref="A1:H1"/>
    <mergeCell ref="B62:F62"/>
    <mergeCell ref="B51:C51"/>
    <mergeCell ref="B48:F48"/>
    <mergeCell ref="B61:F61"/>
    <mergeCell ref="B43:F43"/>
    <mergeCell ref="B44:F44"/>
    <mergeCell ref="D49:F49"/>
    <mergeCell ref="D50:F50"/>
    <mergeCell ref="B58:C58"/>
    <mergeCell ref="B57:F57"/>
    <mergeCell ref="B4:F4"/>
    <mergeCell ref="G4:H4"/>
    <mergeCell ref="C21:F21"/>
    <mergeCell ref="B17:F17"/>
    <mergeCell ref="A2:H2"/>
    <mergeCell ref="B28:F28"/>
    <mergeCell ref="B41:F41"/>
    <mergeCell ref="B42:F42"/>
    <mergeCell ref="B45:E45"/>
    <mergeCell ref="B18:F18"/>
    <mergeCell ref="C19:F19"/>
    <mergeCell ref="B27:F27"/>
    <mergeCell ref="C20:F20"/>
    <mergeCell ref="C22:F22"/>
    <mergeCell ref="C23:F23"/>
    <mergeCell ref="C24:F24"/>
    <mergeCell ref="C25:F25"/>
    <mergeCell ref="C26:F26"/>
  </mergeCells>
  <pageMargins left="0.70866141732283505" right="0.70866141732283505" top="0.511811023622047" bottom="0.74803149606299202" header="0.31496062992126" footer="0.31496062992126"/>
  <pageSetup paperSize="9" scale="90" firstPageNumber="204" fitToHeight="0" orientation="portrait" useFirstPageNumber="1" r:id="rId1"/>
  <headerFooter>
    <oddFooter>&amp;C&amp;P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view="pageLayout" topLeftCell="A31" zoomScaleNormal="100" workbookViewId="0">
      <selection activeCell="I6" sqref="I6"/>
    </sheetView>
  </sheetViews>
  <sheetFormatPr defaultRowHeight="15"/>
  <cols>
    <col min="1" max="1" width="6.140625" bestFit="1" customWidth="1"/>
    <col min="2" max="2" width="25.7109375" customWidth="1"/>
    <col min="3" max="3" width="6.42578125" customWidth="1"/>
    <col min="4" max="4" width="5" hidden="1" customWidth="1"/>
    <col min="5" max="5" width="2" hidden="1" customWidth="1"/>
    <col min="6" max="7" width="9.140625" hidden="1" customWidth="1"/>
    <col min="8" max="8" width="9.140625" customWidth="1"/>
    <col min="11" max="11" width="17" customWidth="1"/>
  </cols>
  <sheetData>
    <row r="1" spans="1:11" ht="15.75">
      <c r="I1" s="372" t="s">
        <v>181</v>
      </c>
      <c r="J1" s="372"/>
      <c r="K1" s="372"/>
    </row>
    <row r="2" spans="1:11" ht="18.75">
      <c r="A2" s="369" t="s">
        <v>183</v>
      </c>
      <c r="B2" s="370"/>
      <c r="C2" s="370"/>
      <c r="D2" s="370"/>
      <c r="E2" s="370"/>
      <c r="F2" s="370"/>
      <c r="G2" s="370"/>
      <c r="H2" s="370"/>
      <c r="I2" s="370"/>
      <c r="J2" s="370"/>
      <c r="K2" s="371"/>
    </row>
    <row r="3" spans="1:11">
      <c r="A3" s="368" t="s">
        <v>99</v>
      </c>
      <c r="B3" s="368" t="s">
        <v>100</v>
      </c>
      <c r="C3" s="368" t="s">
        <v>4</v>
      </c>
      <c r="D3" s="368" t="s">
        <v>101</v>
      </c>
      <c r="E3" s="368" t="s">
        <v>102</v>
      </c>
      <c r="F3" s="368"/>
      <c r="G3" s="368"/>
      <c r="H3" s="373" t="s">
        <v>103</v>
      </c>
      <c r="I3" s="368" t="s">
        <v>6</v>
      </c>
      <c r="J3" s="368" t="s">
        <v>104</v>
      </c>
      <c r="K3" s="368" t="s">
        <v>105</v>
      </c>
    </row>
    <row r="4" spans="1:11">
      <c r="A4" s="368"/>
      <c r="B4" s="368"/>
      <c r="C4" s="368"/>
      <c r="D4" s="368"/>
      <c r="E4" s="75" t="s">
        <v>106</v>
      </c>
      <c r="F4" s="75" t="s">
        <v>42</v>
      </c>
      <c r="G4" s="75" t="s">
        <v>107</v>
      </c>
      <c r="H4" s="374"/>
      <c r="I4" s="368"/>
      <c r="J4" s="368"/>
      <c r="K4" s="368"/>
    </row>
    <row r="5" spans="1:11">
      <c r="A5" s="74">
        <v>1</v>
      </c>
      <c r="B5" s="74" t="s">
        <v>108</v>
      </c>
      <c r="C5" s="74" t="s">
        <v>109</v>
      </c>
      <c r="D5" s="74">
        <v>1</v>
      </c>
      <c r="E5" s="74">
        <v>1</v>
      </c>
      <c r="F5" s="74">
        <v>1</v>
      </c>
      <c r="G5" s="74">
        <v>0.15</v>
      </c>
      <c r="H5" s="74">
        <v>0.15</v>
      </c>
      <c r="I5" s="74">
        <v>4109</v>
      </c>
      <c r="J5" s="74">
        <f>+H5*I5</f>
        <v>616.35</v>
      </c>
      <c r="K5" s="74" t="s">
        <v>182</v>
      </c>
    </row>
    <row r="6" spans="1:11" s="114" customFormat="1" ht="30">
      <c r="A6" s="154">
        <v>2</v>
      </c>
      <c r="B6" s="154" t="s">
        <v>30</v>
      </c>
      <c r="C6" s="154" t="s">
        <v>14</v>
      </c>
      <c r="D6" s="154">
        <v>1</v>
      </c>
      <c r="E6" s="154">
        <v>1</v>
      </c>
      <c r="F6" s="154">
        <v>1</v>
      </c>
      <c r="G6" s="154">
        <v>1</v>
      </c>
      <c r="H6" s="154">
        <v>1</v>
      </c>
      <c r="I6" s="155">
        <f>756.15</f>
        <v>756.15</v>
      </c>
      <c r="J6" s="154">
        <f>+H6*I6</f>
        <v>756.15</v>
      </c>
      <c r="K6" s="28" t="s">
        <v>370</v>
      </c>
    </row>
    <row r="7" spans="1:11">
      <c r="A7" s="74"/>
      <c r="B7" s="74"/>
      <c r="C7" s="74"/>
      <c r="D7" s="74"/>
      <c r="E7" s="74"/>
      <c r="F7" s="74"/>
      <c r="G7" s="74"/>
      <c r="H7" s="74"/>
      <c r="I7" s="74"/>
      <c r="J7" s="78">
        <f>SUM(J5:J6)</f>
        <v>1372.5</v>
      </c>
      <c r="K7" s="74"/>
    </row>
    <row r="8" spans="1:11">
      <c r="A8" s="76"/>
      <c r="B8" s="76"/>
      <c r="C8" s="76"/>
      <c r="D8" s="76"/>
      <c r="E8" s="76"/>
      <c r="F8" s="76"/>
      <c r="G8" s="76"/>
      <c r="H8" s="76"/>
      <c r="I8" s="123" t="s">
        <v>110</v>
      </c>
      <c r="J8" s="77">
        <v>1375.5</v>
      </c>
      <c r="K8" s="77" t="s">
        <v>111</v>
      </c>
    </row>
  </sheetData>
  <mergeCells count="11">
    <mergeCell ref="I3:I4"/>
    <mergeCell ref="J3:J4"/>
    <mergeCell ref="K3:K4"/>
    <mergeCell ref="A2:K2"/>
    <mergeCell ref="I1:K1"/>
    <mergeCell ref="H3:H4"/>
    <mergeCell ref="A3:A4"/>
    <mergeCell ref="B3:B4"/>
    <mergeCell ref="C3:C4"/>
    <mergeCell ref="D3:D4"/>
    <mergeCell ref="E3:G3"/>
  </mergeCells>
  <pageMargins left="0.70866141732283505" right="0.70866141732283505" top="0.74803149606299202" bottom="0.74803149606299202" header="0.31496062992126" footer="0.31496062992126"/>
  <pageSetup paperSize="9" firstPageNumber="206" orientation="portrait" useFirstPageNumber="1" r:id="rId1"/>
  <headerFooter>
    <oddFooter>&amp;C&amp;P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24"/>
  <sheetViews>
    <sheetView view="pageLayout" topLeftCell="A32" zoomScaleNormal="100" workbookViewId="0">
      <selection activeCell="I19" sqref="I19"/>
    </sheetView>
  </sheetViews>
  <sheetFormatPr defaultRowHeight="15"/>
  <cols>
    <col min="1" max="1" width="4.5703125" customWidth="1"/>
    <col min="2" max="2" width="32.140625" customWidth="1"/>
    <col min="3" max="3" width="5.28515625" bestFit="1" customWidth="1"/>
    <col min="4" max="5" width="5" hidden="1" customWidth="1"/>
    <col min="6" max="6" width="4" hidden="1" customWidth="1"/>
    <col min="7" max="7" width="5" hidden="1" customWidth="1"/>
    <col min="8" max="8" width="5" customWidth="1"/>
    <col min="9" max="9" width="7.7109375" bestFit="1" customWidth="1"/>
    <col min="10" max="10" width="11" bestFit="1" customWidth="1"/>
    <col min="11" max="11" width="8.140625" customWidth="1"/>
  </cols>
  <sheetData>
    <row r="1" spans="1:11" s="160" customFormat="1" ht="17.25">
      <c r="I1" s="375" t="s">
        <v>184</v>
      </c>
      <c r="J1" s="375"/>
      <c r="K1" s="375"/>
    </row>
    <row r="2" spans="1:11">
      <c r="A2" s="368" t="s">
        <v>99</v>
      </c>
      <c r="B2" s="368" t="s">
        <v>100</v>
      </c>
      <c r="C2" s="368" t="s">
        <v>4</v>
      </c>
      <c r="D2" s="368" t="s">
        <v>101</v>
      </c>
      <c r="E2" s="368" t="s">
        <v>102</v>
      </c>
      <c r="F2" s="368"/>
      <c r="G2" s="368"/>
      <c r="H2" s="368" t="s">
        <v>103</v>
      </c>
      <c r="I2" s="368" t="s">
        <v>6</v>
      </c>
      <c r="J2" s="368" t="s">
        <v>104</v>
      </c>
      <c r="K2" s="368" t="s">
        <v>187</v>
      </c>
    </row>
    <row r="3" spans="1:11">
      <c r="A3" s="368"/>
      <c r="B3" s="368"/>
      <c r="C3" s="368"/>
      <c r="D3" s="368"/>
      <c r="E3" s="75" t="s">
        <v>106</v>
      </c>
      <c r="F3" s="75" t="s">
        <v>42</v>
      </c>
      <c r="G3" s="75" t="s">
        <v>107</v>
      </c>
      <c r="H3" s="368"/>
      <c r="I3" s="368"/>
      <c r="J3" s="368"/>
      <c r="K3" s="368"/>
    </row>
    <row r="4" spans="1:11">
      <c r="A4" s="74"/>
      <c r="B4" s="74" t="s">
        <v>363</v>
      </c>
      <c r="C4" s="74"/>
      <c r="D4" s="74"/>
      <c r="E4" s="74"/>
      <c r="F4" s="74"/>
      <c r="G4" s="74"/>
      <c r="H4" s="74"/>
      <c r="I4" s="74"/>
      <c r="J4" s="74"/>
      <c r="K4" s="74"/>
    </row>
    <row r="5" spans="1:11">
      <c r="A5" s="74">
        <v>1</v>
      </c>
      <c r="B5" s="74" t="s">
        <v>112</v>
      </c>
      <c r="C5" s="74" t="s">
        <v>109</v>
      </c>
      <c r="D5" s="74">
        <v>1</v>
      </c>
      <c r="E5" s="74">
        <v>1000</v>
      </c>
      <c r="F5" s="74">
        <v>3.6</v>
      </c>
      <c r="G5" s="74">
        <v>0.45</v>
      </c>
      <c r="H5" s="74">
        <v>1620</v>
      </c>
      <c r="I5" s="74">
        <v>130</v>
      </c>
      <c r="J5" s="74">
        <f>+H5*I5</f>
        <v>210600</v>
      </c>
      <c r="K5" s="74">
        <v>3.3</v>
      </c>
    </row>
    <row r="6" spans="1:11">
      <c r="A6" s="74"/>
      <c r="B6" s="74"/>
      <c r="C6" s="74"/>
      <c r="D6" s="74"/>
      <c r="E6" s="74"/>
      <c r="F6" s="74"/>
      <c r="G6" s="74"/>
      <c r="H6" s="74"/>
      <c r="I6" s="74"/>
      <c r="J6" s="74"/>
      <c r="K6" s="74"/>
    </row>
    <row r="7" spans="1:11" hidden="1">
      <c r="A7" s="74">
        <v>2</v>
      </c>
      <c r="B7" s="74" t="s">
        <v>113</v>
      </c>
      <c r="C7" s="74" t="s">
        <v>109</v>
      </c>
      <c r="D7" s="74">
        <v>1</v>
      </c>
      <c r="E7" s="74">
        <v>1000</v>
      </c>
      <c r="F7" s="74">
        <v>3.6</v>
      </c>
      <c r="G7" s="74">
        <v>0</v>
      </c>
      <c r="H7" s="74">
        <v>0</v>
      </c>
      <c r="I7" s="74">
        <v>445</v>
      </c>
      <c r="J7" s="74">
        <v>0</v>
      </c>
      <c r="K7" s="74">
        <v>4.3</v>
      </c>
    </row>
    <row r="8" spans="1:11" hidden="1">
      <c r="A8" s="74"/>
      <c r="B8" s="74"/>
      <c r="C8" s="74"/>
      <c r="D8" s="74"/>
      <c r="E8" s="74"/>
      <c r="F8" s="74"/>
      <c r="G8" s="74"/>
      <c r="H8" s="74"/>
      <c r="I8" s="74"/>
      <c r="J8" s="74"/>
      <c r="K8" s="74"/>
    </row>
    <row r="9" spans="1:11">
      <c r="A9" s="74">
        <v>2</v>
      </c>
      <c r="B9" s="74" t="s">
        <v>114</v>
      </c>
      <c r="C9" s="74" t="s">
        <v>109</v>
      </c>
      <c r="D9" s="74">
        <v>1</v>
      </c>
      <c r="E9" s="74">
        <v>1000</v>
      </c>
      <c r="F9" s="74">
        <v>3.6</v>
      </c>
      <c r="G9" s="74">
        <v>0.15</v>
      </c>
      <c r="H9" s="74">
        <v>540</v>
      </c>
      <c r="I9" s="74">
        <v>1422</v>
      </c>
      <c r="J9" s="74">
        <f>+H9*I9</f>
        <v>767880</v>
      </c>
      <c r="K9" s="74">
        <v>4.0999999999999996</v>
      </c>
    </row>
    <row r="10" spans="1:11">
      <c r="A10" s="74"/>
      <c r="B10" s="74"/>
      <c r="C10" s="74"/>
      <c r="D10" s="74"/>
      <c r="E10" s="74"/>
      <c r="F10" s="74"/>
      <c r="G10" s="74"/>
      <c r="H10" s="74"/>
      <c r="I10" s="74"/>
      <c r="J10" s="74"/>
      <c r="K10" s="74"/>
    </row>
    <row r="11" spans="1:11" hidden="1">
      <c r="A11" s="74">
        <v>4</v>
      </c>
      <c r="B11" s="74" t="s">
        <v>115</v>
      </c>
      <c r="C11" s="74" t="s">
        <v>109</v>
      </c>
      <c r="D11" s="74">
        <v>1</v>
      </c>
      <c r="E11" s="74">
        <v>1000</v>
      </c>
      <c r="F11" s="74">
        <v>3.6</v>
      </c>
      <c r="G11" s="74">
        <v>0</v>
      </c>
      <c r="H11" s="74">
        <v>0</v>
      </c>
      <c r="I11" s="74">
        <v>1290</v>
      </c>
      <c r="J11" s="74">
        <v>0</v>
      </c>
      <c r="K11" s="74">
        <v>4.12</v>
      </c>
    </row>
    <row r="12" spans="1:11" hidden="1">
      <c r="A12" s="74"/>
      <c r="B12" s="74"/>
      <c r="C12" s="74"/>
      <c r="D12" s="74"/>
      <c r="E12" s="74"/>
      <c r="F12" s="74"/>
      <c r="G12" s="74"/>
      <c r="H12" s="74"/>
      <c r="I12" s="74"/>
      <c r="J12" s="74"/>
      <c r="K12" s="74"/>
    </row>
    <row r="13" spans="1:11">
      <c r="A13" s="74">
        <v>3</v>
      </c>
      <c r="B13" s="74" t="s">
        <v>116</v>
      </c>
      <c r="C13" s="74" t="s">
        <v>109</v>
      </c>
      <c r="D13" s="74">
        <v>1</v>
      </c>
      <c r="E13" s="74">
        <v>1000</v>
      </c>
      <c r="F13" s="74">
        <v>3.6</v>
      </c>
      <c r="G13" s="74">
        <v>0.1</v>
      </c>
      <c r="H13" s="74">
        <v>360</v>
      </c>
      <c r="I13" s="74">
        <v>2238</v>
      </c>
      <c r="J13" s="74">
        <f>+H13*I13</f>
        <v>805680</v>
      </c>
      <c r="K13" s="74">
        <v>6.1</v>
      </c>
    </row>
    <row r="14" spans="1:11">
      <c r="A14" s="74"/>
      <c r="B14" s="74"/>
      <c r="C14" s="74"/>
      <c r="D14" s="74"/>
      <c r="E14" s="74"/>
      <c r="F14" s="74"/>
      <c r="G14" s="74"/>
      <c r="H14" s="74"/>
      <c r="I14" s="74"/>
      <c r="J14" s="74"/>
      <c r="K14" s="74"/>
    </row>
    <row r="15" spans="1:11" hidden="1">
      <c r="A15" s="74">
        <v>6</v>
      </c>
      <c r="B15" s="74" t="s">
        <v>117</v>
      </c>
      <c r="C15" s="74" t="s">
        <v>109</v>
      </c>
      <c r="D15" s="74">
        <v>1</v>
      </c>
      <c r="E15" s="74">
        <v>1000</v>
      </c>
      <c r="F15" s="74">
        <v>3.6</v>
      </c>
      <c r="G15" s="74">
        <v>0</v>
      </c>
      <c r="H15" s="74">
        <v>0</v>
      </c>
      <c r="I15" s="74">
        <v>2609</v>
      </c>
      <c r="J15" s="74">
        <v>0</v>
      </c>
      <c r="K15" s="74">
        <v>6.3</v>
      </c>
    </row>
    <row r="16" spans="1:11" hidden="1">
      <c r="A16" s="74"/>
      <c r="B16" s="74"/>
      <c r="C16" s="74"/>
      <c r="D16" s="74"/>
      <c r="E16" s="74"/>
      <c r="F16" s="74"/>
      <c r="G16" s="74"/>
      <c r="H16" s="74"/>
      <c r="I16" s="74"/>
      <c r="J16" s="74"/>
      <c r="K16" s="74"/>
    </row>
    <row r="17" spans="1:11">
      <c r="A17" s="74">
        <v>4</v>
      </c>
      <c r="B17" s="74" t="s">
        <v>118</v>
      </c>
      <c r="C17" s="74" t="s">
        <v>109</v>
      </c>
      <c r="D17" s="74">
        <v>1</v>
      </c>
      <c r="E17" s="74">
        <v>1000</v>
      </c>
      <c r="F17" s="74">
        <v>3.6</v>
      </c>
      <c r="G17" s="74">
        <v>0.2</v>
      </c>
      <c r="H17" s="74">
        <v>720</v>
      </c>
      <c r="I17" s="74">
        <v>4754</v>
      </c>
      <c r="J17" s="74">
        <f>+H17*I17</f>
        <v>3422880</v>
      </c>
      <c r="K17" s="74">
        <v>6.2</v>
      </c>
    </row>
    <row r="18" spans="1:11">
      <c r="A18" s="74"/>
      <c r="B18" s="74"/>
      <c r="C18" s="74"/>
      <c r="D18" s="74"/>
      <c r="E18" s="74"/>
      <c r="F18" s="74"/>
      <c r="G18" s="74"/>
      <c r="H18" s="74"/>
      <c r="I18" s="74"/>
      <c r="J18" s="74"/>
      <c r="K18" s="74"/>
    </row>
    <row r="19" spans="1:11">
      <c r="A19" s="74">
        <v>5</v>
      </c>
      <c r="B19" s="74" t="s">
        <v>119</v>
      </c>
      <c r="C19" s="74" t="s">
        <v>120</v>
      </c>
      <c r="D19" s="74"/>
      <c r="E19" s="74"/>
      <c r="F19" s="74"/>
      <c r="G19" s="74"/>
      <c r="H19" s="74">
        <v>1620</v>
      </c>
      <c r="I19" s="74">
        <v>215.77</v>
      </c>
      <c r="J19" s="74">
        <f>+H19*I19</f>
        <v>349547.4</v>
      </c>
      <c r="K19" s="74">
        <v>1.2</v>
      </c>
    </row>
    <row r="20" spans="1:11">
      <c r="A20" s="74"/>
      <c r="B20" s="118" t="s">
        <v>121</v>
      </c>
      <c r="C20" s="74"/>
      <c r="D20" s="74"/>
      <c r="E20" s="74"/>
      <c r="F20" s="74"/>
      <c r="G20" s="74"/>
      <c r="H20" s="74"/>
      <c r="I20" s="74"/>
      <c r="J20" s="74">
        <f>SUM(J5:J19)</f>
        <v>5556587.4000000004</v>
      </c>
      <c r="K20" s="74"/>
    </row>
    <row r="21" spans="1:11">
      <c r="A21" s="74"/>
      <c r="B21" s="118" t="s">
        <v>122</v>
      </c>
      <c r="C21" s="74"/>
      <c r="D21" s="74"/>
      <c r="E21" s="74"/>
      <c r="F21" s="74"/>
      <c r="G21" s="74"/>
      <c r="H21" s="74"/>
      <c r="I21" s="74"/>
      <c r="J21" s="74">
        <f>+J20*5%</f>
        <v>277829.37000000005</v>
      </c>
      <c r="K21" s="74"/>
    </row>
    <row r="22" spans="1:11">
      <c r="A22" s="74"/>
      <c r="B22" s="74" t="s">
        <v>123</v>
      </c>
      <c r="C22" s="74"/>
      <c r="D22" s="74"/>
      <c r="E22" s="74"/>
      <c r="F22" s="74"/>
      <c r="G22" s="74"/>
      <c r="H22" s="74"/>
      <c r="I22" s="74"/>
      <c r="J22" s="74">
        <f>+J20+J21</f>
        <v>5834416.7700000005</v>
      </c>
      <c r="K22" s="74"/>
    </row>
    <row r="23" spans="1:11">
      <c r="A23" s="76"/>
      <c r="B23" s="76" t="s">
        <v>124</v>
      </c>
      <c r="C23" s="76"/>
      <c r="D23" s="76"/>
      <c r="E23" s="76"/>
      <c r="F23" s="76"/>
      <c r="G23" s="76"/>
      <c r="H23" s="76"/>
      <c r="I23" s="76"/>
      <c r="J23" s="79">
        <f>+J22/3600</f>
        <v>1620.671325</v>
      </c>
      <c r="K23" s="76"/>
    </row>
    <row r="24" spans="1:11" ht="15.75">
      <c r="A24" s="76"/>
      <c r="B24" s="76"/>
      <c r="C24" s="76"/>
      <c r="D24" s="76"/>
      <c r="E24" s="76"/>
      <c r="F24" s="76"/>
      <c r="G24" s="76"/>
      <c r="H24" s="76"/>
      <c r="I24" s="80" t="s">
        <v>125</v>
      </c>
      <c r="J24" s="80">
        <v>1621</v>
      </c>
      <c r="K24" s="80" t="s">
        <v>126</v>
      </c>
    </row>
  </sheetData>
  <mergeCells count="10">
    <mergeCell ref="I2:I3"/>
    <mergeCell ref="J2:J3"/>
    <mergeCell ref="K2:K3"/>
    <mergeCell ref="I1:K1"/>
    <mergeCell ref="A2:A3"/>
    <mergeCell ref="B2:B3"/>
    <mergeCell ref="C2:C3"/>
    <mergeCell ref="D2:D3"/>
    <mergeCell ref="E2:G2"/>
    <mergeCell ref="H2:H3"/>
  </mergeCells>
  <pageMargins left="0.39370078740157499" right="0.35433070866141703" top="0.74803149606299202" bottom="0.74803149606299202" header="0.31496062992126" footer="0.31496062992126"/>
  <pageSetup paperSize="9" firstPageNumber="207" fitToHeight="0" orientation="portrait" useFirstPageNumber="1" r:id="rId1"/>
  <headerFooter>
    <oddFooter>&amp;C&amp;P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opLeftCell="A7" zoomScale="85" zoomScaleNormal="85" workbookViewId="0">
      <selection activeCell="H27" sqref="H27"/>
    </sheetView>
  </sheetViews>
  <sheetFormatPr defaultRowHeight="15"/>
  <cols>
    <col min="1" max="1" width="8.85546875" customWidth="1"/>
    <col min="2" max="2" width="5.28515625" customWidth="1"/>
    <col min="3" max="3" width="2.28515625" bestFit="1" customWidth="1"/>
    <col min="4" max="4" width="29.140625" customWidth="1"/>
  </cols>
  <sheetData>
    <row r="1" spans="1:9" s="82" customFormat="1" ht="18">
      <c r="A1" s="81" t="s">
        <v>127</v>
      </c>
      <c r="B1" s="81">
        <v>408</v>
      </c>
      <c r="C1" s="81"/>
      <c r="D1" s="379" t="s">
        <v>128</v>
      </c>
      <c r="E1" s="380"/>
      <c r="F1" s="380"/>
      <c r="G1" s="380"/>
      <c r="H1" s="380"/>
      <c r="I1" s="381"/>
    </row>
    <row r="2" spans="1:9" ht="88.5" customHeight="1">
      <c r="A2" s="83"/>
      <c r="B2" s="84"/>
      <c r="C2" s="84"/>
      <c r="D2" s="382" t="s">
        <v>129</v>
      </c>
      <c r="E2" s="383"/>
      <c r="F2" s="383"/>
      <c r="G2" s="383"/>
      <c r="H2" s="383"/>
      <c r="I2" s="384"/>
    </row>
    <row r="3" spans="1:9" ht="15.75">
      <c r="A3" s="85"/>
      <c r="B3" s="86"/>
      <c r="C3" s="83" t="s">
        <v>9</v>
      </c>
      <c r="D3" s="376" t="s">
        <v>130</v>
      </c>
      <c r="E3" s="377"/>
      <c r="F3" s="377"/>
      <c r="G3" s="378"/>
      <c r="H3" s="87"/>
      <c r="I3" s="88"/>
    </row>
    <row r="4" spans="1:9">
      <c r="A4" s="83"/>
      <c r="B4" s="84"/>
      <c r="C4" s="84"/>
      <c r="D4" s="385" t="s">
        <v>131</v>
      </c>
      <c r="E4" s="386"/>
      <c r="F4" s="89"/>
      <c r="G4" s="90"/>
      <c r="H4" s="91"/>
      <c r="I4" s="88"/>
    </row>
    <row r="5" spans="1:9">
      <c r="A5" s="83"/>
      <c r="B5" s="84"/>
      <c r="C5" s="84"/>
      <c r="D5" s="387" t="s">
        <v>132</v>
      </c>
      <c r="E5" s="388"/>
      <c r="F5" s="388"/>
      <c r="G5" s="389"/>
      <c r="H5" s="91"/>
      <c r="I5" s="88"/>
    </row>
    <row r="6" spans="1:9">
      <c r="A6" s="83"/>
      <c r="B6" s="84"/>
      <c r="C6" s="84"/>
      <c r="D6" s="376" t="s">
        <v>133</v>
      </c>
      <c r="E6" s="377"/>
      <c r="F6" s="377"/>
      <c r="G6" s="378"/>
      <c r="H6" s="91"/>
      <c r="I6" s="88"/>
    </row>
    <row r="7" spans="1:9">
      <c r="A7" s="83"/>
      <c r="B7" s="84"/>
      <c r="C7" s="84"/>
      <c r="D7" s="390" t="s">
        <v>134</v>
      </c>
      <c r="E7" s="391"/>
      <c r="F7" s="391"/>
      <c r="G7" s="392"/>
      <c r="H7" s="91"/>
      <c r="I7" s="88"/>
    </row>
    <row r="8" spans="1:9">
      <c r="A8" s="83"/>
      <c r="B8" s="84"/>
      <c r="C8" s="84"/>
      <c r="D8" s="390" t="s">
        <v>135</v>
      </c>
      <c r="E8" s="391"/>
      <c r="F8" s="391"/>
      <c r="G8" s="391"/>
      <c r="H8" s="392"/>
      <c r="I8" s="88"/>
    </row>
    <row r="9" spans="1:9" ht="18.75" customHeight="1">
      <c r="A9" s="83"/>
      <c r="B9" s="84"/>
      <c r="C9" s="84"/>
      <c r="D9" s="390" t="s">
        <v>136</v>
      </c>
      <c r="E9" s="391"/>
      <c r="F9" s="391"/>
      <c r="G9" s="392"/>
      <c r="H9" s="87"/>
      <c r="I9" s="88"/>
    </row>
    <row r="10" spans="1:9">
      <c r="A10" s="83"/>
      <c r="B10" s="84"/>
      <c r="C10" s="84"/>
      <c r="D10" s="92" t="s">
        <v>137</v>
      </c>
      <c r="E10" s="93"/>
      <c r="F10" s="94"/>
      <c r="G10" s="95"/>
      <c r="H10" s="87"/>
      <c r="I10" s="88"/>
    </row>
    <row r="11" spans="1:9">
      <c r="A11" s="83"/>
      <c r="B11" s="84"/>
      <c r="C11" s="84"/>
      <c r="D11" s="96" t="s">
        <v>138</v>
      </c>
      <c r="E11" s="97" t="s">
        <v>139</v>
      </c>
      <c r="F11" s="98">
        <v>0.72</v>
      </c>
      <c r="G11" s="95">
        <v>185.07</v>
      </c>
      <c r="H11" s="99">
        <v>133.25039999999998</v>
      </c>
      <c r="I11" s="88" t="s">
        <v>140</v>
      </c>
    </row>
    <row r="12" spans="1:9">
      <c r="A12" s="83"/>
      <c r="B12" s="84"/>
      <c r="C12" s="84"/>
      <c r="D12" s="96" t="s">
        <v>141</v>
      </c>
      <c r="E12" s="97" t="s">
        <v>139</v>
      </c>
      <c r="F12" s="98">
        <v>2</v>
      </c>
      <c r="G12" s="95">
        <v>234.29</v>
      </c>
      <c r="H12" s="99">
        <v>468.58</v>
      </c>
      <c r="I12" s="88" t="s">
        <v>142</v>
      </c>
    </row>
    <row r="13" spans="1:9">
      <c r="A13" s="83"/>
      <c r="B13" s="84"/>
      <c r="C13" s="84"/>
      <c r="D13" s="96" t="s">
        <v>143</v>
      </c>
      <c r="E13" s="97" t="s">
        <v>139</v>
      </c>
      <c r="F13" s="98">
        <v>16</v>
      </c>
      <c r="G13" s="95">
        <v>177.07</v>
      </c>
      <c r="H13" s="99">
        <v>2833.12</v>
      </c>
      <c r="I13" s="88" t="s">
        <v>144</v>
      </c>
    </row>
    <row r="14" spans="1:9">
      <c r="A14" s="83"/>
      <c r="B14" s="84"/>
      <c r="C14" s="84"/>
      <c r="D14" s="376" t="s">
        <v>145</v>
      </c>
      <c r="E14" s="378"/>
      <c r="F14" s="94"/>
      <c r="G14" s="95"/>
      <c r="H14" s="87"/>
      <c r="I14" s="88"/>
    </row>
    <row r="15" spans="1:9" ht="25.5">
      <c r="A15" s="83"/>
      <c r="B15" s="84"/>
      <c r="C15" s="84"/>
      <c r="D15" s="96" t="s">
        <v>146</v>
      </c>
      <c r="E15" s="97" t="s">
        <v>147</v>
      </c>
      <c r="F15" s="98">
        <v>6</v>
      </c>
      <c r="G15" s="95">
        <v>279.72000000000003</v>
      </c>
      <c r="H15" s="99">
        <v>1678.3200000000002</v>
      </c>
      <c r="I15" s="88" t="s">
        <v>148</v>
      </c>
    </row>
    <row r="16" spans="1:9">
      <c r="A16" s="83"/>
      <c r="B16" s="83"/>
      <c r="C16" s="83"/>
      <c r="D16" s="96" t="s">
        <v>149</v>
      </c>
      <c r="E16" s="97" t="s">
        <v>147</v>
      </c>
      <c r="F16" s="98">
        <v>16</v>
      </c>
      <c r="G16" s="95">
        <v>211.68</v>
      </c>
      <c r="H16" s="99">
        <v>3386.88</v>
      </c>
      <c r="I16" s="88" t="s">
        <v>150</v>
      </c>
    </row>
    <row r="17" spans="1:9">
      <c r="A17" s="83"/>
      <c r="B17" s="84"/>
      <c r="C17" s="84"/>
      <c r="D17" s="96" t="s">
        <v>151</v>
      </c>
      <c r="E17" s="97" t="s">
        <v>147</v>
      </c>
      <c r="F17" s="98">
        <v>6</v>
      </c>
      <c r="G17" s="95">
        <v>111.24000000000001</v>
      </c>
      <c r="H17" s="99">
        <v>667.44</v>
      </c>
      <c r="I17" s="88" t="s">
        <v>152</v>
      </c>
    </row>
    <row r="18" spans="1:9">
      <c r="A18" s="83"/>
      <c r="B18" s="84"/>
      <c r="C18" s="84"/>
      <c r="D18" s="376" t="s">
        <v>153</v>
      </c>
      <c r="E18" s="377"/>
      <c r="F18" s="378"/>
      <c r="G18" s="95"/>
      <c r="H18" s="87"/>
      <c r="I18" s="88"/>
    </row>
    <row r="19" spans="1:9" ht="25.5">
      <c r="A19" s="83"/>
      <c r="B19" s="84"/>
      <c r="C19" s="84"/>
      <c r="D19" s="96" t="s">
        <v>154</v>
      </c>
      <c r="E19" s="97" t="s">
        <v>120</v>
      </c>
      <c r="F19" s="98">
        <v>36.590000000000003</v>
      </c>
      <c r="G19" s="95">
        <v>862.50200000000007</v>
      </c>
      <c r="H19" s="99">
        <v>31558.948180000007</v>
      </c>
      <c r="I19" s="88" t="s">
        <v>155</v>
      </c>
    </row>
    <row r="20" spans="1:9">
      <c r="A20" s="83"/>
      <c r="B20" s="84"/>
      <c r="C20" s="84"/>
      <c r="D20" s="96" t="s">
        <v>156</v>
      </c>
      <c r="E20" s="97" t="s">
        <v>120</v>
      </c>
      <c r="F20" s="98">
        <v>18.3</v>
      </c>
      <c r="G20" s="95">
        <v>203.7543859649123</v>
      </c>
      <c r="H20" s="99">
        <v>3728.7052631578954</v>
      </c>
      <c r="I20" s="88" t="s">
        <v>157</v>
      </c>
    </row>
    <row r="21" spans="1:9">
      <c r="A21" s="83"/>
      <c r="B21" s="84"/>
      <c r="C21" s="84"/>
      <c r="D21" s="96" t="s">
        <v>158</v>
      </c>
      <c r="E21" s="97" t="s">
        <v>159</v>
      </c>
      <c r="F21" s="98">
        <v>9.01</v>
      </c>
      <c r="G21" s="95">
        <v>5789.4736842105267</v>
      </c>
      <c r="H21" s="99">
        <v>52163.157894736847</v>
      </c>
      <c r="I21" s="88" t="s">
        <v>160</v>
      </c>
    </row>
    <row r="22" spans="1:9">
      <c r="A22" s="83"/>
      <c r="B22" s="84"/>
      <c r="C22" s="84"/>
      <c r="D22" s="96" t="s">
        <v>161</v>
      </c>
      <c r="E22" s="97" t="s">
        <v>162</v>
      </c>
      <c r="F22" s="98">
        <v>36</v>
      </c>
      <c r="G22" s="95">
        <v>167.06822233904759</v>
      </c>
      <c r="H22" s="99">
        <v>6014.4560042057137</v>
      </c>
      <c r="I22" s="88" t="s">
        <v>163</v>
      </c>
    </row>
    <row r="23" spans="1:9" ht="25.5">
      <c r="A23" s="83"/>
      <c r="B23" s="84"/>
      <c r="C23" s="84"/>
      <c r="D23" s="100" t="s">
        <v>164</v>
      </c>
      <c r="E23" s="93"/>
      <c r="F23" s="94"/>
      <c r="G23" s="95"/>
      <c r="H23" s="87">
        <v>10263.285774210046</v>
      </c>
      <c r="I23" s="88"/>
    </row>
    <row r="24" spans="1:9" ht="25.5">
      <c r="A24" s="83"/>
      <c r="B24" s="84"/>
      <c r="C24" s="84"/>
      <c r="D24" s="100" t="s">
        <v>165</v>
      </c>
      <c r="E24" s="93"/>
      <c r="F24" s="94"/>
      <c r="G24" s="95"/>
      <c r="H24" s="87">
        <v>11289.614351631051</v>
      </c>
      <c r="I24" s="88"/>
    </row>
    <row r="25" spans="1:9">
      <c r="A25" s="83"/>
      <c r="B25" s="84"/>
      <c r="C25" s="84"/>
      <c r="D25" s="101" t="s">
        <v>166</v>
      </c>
      <c r="E25" s="93"/>
      <c r="F25" s="94"/>
      <c r="G25" s="95"/>
      <c r="H25" s="87">
        <v>124185.75786794156</v>
      </c>
      <c r="I25" s="88"/>
    </row>
    <row r="26" spans="1:9">
      <c r="A26" s="83"/>
      <c r="B26" s="84"/>
      <c r="C26" s="84"/>
      <c r="D26" s="92" t="s">
        <v>167</v>
      </c>
      <c r="E26" s="93"/>
      <c r="F26" s="94"/>
      <c r="G26" s="95"/>
      <c r="H26" s="87">
        <v>413.95252622647189</v>
      </c>
      <c r="I26" s="88"/>
    </row>
    <row r="27" spans="1:9" s="110" customFormat="1" ht="33" customHeight="1">
      <c r="A27" s="102"/>
      <c r="B27" s="103"/>
      <c r="C27" s="103"/>
      <c r="D27" s="104"/>
      <c r="E27" s="105"/>
      <c r="F27" s="106"/>
      <c r="G27" s="107" t="s">
        <v>168</v>
      </c>
      <c r="H27" s="108">
        <v>414</v>
      </c>
      <c r="I27" s="109"/>
    </row>
  </sheetData>
  <mergeCells count="11">
    <mergeCell ref="D7:G7"/>
    <mergeCell ref="D8:H8"/>
    <mergeCell ref="D9:G9"/>
    <mergeCell ref="D14:E14"/>
    <mergeCell ref="D18:F18"/>
    <mergeCell ref="D6:G6"/>
    <mergeCell ref="D1:I1"/>
    <mergeCell ref="D2:I2"/>
    <mergeCell ref="D3:G3"/>
    <mergeCell ref="D4:E4"/>
    <mergeCell ref="D5:G5"/>
  </mergeCells>
  <pageMargins left="0.6" right="0.25"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view="pageLayout" topLeftCell="A40" zoomScaleNormal="100" workbookViewId="0">
      <selection activeCell="J23" sqref="J23"/>
    </sheetView>
  </sheetViews>
  <sheetFormatPr defaultRowHeight="15"/>
  <cols>
    <col min="1" max="1" width="5.28515625" customWidth="1"/>
    <col min="2" max="2" width="32.140625" customWidth="1"/>
    <col min="3" max="3" width="5.42578125" bestFit="1" customWidth="1"/>
    <col min="4" max="4" width="4.140625" hidden="1" customWidth="1"/>
    <col min="5" max="6" width="5" hidden="1" customWidth="1"/>
    <col min="7" max="7" width="7" hidden="1" customWidth="1"/>
    <col min="8" max="8" width="9" customWidth="1"/>
    <col min="10" max="10" width="12" bestFit="1" customWidth="1"/>
    <col min="11" max="11" width="14.28515625" customWidth="1"/>
  </cols>
  <sheetData>
    <row r="1" spans="1:14" s="160" customFormat="1" ht="17.25">
      <c r="I1" s="375" t="s">
        <v>185</v>
      </c>
      <c r="J1" s="375"/>
      <c r="K1" s="375"/>
    </row>
    <row r="2" spans="1:14" ht="41.25" customHeight="1">
      <c r="A2" s="393" t="s">
        <v>169</v>
      </c>
      <c r="B2" s="394"/>
      <c r="C2" s="394"/>
      <c r="D2" s="394"/>
      <c r="E2" s="394"/>
      <c r="F2" s="394"/>
      <c r="G2" s="394"/>
      <c r="H2" s="394"/>
      <c r="I2" s="394"/>
      <c r="J2" s="394"/>
      <c r="K2" s="395"/>
    </row>
    <row r="3" spans="1:14" s="114" customFormat="1" ht="32.25" customHeight="1">
      <c r="A3" s="111"/>
      <c r="B3" s="112" t="s">
        <v>100</v>
      </c>
      <c r="C3" s="112" t="s">
        <v>4</v>
      </c>
      <c r="D3" s="112" t="s">
        <v>78</v>
      </c>
      <c r="E3" s="112" t="s">
        <v>106</v>
      </c>
      <c r="F3" s="112" t="s">
        <v>42</v>
      </c>
      <c r="G3" s="112" t="s">
        <v>107</v>
      </c>
      <c r="H3" s="111" t="s">
        <v>103</v>
      </c>
      <c r="I3" s="112" t="s">
        <v>6</v>
      </c>
      <c r="J3" s="112" t="s">
        <v>104</v>
      </c>
      <c r="K3" s="113" t="s">
        <v>187</v>
      </c>
    </row>
    <row r="4" spans="1:14" ht="15.75">
      <c r="A4" s="197"/>
      <c r="B4" s="115" t="s">
        <v>363</v>
      </c>
      <c r="C4" s="196"/>
      <c r="D4" s="196"/>
      <c r="E4" s="196"/>
      <c r="F4" s="196"/>
      <c r="G4" s="196"/>
      <c r="H4" s="196"/>
      <c r="I4" s="196"/>
      <c r="J4" s="196"/>
      <c r="K4" s="116"/>
    </row>
    <row r="5" spans="1:14">
      <c r="A5" s="197">
        <v>1</v>
      </c>
      <c r="B5" s="196" t="s">
        <v>112</v>
      </c>
      <c r="C5" s="196" t="s">
        <v>109</v>
      </c>
      <c r="D5" s="196">
        <v>1</v>
      </c>
      <c r="E5" s="196">
        <v>1000</v>
      </c>
      <c r="F5" s="196">
        <v>3.6</v>
      </c>
      <c r="G5" s="196">
        <v>1.18</v>
      </c>
      <c r="H5" s="196">
        <f>+D5*E5*F5*G5</f>
        <v>4248</v>
      </c>
      <c r="I5" s="196">
        <v>130</v>
      </c>
      <c r="J5" s="196">
        <f>+H5*I5</f>
        <v>552240</v>
      </c>
      <c r="K5" s="196">
        <v>3.3</v>
      </c>
    </row>
    <row r="6" spans="1:14">
      <c r="A6" s="197">
        <v>2</v>
      </c>
      <c r="B6" s="196" t="s">
        <v>113</v>
      </c>
      <c r="C6" s="196" t="s">
        <v>109</v>
      </c>
      <c r="D6" s="196">
        <v>1</v>
      </c>
      <c r="E6" s="196">
        <v>1000</v>
      </c>
      <c r="F6" s="196">
        <v>3.6</v>
      </c>
      <c r="G6" s="196">
        <v>0.5</v>
      </c>
      <c r="H6" s="196">
        <f t="shared" ref="H6:H8" si="0">+D6*E6*F6*G6</f>
        <v>1800</v>
      </c>
      <c r="I6" s="196">
        <v>444</v>
      </c>
      <c r="J6" s="196">
        <f t="shared" ref="J6:J13" si="1">+H6*I6</f>
        <v>799200</v>
      </c>
      <c r="K6" s="306" t="s">
        <v>213</v>
      </c>
    </row>
    <row r="7" spans="1:14">
      <c r="A7" s="197">
        <v>3</v>
      </c>
      <c r="B7" s="196" t="s">
        <v>114</v>
      </c>
      <c r="C7" s="196" t="s">
        <v>109</v>
      </c>
      <c r="D7" s="196">
        <v>1</v>
      </c>
      <c r="E7" s="196">
        <v>1000</v>
      </c>
      <c r="F7" s="196">
        <v>3.6</v>
      </c>
      <c r="G7" s="196">
        <v>0.23</v>
      </c>
      <c r="H7" s="196">
        <f t="shared" si="0"/>
        <v>828</v>
      </c>
      <c r="I7" s="196">
        <v>1422</v>
      </c>
      <c r="J7" s="196">
        <f t="shared" si="1"/>
        <v>1177416</v>
      </c>
      <c r="K7" s="306" t="s">
        <v>214</v>
      </c>
    </row>
    <row r="8" spans="1:14">
      <c r="A8" s="197">
        <v>4</v>
      </c>
      <c r="B8" s="196" t="s">
        <v>115</v>
      </c>
      <c r="C8" s="196" t="s">
        <v>109</v>
      </c>
      <c r="D8" s="196">
        <v>1</v>
      </c>
      <c r="E8" s="196">
        <v>1000</v>
      </c>
      <c r="F8" s="196">
        <v>3.6</v>
      </c>
      <c r="G8" s="196">
        <v>0.25</v>
      </c>
      <c r="H8" s="196">
        <f t="shared" si="0"/>
        <v>900</v>
      </c>
      <c r="I8" s="196">
        <v>1382</v>
      </c>
      <c r="J8" s="196">
        <f t="shared" si="1"/>
        <v>1243800</v>
      </c>
      <c r="K8" s="196">
        <v>4.12</v>
      </c>
    </row>
    <row r="9" spans="1:14">
      <c r="A9" s="197">
        <v>5</v>
      </c>
      <c r="B9" s="196" t="s">
        <v>170</v>
      </c>
      <c r="C9" s="196" t="s">
        <v>171</v>
      </c>
      <c r="D9" s="196">
        <v>1</v>
      </c>
      <c r="E9" s="196">
        <v>1000</v>
      </c>
      <c r="F9" s="196">
        <v>3.6</v>
      </c>
      <c r="G9" s="196"/>
      <c r="H9" s="196">
        <f>+D9*E9*F9</f>
        <v>3600</v>
      </c>
      <c r="I9" s="196">
        <v>29</v>
      </c>
      <c r="J9" s="196">
        <f t="shared" si="1"/>
        <v>104400</v>
      </c>
      <c r="K9" s="196">
        <v>5.0999999999999996</v>
      </c>
    </row>
    <row r="10" spans="1:14">
      <c r="A10" s="197">
        <v>6</v>
      </c>
      <c r="B10" s="196" t="s">
        <v>172</v>
      </c>
      <c r="C10" s="196" t="s">
        <v>171</v>
      </c>
      <c r="D10" s="196">
        <v>2</v>
      </c>
      <c r="E10" s="196">
        <v>1000</v>
      </c>
      <c r="F10" s="196">
        <v>3.6</v>
      </c>
      <c r="G10" s="196"/>
      <c r="H10" s="196">
        <f>+D10*E10*F10</f>
        <v>7200</v>
      </c>
      <c r="I10" s="196">
        <v>10</v>
      </c>
      <c r="J10" s="196">
        <f t="shared" si="1"/>
        <v>72000</v>
      </c>
      <c r="K10" s="196">
        <v>5.2</v>
      </c>
      <c r="N10" s="117"/>
    </row>
    <row r="11" spans="1:14">
      <c r="A11" s="197">
        <v>7</v>
      </c>
      <c r="B11" s="196" t="s">
        <v>173</v>
      </c>
      <c r="C11" s="196" t="s">
        <v>109</v>
      </c>
      <c r="D11" s="196">
        <v>1</v>
      </c>
      <c r="E11" s="196">
        <v>1000</v>
      </c>
      <c r="F11" s="196">
        <v>3.6</v>
      </c>
      <c r="G11" s="78">
        <v>0.13</v>
      </c>
      <c r="H11" s="196">
        <f t="shared" ref="H11:H12" si="2">+D11*E11*F11*G11</f>
        <v>468</v>
      </c>
      <c r="I11" s="196">
        <v>6796</v>
      </c>
      <c r="J11" s="196">
        <f t="shared" si="1"/>
        <v>3180528</v>
      </c>
      <c r="K11" s="306" t="s">
        <v>174</v>
      </c>
    </row>
    <row r="12" spans="1:14">
      <c r="A12" s="197">
        <v>8</v>
      </c>
      <c r="B12" s="196" t="s">
        <v>175</v>
      </c>
      <c r="C12" s="196" t="s">
        <v>109</v>
      </c>
      <c r="D12" s="196">
        <v>1</v>
      </c>
      <c r="E12" s="196">
        <v>1000</v>
      </c>
      <c r="F12" s="196">
        <v>3.6</v>
      </c>
      <c r="G12" s="196">
        <v>0.05</v>
      </c>
      <c r="H12" s="196">
        <f t="shared" si="2"/>
        <v>180</v>
      </c>
      <c r="I12" s="196">
        <v>7571</v>
      </c>
      <c r="J12" s="196">
        <f t="shared" si="1"/>
        <v>1362780</v>
      </c>
      <c r="K12" s="306" t="s">
        <v>176</v>
      </c>
    </row>
    <row r="13" spans="1:14" s="114" customFormat="1" ht="51.75" customHeight="1">
      <c r="A13" s="314">
        <v>9</v>
      </c>
      <c r="B13" s="154" t="s">
        <v>177</v>
      </c>
      <c r="C13" s="154" t="s">
        <v>171</v>
      </c>
      <c r="D13" s="154">
        <v>1</v>
      </c>
      <c r="E13" s="154">
        <v>1000</v>
      </c>
      <c r="F13" s="154">
        <v>3.6</v>
      </c>
      <c r="G13" s="154"/>
      <c r="H13" s="154">
        <f>+D13*E13*F13</f>
        <v>3600</v>
      </c>
      <c r="I13" s="315">
        <v>491.75</v>
      </c>
      <c r="J13" s="315">
        <f t="shared" si="1"/>
        <v>1770300</v>
      </c>
      <c r="K13" s="316" t="s">
        <v>371</v>
      </c>
    </row>
    <row r="14" spans="1:14">
      <c r="A14" s="197">
        <v>10</v>
      </c>
      <c r="B14" s="196" t="s">
        <v>119</v>
      </c>
      <c r="C14" s="196" t="s">
        <v>120</v>
      </c>
      <c r="D14" s="196"/>
      <c r="E14" s="196"/>
      <c r="F14" s="196"/>
      <c r="G14" s="196"/>
      <c r="H14" s="196">
        <f>+H5*85%</f>
        <v>3610.7999999999997</v>
      </c>
      <c r="I14" s="196">
        <v>215.77</v>
      </c>
      <c r="J14" s="78">
        <f>+H14*I14</f>
        <v>779102.31599999999</v>
      </c>
      <c r="K14" s="196">
        <v>1.2</v>
      </c>
    </row>
    <row r="15" spans="1:14">
      <c r="A15" s="197"/>
      <c r="B15" s="196" t="s">
        <v>178</v>
      </c>
      <c r="C15" s="196"/>
      <c r="D15" s="196"/>
      <c r="E15" s="196"/>
      <c r="F15" s="196"/>
      <c r="G15" s="196"/>
      <c r="H15" s="196"/>
      <c r="I15" s="196"/>
      <c r="J15" s="196">
        <f>SUM(J5:J14)</f>
        <v>11041766.316</v>
      </c>
      <c r="K15" s="196"/>
    </row>
    <row r="16" spans="1:14">
      <c r="A16" s="197"/>
      <c r="B16" s="306" t="s">
        <v>124</v>
      </c>
      <c r="C16" s="196"/>
      <c r="D16" s="196"/>
      <c r="E16" s="196"/>
      <c r="F16" s="196"/>
      <c r="G16" s="196"/>
      <c r="H16" s="196"/>
      <c r="I16" s="196"/>
      <c r="J16" s="78">
        <f>+J15/3600</f>
        <v>3067.1573100000001</v>
      </c>
      <c r="K16" s="196"/>
    </row>
    <row r="17" spans="1:11" ht="15.75">
      <c r="A17" s="119"/>
      <c r="B17" s="76"/>
      <c r="C17" s="76"/>
      <c r="D17" s="76"/>
      <c r="E17" s="76"/>
      <c r="F17" s="76"/>
      <c r="G17" s="76"/>
      <c r="H17" s="76"/>
      <c r="I17" s="120" t="s">
        <v>179</v>
      </c>
      <c r="J17" s="121">
        <v>3100</v>
      </c>
      <c r="K17" s="121" t="s">
        <v>180</v>
      </c>
    </row>
  </sheetData>
  <mergeCells count="2">
    <mergeCell ref="A2:K2"/>
    <mergeCell ref="I1:K1"/>
  </mergeCells>
  <pageMargins left="0.70866141732283505" right="0.70866141732283505" top="0.74803149606299202" bottom="0.74803149606299202" header="0.31496062992126" footer="0.31496062992126"/>
  <pageSetup paperSize="9" firstPageNumber="208" orientation="portrait" useFirstPageNumber="1" r:id="rId1"/>
  <headerFooter>
    <oddFooter>&amp;C&amp;P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6"/>
  <sheetViews>
    <sheetView view="pageLayout" topLeftCell="B85" zoomScaleNormal="115" workbookViewId="0">
      <selection activeCell="O8" sqref="O8"/>
    </sheetView>
  </sheetViews>
  <sheetFormatPr defaultRowHeight="15.75"/>
  <cols>
    <col min="1" max="1" width="4.140625" style="187" hidden="1" customWidth="1"/>
    <col min="2" max="2" width="10.28515625" style="187" customWidth="1"/>
    <col min="3" max="3" width="28" style="187" customWidth="1"/>
    <col min="4" max="4" width="5.5703125" style="187" bestFit="1" customWidth="1"/>
    <col min="5" max="5" width="4.7109375" style="187" bestFit="1" customWidth="1"/>
    <col min="6" max="6" width="7.28515625" style="187" bestFit="1" customWidth="1"/>
    <col min="7" max="7" width="6.42578125" style="187" bestFit="1" customWidth="1"/>
    <col min="8" max="8" width="7.5703125" style="187" bestFit="1" customWidth="1"/>
    <col min="9" max="9" width="10.42578125" style="187" bestFit="1" customWidth="1"/>
    <col min="10" max="10" width="10.42578125" style="187" customWidth="1"/>
    <col min="11" max="11" width="12.5703125" style="240" bestFit="1" customWidth="1"/>
    <col min="12" max="16384" width="9.140625" style="187"/>
  </cols>
  <sheetData>
    <row r="1" spans="1:17">
      <c r="A1" s="198"/>
      <c r="B1" s="198"/>
      <c r="C1" s="198"/>
      <c r="D1" s="198"/>
      <c r="E1" s="198"/>
      <c r="F1" s="198"/>
      <c r="G1" s="198"/>
      <c r="H1" s="198"/>
      <c r="I1" s="198"/>
      <c r="J1" s="198"/>
      <c r="K1" s="307" t="s">
        <v>357</v>
      </c>
      <c r="L1" s="308"/>
      <c r="M1" s="308"/>
      <c r="N1" s="308"/>
      <c r="O1" s="308"/>
      <c r="P1" s="308"/>
      <c r="Q1" s="308"/>
    </row>
    <row r="2" spans="1:17" ht="18.75" customHeight="1">
      <c r="A2" s="396" t="s">
        <v>227</v>
      </c>
      <c r="B2" s="396"/>
      <c r="C2" s="396"/>
      <c r="D2" s="396"/>
      <c r="E2" s="396"/>
      <c r="F2" s="396"/>
      <c r="G2" s="396"/>
      <c r="H2" s="396"/>
      <c r="I2" s="396"/>
      <c r="J2" s="396"/>
      <c r="K2" s="396"/>
      <c r="L2" s="186"/>
      <c r="M2" s="186"/>
    </row>
    <row r="3" spans="1:17" ht="28.5">
      <c r="A3" s="198"/>
      <c r="B3" s="198"/>
      <c r="C3" s="199" t="s">
        <v>228</v>
      </c>
      <c r="D3" s="199">
        <v>100</v>
      </c>
      <c r="E3" s="199" t="s">
        <v>229</v>
      </c>
      <c r="F3" s="198"/>
      <c r="G3" s="198"/>
      <c r="H3" s="198"/>
      <c r="I3" s="198"/>
      <c r="J3" s="198"/>
      <c r="K3" s="238"/>
    </row>
    <row r="4" spans="1:17" ht="28.5">
      <c r="A4" s="198"/>
      <c r="B4" s="198"/>
      <c r="C4" s="199" t="s">
        <v>230</v>
      </c>
      <c r="D4" s="200">
        <v>34</v>
      </c>
      <c r="E4" s="199" t="s">
        <v>101</v>
      </c>
      <c r="F4" s="198"/>
      <c r="G4" s="198"/>
      <c r="H4" s="198"/>
      <c r="I4" s="198"/>
      <c r="J4" s="198"/>
      <c r="K4" s="238"/>
    </row>
    <row r="5" spans="1:17" ht="16.5" thickBot="1">
      <c r="A5" s="198"/>
      <c r="B5" s="198"/>
      <c r="C5" s="397" t="s">
        <v>231</v>
      </c>
      <c r="D5" s="397"/>
      <c r="E5" s="397"/>
      <c r="F5" s="397"/>
      <c r="G5" s="397"/>
      <c r="H5" s="397"/>
      <c r="I5" s="198"/>
      <c r="J5" s="198"/>
      <c r="K5" s="238"/>
    </row>
    <row r="6" spans="1:17" ht="29.25" thickBot="1">
      <c r="A6" s="201" t="s">
        <v>232</v>
      </c>
      <c r="B6" s="202" t="s">
        <v>233</v>
      </c>
      <c r="C6" s="202" t="s">
        <v>234</v>
      </c>
      <c r="D6" s="202" t="s">
        <v>4</v>
      </c>
      <c r="E6" s="202" t="s">
        <v>235</v>
      </c>
      <c r="F6" s="202" t="s">
        <v>106</v>
      </c>
      <c r="G6" s="202" t="s">
        <v>42</v>
      </c>
      <c r="H6" s="202" t="s">
        <v>107</v>
      </c>
      <c r="I6" s="203" t="s">
        <v>220</v>
      </c>
      <c r="J6" s="203" t="s">
        <v>6</v>
      </c>
      <c r="K6" s="204" t="s">
        <v>104</v>
      </c>
    </row>
    <row r="7" spans="1:17">
      <c r="A7" s="205">
        <v>1</v>
      </c>
      <c r="B7" s="206" t="s">
        <v>236</v>
      </c>
      <c r="C7" s="207" t="s">
        <v>237</v>
      </c>
      <c r="D7" s="339"/>
      <c r="E7" s="339"/>
      <c r="F7" s="339"/>
      <c r="G7" s="339"/>
      <c r="H7" s="339"/>
      <c r="I7" s="339"/>
      <c r="J7" s="339"/>
      <c r="K7" s="341"/>
    </row>
    <row r="8" spans="1:17">
      <c r="A8" s="329"/>
      <c r="B8" s="173"/>
      <c r="C8" s="340" t="s">
        <v>376</v>
      </c>
      <c r="D8" s="330" t="s">
        <v>374</v>
      </c>
      <c r="E8" s="331">
        <v>34</v>
      </c>
      <c r="F8" s="330">
        <v>1.5</v>
      </c>
      <c r="G8" s="330">
        <v>1.5</v>
      </c>
      <c r="H8" s="330">
        <v>1.5</v>
      </c>
      <c r="I8" s="332">
        <f>E8*F8*G8*H8</f>
        <v>114.75</v>
      </c>
      <c r="J8" s="333">
        <v>102.1</v>
      </c>
      <c r="K8" s="334">
        <f>I8*J8</f>
        <v>11715.974999999999</v>
      </c>
    </row>
    <row r="9" spans="1:17">
      <c r="A9" s="329"/>
      <c r="B9" s="173"/>
      <c r="C9" s="340" t="s">
        <v>377</v>
      </c>
      <c r="D9" s="330" t="s">
        <v>374</v>
      </c>
      <c r="E9" s="331">
        <v>4</v>
      </c>
      <c r="F9" s="330">
        <v>1.8</v>
      </c>
      <c r="G9" s="330">
        <v>1.8</v>
      </c>
      <c r="H9" s="330">
        <v>1.5</v>
      </c>
      <c r="I9" s="332">
        <f t="shared" ref="I9:I10" si="0">E9*F9*G9*H9</f>
        <v>19.440000000000001</v>
      </c>
      <c r="J9" s="333">
        <v>102.1</v>
      </c>
      <c r="K9" s="334">
        <f t="shared" ref="K9:K10" si="1">I9*J9</f>
        <v>1984.8240000000001</v>
      </c>
    </row>
    <row r="10" spans="1:17" ht="31.5">
      <c r="A10" s="208"/>
      <c r="B10" s="173"/>
      <c r="C10" s="340" t="s">
        <v>375</v>
      </c>
      <c r="D10" s="330" t="s">
        <v>374</v>
      </c>
      <c r="E10" s="330">
        <v>1</v>
      </c>
      <c r="F10" s="330">
        <v>100</v>
      </c>
      <c r="G10" s="330">
        <v>0.43</v>
      </c>
      <c r="H10" s="330">
        <v>0.6</v>
      </c>
      <c r="I10" s="332">
        <f t="shared" si="0"/>
        <v>25.8</v>
      </c>
      <c r="J10" s="333">
        <v>102.1</v>
      </c>
      <c r="K10" s="334">
        <f t="shared" si="1"/>
        <v>2634.18</v>
      </c>
    </row>
    <row r="11" spans="1:17">
      <c r="A11" s="208"/>
      <c r="B11" s="173"/>
      <c r="C11" s="209"/>
      <c r="D11" s="330"/>
      <c r="E11" s="330"/>
      <c r="F11" s="330"/>
      <c r="G11" s="330"/>
      <c r="H11" s="330"/>
      <c r="I11" s="332"/>
      <c r="J11" s="333"/>
      <c r="K11" s="334"/>
    </row>
    <row r="12" spans="1:17">
      <c r="A12" s="208">
        <v>2</v>
      </c>
      <c r="B12" s="173" t="s">
        <v>238</v>
      </c>
      <c r="C12" s="209" t="s">
        <v>239</v>
      </c>
      <c r="D12" s="335" t="s">
        <v>120</v>
      </c>
      <c r="E12" s="335">
        <v>34</v>
      </c>
      <c r="F12" s="335">
        <v>1.4</v>
      </c>
      <c r="G12" s="335">
        <v>1.4</v>
      </c>
      <c r="H12" s="335">
        <v>0.1</v>
      </c>
      <c r="I12" s="336">
        <f>E12*F12*G12*H12</f>
        <v>6.6639999999999988</v>
      </c>
      <c r="J12" s="211"/>
      <c r="K12" s="213"/>
    </row>
    <row r="13" spans="1:17">
      <c r="A13" s="208"/>
      <c r="B13" s="173"/>
      <c r="C13" s="209" t="s">
        <v>240</v>
      </c>
      <c r="D13" s="335" t="s">
        <v>120</v>
      </c>
      <c r="E13" s="337">
        <v>4</v>
      </c>
      <c r="F13" s="335">
        <v>1.7</v>
      </c>
      <c r="G13" s="335">
        <v>1.7</v>
      </c>
      <c r="H13" s="335">
        <v>0.1</v>
      </c>
      <c r="I13" s="336">
        <f>E13*F13*G13*H13</f>
        <v>1.1559999999999999</v>
      </c>
      <c r="J13" s="211"/>
      <c r="K13" s="213"/>
    </row>
    <row r="14" spans="1:17">
      <c r="A14" s="208"/>
      <c r="B14" s="173"/>
      <c r="C14" s="209" t="s">
        <v>241</v>
      </c>
      <c r="D14" s="335" t="s">
        <v>120</v>
      </c>
      <c r="E14" s="337">
        <v>1</v>
      </c>
      <c r="F14" s="335">
        <v>100</v>
      </c>
      <c r="G14" s="335">
        <v>0.63</v>
      </c>
      <c r="H14" s="335">
        <v>0.1</v>
      </c>
      <c r="I14" s="336">
        <f>E14*F14*G14*H14</f>
        <v>6.3000000000000007</v>
      </c>
      <c r="J14" s="211"/>
      <c r="K14" s="213"/>
    </row>
    <row r="15" spans="1:17">
      <c r="A15" s="208"/>
      <c r="B15" s="173"/>
      <c r="C15" s="214" t="s">
        <v>121</v>
      </c>
      <c r="D15" s="210"/>
      <c r="E15" s="210"/>
      <c r="F15" s="210"/>
      <c r="G15" s="210"/>
      <c r="H15" s="210"/>
      <c r="I15" s="211">
        <f>SUM(I12:I14)</f>
        <v>14.12</v>
      </c>
      <c r="J15" s="211">
        <v>5913.66</v>
      </c>
      <c r="K15" s="213">
        <f>I15*J15</f>
        <v>83500.879199999996</v>
      </c>
    </row>
    <row r="16" spans="1:17">
      <c r="A16" s="208"/>
      <c r="B16" s="173"/>
      <c r="C16" s="214"/>
      <c r="D16" s="210"/>
      <c r="E16" s="210"/>
      <c r="F16" s="210"/>
      <c r="G16" s="210"/>
      <c r="H16" s="210"/>
      <c r="I16" s="211"/>
      <c r="J16" s="211"/>
      <c r="K16" s="213"/>
    </row>
    <row r="17" spans="1:11" ht="30">
      <c r="A17" s="215">
        <v>3</v>
      </c>
      <c r="B17" s="173" t="s">
        <v>242</v>
      </c>
      <c r="C17" s="216" t="s">
        <v>243</v>
      </c>
      <c r="D17" s="210"/>
      <c r="E17" s="210"/>
      <c r="F17" s="210"/>
      <c r="G17" s="210"/>
      <c r="H17" s="210"/>
      <c r="I17" s="211"/>
      <c r="J17" s="217"/>
      <c r="K17" s="218"/>
    </row>
    <row r="18" spans="1:11">
      <c r="A18" s="208"/>
      <c r="B18" s="173" t="s">
        <v>244</v>
      </c>
      <c r="C18" s="216" t="s">
        <v>245</v>
      </c>
      <c r="D18" s="210" t="s">
        <v>120</v>
      </c>
      <c r="E18" s="210">
        <v>1</v>
      </c>
      <c r="F18" s="210">
        <v>100</v>
      </c>
      <c r="G18" s="210">
        <v>0.23</v>
      </c>
      <c r="H18" s="210">
        <v>0.6</v>
      </c>
      <c r="I18" s="211">
        <f t="shared" ref="I18" si="2">E18*F18*G18*H18</f>
        <v>13.799999999999999</v>
      </c>
      <c r="J18" s="219"/>
      <c r="K18" s="213"/>
    </row>
    <row r="19" spans="1:11">
      <c r="A19" s="208"/>
      <c r="B19" s="173"/>
      <c r="C19" s="220" t="s">
        <v>121</v>
      </c>
      <c r="D19" s="210"/>
      <c r="E19" s="210"/>
      <c r="F19" s="210"/>
      <c r="G19" s="210"/>
      <c r="H19" s="210"/>
      <c r="I19" s="211">
        <f>SUM(I18:I18)</f>
        <v>13.799999999999999</v>
      </c>
      <c r="J19" s="219">
        <v>4175</v>
      </c>
      <c r="K19" s="213">
        <f>I19*J19</f>
        <v>57614.999999999993</v>
      </c>
    </row>
    <row r="20" spans="1:11">
      <c r="A20" s="221"/>
      <c r="B20" s="209"/>
      <c r="C20" s="209"/>
      <c r="D20" s="210"/>
      <c r="E20" s="210"/>
      <c r="F20" s="210"/>
      <c r="G20" s="210"/>
      <c r="H20" s="210"/>
      <c r="I20" s="211"/>
      <c r="J20" s="211"/>
      <c r="K20" s="213"/>
    </row>
    <row r="21" spans="1:11" ht="30">
      <c r="A21" s="208">
        <v>4</v>
      </c>
      <c r="B21" s="173" t="s">
        <v>246</v>
      </c>
      <c r="C21" s="210" t="s">
        <v>247</v>
      </c>
      <c r="D21" s="335" t="s">
        <v>109</v>
      </c>
      <c r="E21" s="335">
        <v>34.333333333333336</v>
      </c>
      <c r="F21" s="335">
        <v>1.2</v>
      </c>
      <c r="G21" s="335">
        <v>1.2</v>
      </c>
      <c r="H21" s="336">
        <v>0.3</v>
      </c>
      <c r="I21" s="336">
        <v>14.832000000000001</v>
      </c>
      <c r="J21" s="211"/>
      <c r="K21" s="213"/>
    </row>
    <row r="22" spans="1:11">
      <c r="A22" s="208"/>
      <c r="B22" s="173"/>
      <c r="C22" s="210"/>
      <c r="D22" s="335" t="s">
        <v>109</v>
      </c>
      <c r="E22" s="337">
        <v>4.3333333333333339</v>
      </c>
      <c r="F22" s="335">
        <v>1.5</v>
      </c>
      <c r="G22" s="335">
        <v>1.5</v>
      </c>
      <c r="H22" s="336">
        <v>0.3</v>
      </c>
      <c r="I22" s="336">
        <v>2.9250000000000003</v>
      </c>
      <c r="J22" s="211"/>
      <c r="K22" s="213"/>
    </row>
    <row r="23" spans="1:11">
      <c r="A23" s="208"/>
      <c r="B23" s="173"/>
      <c r="C23" s="210"/>
      <c r="D23" s="335" t="s">
        <v>109</v>
      </c>
      <c r="E23" s="337">
        <v>43</v>
      </c>
      <c r="F23" s="335">
        <v>0.23</v>
      </c>
      <c r="G23" s="335">
        <v>0.23</v>
      </c>
      <c r="H23" s="336">
        <v>3.3000000000000003</v>
      </c>
      <c r="I23" s="336">
        <v>6.750040000000002</v>
      </c>
      <c r="J23" s="211"/>
      <c r="K23" s="213"/>
    </row>
    <row r="24" spans="1:11">
      <c r="A24" s="208"/>
      <c r="B24" s="173"/>
      <c r="C24" s="216"/>
      <c r="D24" s="335" t="s">
        <v>109</v>
      </c>
      <c r="E24" s="337">
        <v>1</v>
      </c>
      <c r="F24" s="335">
        <v>100</v>
      </c>
      <c r="G24" s="335">
        <v>0.23</v>
      </c>
      <c r="H24" s="336">
        <v>0.23</v>
      </c>
      <c r="I24" s="336">
        <v>2.4794229999999997</v>
      </c>
      <c r="J24" s="211"/>
      <c r="K24" s="212"/>
    </row>
    <row r="25" spans="1:11">
      <c r="A25" s="208"/>
      <c r="B25" s="173"/>
      <c r="C25" s="216"/>
      <c r="D25" s="335" t="s">
        <v>109</v>
      </c>
      <c r="E25" s="337">
        <v>1</v>
      </c>
      <c r="F25" s="335">
        <v>100</v>
      </c>
      <c r="G25" s="335">
        <v>0.23</v>
      </c>
      <c r="H25" s="336">
        <v>0.17499999999999999</v>
      </c>
      <c r="I25" s="336">
        <v>1.8865174999999996</v>
      </c>
      <c r="J25" s="211"/>
      <c r="K25" s="212"/>
    </row>
    <row r="26" spans="1:11">
      <c r="A26" s="208"/>
      <c r="B26" s="173"/>
      <c r="C26" s="209"/>
      <c r="D26" s="210"/>
      <c r="E26" s="210"/>
      <c r="F26" s="210"/>
      <c r="G26" s="210"/>
      <c r="H26" s="210"/>
      <c r="I26" s="211">
        <f>SUM(I21:I25)</f>
        <v>28.872980500000004</v>
      </c>
      <c r="J26" s="211">
        <v>7647.84</v>
      </c>
      <c r="K26" s="213">
        <f>I26*J26</f>
        <v>220815.93518712005</v>
      </c>
    </row>
    <row r="27" spans="1:11">
      <c r="A27" s="208"/>
      <c r="B27" s="173"/>
      <c r="C27" s="209"/>
      <c r="D27" s="210"/>
      <c r="E27" s="210"/>
      <c r="F27" s="210"/>
      <c r="G27" s="210"/>
      <c r="H27" s="210"/>
      <c r="I27" s="211"/>
      <c r="J27" s="211"/>
      <c r="K27" s="213"/>
    </row>
    <row r="28" spans="1:11" ht="30">
      <c r="A28" s="208">
        <v>4</v>
      </c>
      <c r="B28" s="173" t="s">
        <v>248</v>
      </c>
      <c r="C28" s="210" t="s">
        <v>249</v>
      </c>
      <c r="D28" s="210" t="s">
        <v>109</v>
      </c>
      <c r="E28" s="210">
        <v>1</v>
      </c>
      <c r="F28" s="210">
        <v>100</v>
      </c>
      <c r="G28" s="210">
        <v>0.23</v>
      </c>
      <c r="H28" s="211">
        <v>0.23</v>
      </c>
      <c r="I28" s="211">
        <f>E28*F28*G28*H28</f>
        <v>5.29</v>
      </c>
      <c r="J28" s="211">
        <v>8065.4530000000004</v>
      </c>
      <c r="K28" s="213">
        <f>I28*J28</f>
        <v>42666.246370000001</v>
      </c>
    </row>
    <row r="29" spans="1:11">
      <c r="A29" s="208"/>
      <c r="B29" s="173"/>
      <c r="C29" s="214"/>
      <c r="D29" s="210"/>
      <c r="E29" s="210"/>
      <c r="F29" s="210"/>
      <c r="G29" s="210"/>
      <c r="H29" s="211"/>
      <c r="I29" s="211"/>
      <c r="J29" s="211"/>
      <c r="K29" s="213"/>
    </row>
    <row r="30" spans="1:11">
      <c r="A30" s="208">
        <v>5</v>
      </c>
      <c r="B30" s="173"/>
      <c r="C30" s="214" t="s">
        <v>250</v>
      </c>
      <c r="D30" s="210" t="s">
        <v>14</v>
      </c>
      <c r="E30" s="210">
        <v>1</v>
      </c>
      <c r="F30" s="210">
        <v>100</v>
      </c>
      <c r="G30" s="210">
        <v>0.23</v>
      </c>
      <c r="H30" s="211"/>
      <c r="I30" s="211">
        <f>E30*F30*G30</f>
        <v>23</v>
      </c>
      <c r="J30" s="211">
        <f>173.48*2</f>
        <v>346.96</v>
      </c>
      <c r="K30" s="213">
        <f>I30*J30</f>
        <v>7980.08</v>
      </c>
    </row>
    <row r="31" spans="1:11">
      <c r="A31" s="208"/>
      <c r="B31" s="173"/>
      <c r="C31" s="214"/>
      <c r="D31" s="210"/>
      <c r="E31" s="210"/>
      <c r="F31" s="210"/>
      <c r="G31" s="210"/>
      <c r="H31" s="211"/>
      <c r="I31" s="211"/>
      <c r="J31" s="211"/>
      <c r="K31" s="213"/>
    </row>
    <row r="32" spans="1:11" ht="28.5" customHeight="1">
      <c r="A32" s="208">
        <v>6</v>
      </c>
      <c r="B32" s="173" t="s">
        <v>251</v>
      </c>
      <c r="C32" s="209" t="s">
        <v>252</v>
      </c>
      <c r="D32" s="210" t="s">
        <v>109</v>
      </c>
      <c r="E32" s="210">
        <v>1</v>
      </c>
      <c r="F32" s="210">
        <v>92.18</v>
      </c>
      <c r="G32" s="210">
        <v>0.23</v>
      </c>
      <c r="H32" s="211">
        <v>2.5</v>
      </c>
      <c r="I32" s="211">
        <f>E32*F32*G32*H32</f>
        <v>53.00350000000001</v>
      </c>
      <c r="J32" s="222">
        <v>4264.99</v>
      </c>
      <c r="K32" s="223">
        <f>I32*J32</f>
        <v>226059.39746500002</v>
      </c>
    </row>
    <row r="33" spans="1:11">
      <c r="A33" s="208"/>
      <c r="B33" s="173" t="s">
        <v>244</v>
      </c>
      <c r="C33" s="209"/>
      <c r="D33" s="210"/>
      <c r="E33" s="210"/>
      <c r="F33" s="210"/>
      <c r="G33" s="210"/>
      <c r="H33" s="210"/>
      <c r="I33" s="211"/>
      <c r="J33" s="211"/>
      <c r="K33" s="213"/>
    </row>
    <row r="34" spans="1:11" ht="31.5" customHeight="1">
      <c r="A34" s="208">
        <v>7</v>
      </c>
      <c r="B34" s="173" t="s">
        <v>372</v>
      </c>
      <c r="C34" s="209" t="s">
        <v>253</v>
      </c>
      <c r="D34" s="210" t="s">
        <v>14</v>
      </c>
      <c r="E34" s="210">
        <v>1</v>
      </c>
      <c r="F34" s="210">
        <v>92.2</v>
      </c>
      <c r="G34" s="210"/>
      <c r="H34" s="210">
        <v>2.5</v>
      </c>
      <c r="I34" s="211">
        <f>E34*F34*H34</f>
        <v>230.5</v>
      </c>
      <c r="J34" s="211">
        <v>137.07</v>
      </c>
      <c r="K34" s="213">
        <f>I34*J34</f>
        <v>31594.634999999998</v>
      </c>
    </row>
    <row r="35" spans="1:11" ht="30">
      <c r="A35" s="208">
        <v>8</v>
      </c>
      <c r="B35" s="173" t="s">
        <v>373</v>
      </c>
      <c r="C35" s="209" t="s">
        <v>254</v>
      </c>
      <c r="D35" s="210" t="s">
        <v>14</v>
      </c>
      <c r="E35" s="210">
        <v>1</v>
      </c>
      <c r="F35" s="210">
        <v>92.2</v>
      </c>
      <c r="G35" s="210"/>
      <c r="H35" s="210">
        <v>2.5</v>
      </c>
      <c r="I35" s="211">
        <f>E35*F35*H35</f>
        <v>230.5</v>
      </c>
      <c r="J35" s="211">
        <v>214.12</v>
      </c>
      <c r="K35" s="213">
        <f>I35*J35</f>
        <v>49354.66</v>
      </c>
    </row>
    <row r="36" spans="1:11">
      <c r="A36" s="208">
        <v>9</v>
      </c>
      <c r="B36" s="173" t="s">
        <v>255</v>
      </c>
      <c r="C36" s="209" t="s">
        <v>256</v>
      </c>
      <c r="D36" s="210" t="s">
        <v>109</v>
      </c>
      <c r="E36" s="210">
        <v>1</v>
      </c>
      <c r="F36" s="210">
        <v>100</v>
      </c>
      <c r="G36" s="211">
        <v>0.33</v>
      </c>
      <c r="H36" s="211">
        <f>(0.05+0.075)*0.5</f>
        <v>6.25E-2</v>
      </c>
      <c r="I36" s="211">
        <f>E36*F36*G36*H36</f>
        <v>2.0625</v>
      </c>
      <c r="J36" s="224">
        <v>8065.45</v>
      </c>
      <c r="K36" s="213">
        <f>I36*J36</f>
        <v>16634.990624999999</v>
      </c>
    </row>
    <row r="37" spans="1:11">
      <c r="A37" s="208"/>
      <c r="B37" s="173"/>
      <c r="C37" s="209" t="s">
        <v>121</v>
      </c>
      <c r="D37" s="210"/>
      <c r="E37" s="210"/>
      <c r="F37" s="210"/>
      <c r="G37" s="210"/>
      <c r="H37" s="210"/>
      <c r="I37" s="211"/>
      <c r="J37" s="211"/>
      <c r="K37" s="213"/>
    </row>
    <row r="38" spans="1:11">
      <c r="A38" s="208">
        <v>10</v>
      </c>
      <c r="B38" s="173" t="s">
        <v>257</v>
      </c>
      <c r="C38" s="209" t="s">
        <v>258</v>
      </c>
      <c r="D38" s="210" t="s">
        <v>259</v>
      </c>
      <c r="E38" s="210">
        <v>80</v>
      </c>
      <c r="F38" s="225">
        <f>I26+I28</f>
        <v>34.162980500000003</v>
      </c>
      <c r="G38" s="210"/>
      <c r="H38" s="225"/>
      <c r="I38" s="211">
        <f>E38*F38</f>
        <v>2733.0384400000003</v>
      </c>
      <c r="J38" s="211">
        <f>53433.91/1000</f>
        <v>53.433910000000004</v>
      </c>
      <c r="K38" s="213">
        <f>I38*J38</f>
        <v>146036.93002950042</v>
      </c>
    </row>
    <row r="39" spans="1:11">
      <c r="A39" s="208"/>
      <c r="B39" s="173" t="s">
        <v>244</v>
      </c>
      <c r="C39" s="209" t="s">
        <v>260</v>
      </c>
      <c r="D39" s="210"/>
      <c r="E39" s="210"/>
      <c r="F39" s="210"/>
      <c r="G39" s="210"/>
      <c r="H39" s="210"/>
      <c r="I39" s="211"/>
      <c r="J39" s="211"/>
      <c r="K39" s="213"/>
    </row>
    <row r="40" spans="1:11">
      <c r="A40" s="208"/>
      <c r="B40" s="173"/>
      <c r="C40" s="209"/>
      <c r="D40" s="210"/>
      <c r="E40" s="210"/>
      <c r="F40" s="210"/>
      <c r="G40" s="210"/>
      <c r="H40" s="210"/>
      <c r="I40" s="211"/>
      <c r="J40" s="211"/>
      <c r="K40" s="213"/>
    </row>
    <row r="41" spans="1:11" ht="30">
      <c r="A41" s="208">
        <v>11</v>
      </c>
      <c r="B41" s="173" t="s">
        <v>261</v>
      </c>
      <c r="C41" s="209" t="s">
        <v>262</v>
      </c>
      <c r="D41" s="210" t="s">
        <v>259</v>
      </c>
      <c r="E41" s="210">
        <v>34</v>
      </c>
      <c r="F41" s="210">
        <v>1.84</v>
      </c>
      <c r="G41" s="210"/>
      <c r="H41" s="210">
        <v>4.5</v>
      </c>
      <c r="I41" s="211">
        <f>E41*F41*H41</f>
        <v>281.52</v>
      </c>
      <c r="J41" s="211">
        <v>57.69</v>
      </c>
      <c r="K41" s="213">
        <f>I41*J41</f>
        <v>16240.888799999999</v>
      </c>
    </row>
    <row r="42" spans="1:11">
      <c r="A42" s="208"/>
      <c r="B42" s="173"/>
      <c r="C42" s="214"/>
      <c r="D42" s="210"/>
      <c r="E42" s="210"/>
      <c r="F42" s="210"/>
      <c r="G42" s="210"/>
      <c r="H42" s="210"/>
      <c r="I42" s="211"/>
      <c r="J42" s="211"/>
      <c r="K42" s="213"/>
    </row>
    <row r="43" spans="1:11" ht="33.75" customHeight="1">
      <c r="A43" s="208">
        <v>12</v>
      </c>
      <c r="B43" s="173" t="s">
        <v>263</v>
      </c>
      <c r="C43" s="209" t="s">
        <v>264</v>
      </c>
      <c r="D43" s="210" t="s">
        <v>34</v>
      </c>
      <c r="E43" s="210">
        <v>1</v>
      </c>
      <c r="F43" s="210">
        <v>100</v>
      </c>
      <c r="G43" s="210"/>
      <c r="H43" s="210"/>
      <c r="I43" s="211">
        <f>E43*F43</f>
        <v>100</v>
      </c>
      <c r="J43" s="211">
        <v>255</v>
      </c>
      <c r="K43" s="213">
        <f>I43*J43</f>
        <v>25500</v>
      </c>
    </row>
    <row r="44" spans="1:11">
      <c r="A44" s="208"/>
      <c r="B44" s="173"/>
      <c r="C44" s="209"/>
      <c r="D44" s="210"/>
      <c r="E44" s="210"/>
      <c r="F44" s="210"/>
      <c r="G44" s="226"/>
      <c r="H44" s="210"/>
      <c r="I44" s="211"/>
      <c r="J44" s="211"/>
      <c r="K44" s="213"/>
    </row>
    <row r="45" spans="1:11" ht="30">
      <c r="A45" s="208">
        <v>13</v>
      </c>
      <c r="B45" s="173" t="s">
        <v>265</v>
      </c>
      <c r="C45" s="209" t="s">
        <v>266</v>
      </c>
      <c r="D45" s="210"/>
      <c r="E45" s="210"/>
      <c r="F45" s="210"/>
      <c r="G45" s="210"/>
      <c r="H45" s="210"/>
      <c r="I45" s="211"/>
      <c r="J45" s="211"/>
      <c r="K45" s="213"/>
    </row>
    <row r="46" spans="1:11">
      <c r="A46" s="208"/>
      <c r="B46" s="173"/>
      <c r="C46" s="209" t="s">
        <v>267</v>
      </c>
      <c r="D46" s="210" t="s">
        <v>120</v>
      </c>
      <c r="E46" s="210"/>
      <c r="F46" s="210"/>
      <c r="G46" s="210"/>
      <c r="H46" s="338">
        <f>+I8+I9+I10</f>
        <v>159.99</v>
      </c>
      <c r="I46" s="211"/>
      <c r="J46" s="211"/>
      <c r="K46" s="213"/>
    </row>
    <row r="47" spans="1:11">
      <c r="A47" s="208"/>
      <c r="B47" s="173"/>
      <c r="C47" s="209" t="s">
        <v>268</v>
      </c>
      <c r="D47" s="210" t="s">
        <v>120</v>
      </c>
      <c r="E47" s="210"/>
      <c r="F47" s="210"/>
      <c r="G47" s="210"/>
      <c r="H47" s="225">
        <f>+I15</f>
        <v>14.12</v>
      </c>
      <c r="I47" s="211"/>
      <c r="J47" s="211"/>
      <c r="K47" s="213"/>
    </row>
    <row r="48" spans="1:11">
      <c r="A48" s="208"/>
      <c r="B48" s="173"/>
      <c r="C48" s="209" t="s">
        <v>269</v>
      </c>
      <c r="D48" s="210" t="s">
        <v>120</v>
      </c>
      <c r="E48" s="210"/>
      <c r="F48" s="210"/>
      <c r="G48" s="210"/>
      <c r="H48" s="211">
        <f>+I19</f>
        <v>13.799999999999999</v>
      </c>
      <c r="I48" s="211"/>
      <c r="J48" s="211"/>
      <c r="K48" s="213"/>
    </row>
    <row r="49" spans="1:12">
      <c r="A49" s="208"/>
      <c r="B49" s="173"/>
      <c r="C49" s="209" t="s">
        <v>270</v>
      </c>
      <c r="D49" s="210" t="s">
        <v>120</v>
      </c>
      <c r="E49" s="210"/>
      <c r="F49" s="210"/>
      <c r="G49" s="210"/>
      <c r="H49" s="210">
        <v>3.66</v>
      </c>
      <c r="I49" s="211"/>
      <c r="J49" s="211"/>
      <c r="K49" s="213"/>
    </row>
    <row r="50" spans="1:12">
      <c r="A50" s="208"/>
      <c r="B50" s="173"/>
      <c r="C50" s="209" t="s">
        <v>271</v>
      </c>
      <c r="D50" s="210" t="s">
        <v>120</v>
      </c>
      <c r="E50" s="210"/>
      <c r="F50" s="210"/>
      <c r="G50" s="210"/>
      <c r="H50" s="225">
        <f>+I24</f>
        <v>2.4794229999999997</v>
      </c>
      <c r="I50" s="211"/>
      <c r="J50" s="211"/>
      <c r="K50" s="213"/>
    </row>
    <row r="51" spans="1:12">
      <c r="A51" s="208"/>
      <c r="B51" s="173"/>
      <c r="C51" s="216" t="s">
        <v>272</v>
      </c>
      <c r="D51" s="210"/>
      <c r="E51" s="210"/>
      <c r="F51" s="210"/>
      <c r="G51" s="210"/>
      <c r="H51" s="210">
        <f>SUM(H47:H50)</f>
        <v>34.059422999999995</v>
      </c>
      <c r="I51" s="211"/>
      <c r="J51" s="211"/>
      <c r="K51" s="213"/>
    </row>
    <row r="52" spans="1:12">
      <c r="A52" s="208"/>
      <c r="B52" s="173"/>
      <c r="C52" s="209" t="s">
        <v>273</v>
      </c>
      <c r="D52" s="210"/>
      <c r="E52" s="210"/>
      <c r="F52" s="210"/>
      <c r="G52" s="210"/>
      <c r="H52" s="210">
        <f>H46-H51</f>
        <v>125.93057700000001</v>
      </c>
      <c r="I52" s="210">
        <f>H52</f>
        <v>125.93057700000001</v>
      </c>
      <c r="J52" s="210">
        <v>86.67</v>
      </c>
      <c r="K52" s="227">
        <f>I52*J52</f>
        <v>10914.403108590001</v>
      </c>
    </row>
    <row r="53" spans="1:12">
      <c r="A53" s="208"/>
      <c r="B53" s="173"/>
      <c r="C53" s="209"/>
      <c r="D53" s="210"/>
      <c r="E53" s="210"/>
      <c r="F53" s="210"/>
      <c r="G53" s="210"/>
      <c r="H53" s="210"/>
      <c r="I53" s="211"/>
      <c r="J53" s="211"/>
      <c r="K53" s="213"/>
    </row>
    <row r="54" spans="1:12">
      <c r="A54" s="208">
        <v>14</v>
      </c>
      <c r="B54" s="173" t="s">
        <v>274</v>
      </c>
      <c r="C54" s="209" t="s">
        <v>275</v>
      </c>
      <c r="D54" s="210" t="s">
        <v>120</v>
      </c>
      <c r="E54" s="210"/>
      <c r="F54" s="210"/>
      <c r="G54" s="210"/>
      <c r="H54" s="210"/>
      <c r="I54" s="211">
        <f>I8-H52</f>
        <v>-11.180577000000014</v>
      </c>
      <c r="J54" s="211">
        <v>215.77</v>
      </c>
      <c r="K54" s="213">
        <f>-I54*J54</f>
        <v>2412.4330992900032</v>
      </c>
    </row>
    <row r="55" spans="1:12">
      <c r="A55" s="208"/>
      <c r="B55" s="173"/>
      <c r="C55" s="216" t="s">
        <v>276</v>
      </c>
      <c r="D55" s="210"/>
      <c r="E55" s="210"/>
      <c r="F55" s="210"/>
      <c r="G55" s="210"/>
      <c r="H55" s="210"/>
      <c r="I55" s="211"/>
      <c r="J55" s="211"/>
      <c r="K55" s="213"/>
    </row>
    <row r="56" spans="1:12">
      <c r="A56" s="208">
        <v>15</v>
      </c>
      <c r="B56" s="173" t="s">
        <v>277</v>
      </c>
      <c r="C56" s="209" t="s">
        <v>278</v>
      </c>
      <c r="D56" s="210" t="s">
        <v>14</v>
      </c>
      <c r="E56" s="210">
        <v>2</v>
      </c>
      <c r="F56" s="210">
        <v>100</v>
      </c>
      <c r="G56" s="210"/>
      <c r="H56" s="210">
        <v>2.5</v>
      </c>
      <c r="I56" s="211">
        <f>E56*F56*H56</f>
        <v>500</v>
      </c>
      <c r="J56" s="211">
        <v>81.14</v>
      </c>
      <c r="K56" s="213">
        <f>I56*J56</f>
        <v>40570</v>
      </c>
    </row>
    <row r="57" spans="1:12">
      <c r="A57" s="208">
        <v>16</v>
      </c>
      <c r="B57" s="173" t="s">
        <v>279</v>
      </c>
      <c r="C57" s="209" t="s">
        <v>280</v>
      </c>
      <c r="D57" s="217" t="s">
        <v>14</v>
      </c>
      <c r="E57" s="217">
        <v>34</v>
      </c>
      <c r="F57" s="217">
        <v>1.84</v>
      </c>
      <c r="G57" s="217">
        <v>0.2</v>
      </c>
      <c r="H57" s="217"/>
      <c r="I57" s="228">
        <f>E57*F57*G57</f>
        <v>12.512</v>
      </c>
      <c r="J57" s="211">
        <v>41.89</v>
      </c>
      <c r="K57" s="213">
        <f>I57*J57</f>
        <v>524.12768000000005</v>
      </c>
    </row>
    <row r="58" spans="1:12">
      <c r="A58" s="208"/>
      <c r="B58" s="173" t="s">
        <v>244</v>
      </c>
      <c r="C58" s="209"/>
      <c r="D58" s="217"/>
      <c r="E58" s="217"/>
      <c r="F58" s="217"/>
      <c r="G58" s="217"/>
      <c r="H58" s="217"/>
      <c r="I58" s="228"/>
      <c r="J58" s="228"/>
      <c r="K58" s="229"/>
    </row>
    <row r="59" spans="1:12" ht="35.25" customHeight="1">
      <c r="A59" s="230">
        <v>17</v>
      </c>
      <c r="B59" s="231" t="s">
        <v>281</v>
      </c>
      <c r="C59" s="209" t="s">
        <v>282</v>
      </c>
      <c r="D59" s="217" t="s">
        <v>14</v>
      </c>
      <c r="E59" s="217">
        <v>34</v>
      </c>
      <c r="F59" s="217">
        <v>1.46</v>
      </c>
      <c r="G59" s="217">
        <v>0.2</v>
      </c>
      <c r="H59" s="217"/>
      <c r="I59" s="228">
        <f>E59*F59*G59</f>
        <v>9.9280000000000008</v>
      </c>
      <c r="J59" s="211">
        <v>56.85</v>
      </c>
      <c r="K59" s="213">
        <f>I59*J59</f>
        <v>564.40680000000009</v>
      </c>
    </row>
    <row r="60" spans="1:12" ht="16.5" customHeight="1">
      <c r="A60" s="230"/>
      <c r="B60" s="231"/>
      <c r="C60" s="214" t="s">
        <v>121</v>
      </c>
      <c r="D60" s="217"/>
      <c r="E60" s="217"/>
      <c r="F60" s="217"/>
      <c r="G60" s="217"/>
      <c r="H60" s="217"/>
      <c r="I60" s="228"/>
      <c r="J60" s="211"/>
      <c r="K60" s="213">
        <f>SUM(K8:K59)</f>
        <v>995319.99236450053</v>
      </c>
    </row>
    <row r="61" spans="1:12" ht="16.5" customHeight="1">
      <c r="A61" s="230"/>
      <c r="B61" s="231"/>
      <c r="C61" s="209" t="s">
        <v>283</v>
      </c>
      <c r="D61" s="217"/>
      <c r="E61" s="217"/>
      <c r="F61" s="217"/>
      <c r="G61" s="217"/>
      <c r="H61" s="217"/>
      <c r="I61" s="228"/>
      <c r="J61" s="211"/>
      <c r="K61" s="213">
        <f>K60*5%</f>
        <v>49765.999618225032</v>
      </c>
    </row>
    <row r="62" spans="1:12">
      <c r="A62" s="232"/>
      <c r="B62" s="233" t="s">
        <v>244</v>
      </c>
      <c r="C62" s="233" t="s">
        <v>284</v>
      </c>
      <c r="D62" s="233"/>
      <c r="E62" s="233"/>
      <c r="F62" s="233"/>
      <c r="G62" s="233"/>
      <c r="H62" s="233"/>
      <c r="I62" s="233"/>
      <c r="J62" s="233"/>
      <c r="K62" s="234">
        <f>SUM(K60:K61)</f>
        <v>1045085.9919827256</v>
      </c>
    </row>
    <row r="63" spans="1:12">
      <c r="A63" s="232"/>
      <c r="B63" s="233"/>
      <c r="C63" s="235" t="s">
        <v>285</v>
      </c>
      <c r="D63" s="233"/>
      <c r="E63" s="233"/>
      <c r="F63" s="233"/>
      <c r="G63" s="233"/>
      <c r="H63" s="233"/>
      <c r="I63" s="233"/>
      <c r="J63" s="233"/>
      <c r="K63" s="236">
        <f>K62/100</f>
        <v>10450.859919827255</v>
      </c>
    </row>
    <row r="64" spans="1:12" ht="18.75">
      <c r="A64" s="232"/>
      <c r="B64" s="233"/>
      <c r="C64" s="233"/>
      <c r="D64" s="233"/>
      <c r="E64" s="233"/>
      <c r="F64" s="233"/>
      <c r="G64" s="233"/>
      <c r="H64" s="233"/>
      <c r="I64" s="233"/>
      <c r="J64" s="235" t="s">
        <v>286</v>
      </c>
      <c r="K64" s="237">
        <v>10451</v>
      </c>
      <c r="L64" s="188"/>
    </row>
    <row r="65" spans="1:11">
      <c r="A65" s="232"/>
      <c r="B65" s="233"/>
      <c r="C65" s="233"/>
      <c r="D65" s="233"/>
      <c r="E65" s="233"/>
      <c r="F65" s="233"/>
      <c r="G65" s="233"/>
      <c r="H65" s="233"/>
      <c r="I65" s="233"/>
      <c r="J65" s="233"/>
      <c r="K65" s="237" t="s">
        <v>287</v>
      </c>
    </row>
    <row r="66" spans="1:11" ht="16.5" thickBot="1">
      <c r="A66" s="189"/>
      <c r="B66" s="190"/>
      <c r="C66" s="190"/>
      <c r="D66" s="190"/>
      <c r="E66" s="190"/>
      <c r="F66" s="190"/>
      <c r="G66" s="190"/>
      <c r="H66" s="190"/>
      <c r="I66" s="190"/>
      <c r="J66" s="190"/>
      <c r="K66" s="239"/>
    </row>
  </sheetData>
  <mergeCells count="2">
    <mergeCell ref="A2:K2"/>
    <mergeCell ref="C5:H5"/>
  </mergeCells>
  <pageMargins left="0.31496062992126" right="0.23622047244094499" top="0.74803149606299202" bottom="0.74803149606299202" header="0.31496062992126" footer="0.31496062992126"/>
  <pageSetup paperSize="9" scale="90" firstPageNumber="210" orientation="portrait" useFirstPageNumber="1" r:id="rId1"/>
  <headerFooter>
    <oddFooter>&amp;C&amp;P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opLeftCell="A34" workbookViewId="0">
      <selection activeCell="O35" sqref="O35"/>
    </sheetView>
  </sheetViews>
  <sheetFormatPr defaultRowHeight="15"/>
  <cols>
    <col min="1" max="1" width="5.5703125" customWidth="1"/>
    <col min="3" max="3" width="24.140625" customWidth="1"/>
    <col min="4" max="4" width="6" customWidth="1"/>
    <col min="6" max="6" width="7.5703125" customWidth="1"/>
    <col min="7" max="7" width="13.85546875" customWidth="1"/>
    <col min="8" max="8" width="14.140625" customWidth="1"/>
    <col min="10" max="10" width="14.85546875" customWidth="1"/>
  </cols>
  <sheetData>
    <row r="1" spans="1:10" ht="15.75">
      <c r="A1" s="403" t="s">
        <v>0</v>
      </c>
      <c r="B1" s="403"/>
      <c r="C1" s="403"/>
      <c r="D1" s="403"/>
      <c r="E1" s="403"/>
      <c r="F1" s="403"/>
      <c r="G1" s="403"/>
      <c r="H1" s="13"/>
    </row>
    <row r="2" spans="1:10">
      <c r="A2" s="1" t="s">
        <v>1</v>
      </c>
      <c r="B2" s="1" t="s">
        <v>2</v>
      </c>
      <c r="C2" s="1" t="s">
        <v>3</v>
      </c>
      <c r="D2" s="1" t="s">
        <v>4</v>
      </c>
      <c r="E2" s="1" t="s">
        <v>5</v>
      </c>
      <c r="F2" s="1" t="s">
        <v>6</v>
      </c>
      <c r="G2" s="14" t="s">
        <v>7</v>
      </c>
      <c r="H2" s="1" t="s">
        <v>8</v>
      </c>
    </row>
    <row r="3" spans="1:10" ht="36">
      <c r="A3" s="15" t="s">
        <v>9</v>
      </c>
      <c r="B3" s="2" t="s">
        <v>10</v>
      </c>
      <c r="C3" s="16"/>
      <c r="D3" s="3"/>
      <c r="E3" s="3"/>
      <c r="F3" s="3"/>
      <c r="G3" s="17"/>
      <c r="H3" s="3"/>
    </row>
    <row r="4" spans="1:10" ht="38.25">
      <c r="A4" s="4">
        <v>1</v>
      </c>
      <c r="B4" s="4">
        <v>1.1000000000000001</v>
      </c>
      <c r="C4" s="5" t="s">
        <v>11</v>
      </c>
      <c r="D4" s="7"/>
      <c r="E4" s="18"/>
      <c r="F4" s="18"/>
      <c r="G4" s="19"/>
      <c r="H4" s="3"/>
    </row>
    <row r="5" spans="1:10">
      <c r="A5" s="4">
        <v>2</v>
      </c>
      <c r="B5" s="4" t="s">
        <v>12</v>
      </c>
      <c r="C5" s="5" t="s">
        <v>13</v>
      </c>
      <c r="D5" s="7" t="s">
        <v>14</v>
      </c>
      <c r="E5" s="18">
        <v>2256</v>
      </c>
      <c r="F5" s="18">
        <v>23500</v>
      </c>
      <c r="G5" s="20">
        <v>53025400</v>
      </c>
      <c r="H5" s="3"/>
    </row>
    <row r="6" spans="1:10">
      <c r="A6" s="4">
        <v>3</v>
      </c>
      <c r="B6" s="4" t="s">
        <v>15</v>
      </c>
      <c r="C6" s="5" t="s">
        <v>16</v>
      </c>
      <c r="D6" s="7" t="s">
        <v>14</v>
      </c>
      <c r="E6" s="18">
        <v>1060</v>
      </c>
      <c r="F6" s="18">
        <v>14250</v>
      </c>
      <c r="G6" s="20">
        <v>15109133</v>
      </c>
      <c r="H6" s="3"/>
    </row>
    <row r="7" spans="1:10" ht="38.25">
      <c r="A7" s="4">
        <v>4</v>
      </c>
      <c r="B7" s="4" t="s">
        <v>17</v>
      </c>
      <c r="C7" s="5" t="s">
        <v>18</v>
      </c>
      <c r="D7" s="7" t="s">
        <v>14</v>
      </c>
      <c r="E7" s="21">
        <v>9964</v>
      </c>
      <c r="F7" s="7">
        <v>270</v>
      </c>
      <c r="G7" s="20">
        <v>2690280</v>
      </c>
      <c r="H7" s="3"/>
    </row>
    <row r="8" spans="1:10">
      <c r="A8" s="4">
        <v>5</v>
      </c>
      <c r="B8" s="4" t="s">
        <v>19</v>
      </c>
      <c r="C8" s="5" t="s">
        <v>20</v>
      </c>
      <c r="D8" s="7" t="s">
        <v>14</v>
      </c>
      <c r="E8" s="7">
        <v>3317</v>
      </c>
      <c r="F8" s="7">
        <v>1140</v>
      </c>
      <c r="G8" s="20">
        <v>3781027</v>
      </c>
      <c r="H8" s="3"/>
    </row>
    <row r="9" spans="1:10" ht="51">
      <c r="A9" s="4">
        <v>6</v>
      </c>
      <c r="B9" s="4" t="s">
        <v>21</v>
      </c>
      <c r="C9" s="5" t="s">
        <v>22</v>
      </c>
      <c r="D9" s="7" t="s">
        <v>14</v>
      </c>
      <c r="E9" s="7">
        <v>2188</v>
      </c>
      <c r="F9" s="7">
        <v>2270</v>
      </c>
      <c r="G9" s="20">
        <v>4967418</v>
      </c>
      <c r="H9" s="3"/>
      <c r="J9" s="30"/>
    </row>
    <row r="10" spans="1:10" ht="25.5">
      <c r="A10" s="4">
        <v>7</v>
      </c>
      <c r="B10" s="4" t="s">
        <v>23</v>
      </c>
      <c r="C10" s="5" t="s">
        <v>24</v>
      </c>
      <c r="D10" s="7" t="s">
        <v>14</v>
      </c>
      <c r="E10" s="7">
        <v>2188</v>
      </c>
      <c r="F10" s="7">
        <v>1500</v>
      </c>
      <c r="G10" s="20">
        <v>3282435</v>
      </c>
      <c r="H10" s="3"/>
      <c r="J10" s="30">
        <f>G5+G6+G7+G8+G9+G10+G11+G12+G20</f>
        <v>92326332</v>
      </c>
    </row>
    <row r="11" spans="1:10" ht="38.25">
      <c r="A11" s="4">
        <v>8</v>
      </c>
      <c r="B11" s="4" t="s">
        <v>25</v>
      </c>
      <c r="C11" s="6" t="s">
        <v>26</v>
      </c>
      <c r="D11" s="4" t="s">
        <v>14</v>
      </c>
      <c r="E11" s="4">
        <v>3317</v>
      </c>
      <c r="F11" s="4">
        <v>750</v>
      </c>
      <c r="G11" s="22">
        <v>2487518</v>
      </c>
      <c r="H11" s="6"/>
      <c r="J11" s="30">
        <v>67355000</v>
      </c>
    </row>
    <row r="12" spans="1:10" ht="25.5">
      <c r="A12" s="4">
        <v>9</v>
      </c>
      <c r="B12" s="4" t="s">
        <v>27</v>
      </c>
      <c r="C12" s="6" t="s">
        <v>28</v>
      </c>
      <c r="D12" s="4" t="s">
        <v>14</v>
      </c>
      <c r="E12" s="4">
        <v>3317</v>
      </c>
      <c r="F12" s="4">
        <v>500</v>
      </c>
      <c r="G12" s="22">
        <v>1658345</v>
      </c>
      <c r="H12" s="6"/>
      <c r="J12" s="30">
        <f>J10+J11</f>
        <v>159681332</v>
      </c>
    </row>
    <row r="13" spans="1:10" s="36" customFormat="1">
      <c r="A13" s="33">
        <v>10</v>
      </c>
      <c r="B13" s="33" t="s">
        <v>29</v>
      </c>
      <c r="C13" s="34" t="s">
        <v>30</v>
      </c>
      <c r="D13" s="33" t="s">
        <v>14</v>
      </c>
      <c r="E13" s="33">
        <v>4667</v>
      </c>
      <c r="F13" s="33">
        <v>1350</v>
      </c>
      <c r="G13" s="35">
        <v>6300936</v>
      </c>
      <c r="H13" s="34"/>
    </row>
    <row r="14" spans="1:10" s="36" customFormat="1" ht="25.5">
      <c r="A14" s="33">
        <v>11</v>
      </c>
      <c r="B14" s="33" t="s">
        <v>29</v>
      </c>
      <c r="C14" s="34" t="s">
        <v>31</v>
      </c>
      <c r="D14" s="33" t="s">
        <v>14</v>
      </c>
      <c r="E14" s="33">
        <v>220</v>
      </c>
      <c r="F14" s="33">
        <v>1680</v>
      </c>
      <c r="G14" s="35">
        <v>369600</v>
      </c>
      <c r="H14" s="34"/>
      <c r="J14" s="37">
        <f>G13+G15</f>
        <v>6695892</v>
      </c>
    </row>
    <row r="15" spans="1:10" s="36" customFormat="1" ht="25.5">
      <c r="A15" s="33">
        <v>12</v>
      </c>
      <c r="B15" s="33" t="s">
        <v>32</v>
      </c>
      <c r="C15" s="34" t="s">
        <v>33</v>
      </c>
      <c r="D15" s="33" t="s">
        <v>34</v>
      </c>
      <c r="E15" s="33">
        <v>954</v>
      </c>
      <c r="F15" s="33">
        <v>414</v>
      </c>
      <c r="G15" s="35">
        <v>394956</v>
      </c>
      <c r="H15" s="34"/>
    </row>
    <row r="16" spans="1:10" s="36" customFormat="1" ht="25.5">
      <c r="A16" s="33">
        <v>13</v>
      </c>
      <c r="B16" s="33" t="s">
        <v>35</v>
      </c>
      <c r="C16" s="34" t="s">
        <v>36</v>
      </c>
      <c r="D16" s="33" t="s">
        <v>37</v>
      </c>
      <c r="E16" s="33">
        <v>8928</v>
      </c>
      <c r="F16" s="33">
        <v>4150</v>
      </c>
      <c r="G16" s="35">
        <v>37052362</v>
      </c>
      <c r="H16" s="34"/>
    </row>
    <row r="17" spans="1:10" s="36" customFormat="1" ht="38.25">
      <c r="A17" s="33">
        <v>14</v>
      </c>
      <c r="B17" s="33" t="s">
        <v>38</v>
      </c>
      <c r="C17" s="38" t="s">
        <v>39</v>
      </c>
      <c r="D17" s="38" t="s">
        <v>40</v>
      </c>
      <c r="E17" s="38"/>
      <c r="F17" s="38"/>
      <c r="G17" s="35">
        <v>2000000</v>
      </c>
      <c r="H17" s="34"/>
    </row>
    <row r="18" spans="1:10">
      <c r="A18" s="23"/>
      <c r="B18" s="399" t="s">
        <v>41</v>
      </c>
      <c r="C18" s="399"/>
      <c r="D18" s="399"/>
      <c r="E18" s="399"/>
      <c r="F18" s="399"/>
      <c r="G18" s="24">
        <v>133119409</v>
      </c>
      <c r="H18" s="3"/>
    </row>
    <row r="19" spans="1:10">
      <c r="A19" s="15" t="s">
        <v>42</v>
      </c>
      <c r="B19" s="404" t="s">
        <v>43</v>
      </c>
      <c r="C19" s="404"/>
      <c r="D19" s="404"/>
      <c r="E19" s="404"/>
      <c r="F19" s="404"/>
      <c r="G19" s="3"/>
      <c r="H19" s="3"/>
    </row>
    <row r="20" spans="1:10" ht="25.5" customHeight="1">
      <c r="A20" s="7">
        <v>15</v>
      </c>
      <c r="B20" s="7">
        <v>3.1</v>
      </c>
      <c r="C20" s="401" t="s">
        <v>44</v>
      </c>
      <c r="D20" s="401"/>
      <c r="E20" s="401"/>
      <c r="F20" s="401"/>
      <c r="G20" s="20">
        <v>5324776</v>
      </c>
      <c r="H20" s="32"/>
    </row>
    <row r="21" spans="1:10">
      <c r="A21" s="7">
        <v>16</v>
      </c>
      <c r="B21" s="7">
        <v>3.2</v>
      </c>
      <c r="C21" s="401" t="s">
        <v>45</v>
      </c>
      <c r="D21" s="401"/>
      <c r="E21" s="401"/>
      <c r="F21" s="401"/>
      <c r="G21" s="20">
        <v>6655970</v>
      </c>
      <c r="H21" s="32"/>
    </row>
    <row r="22" spans="1:10">
      <c r="A22" s="7">
        <v>17</v>
      </c>
      <c r="B22" s="7">
        <v>3.3</v>
      </c>
      <c r="C22" s="401" t="s">
        <v>46</v>
      </c>
      <c r="D22" s="401"/>
      <c r="E22" s="401"/>
      <c r="F22" s="401"/>
      <c r="G22" s="20">
        <v>16639926</v>
      </c>
      <c r="H22" s="32"/>
    </row>
    <row r="23" spans="1:10">
      <c r="A23" s="7">
        <v>18</v>
      </c>
      <c r="B23" s="7" t="s">
        <v>47</v>
      </c>
      <c r="C23" s="401" t="s">
        <v>48</v>
      </c>
      <c r="D23" s="401"/>
      <c r="E23" s="401"/>
      <c r="F23" s="401"/>
      <c r="G23" s="20">
        <v>5324776</v>
      </c>
      <c r="H23" s="32"/>
    </row>
    <row r="24" spans="1:10">
      <c r="A24" s="7">
        <v>19</v>
      </c>
      <c r="B24" s="7" t="s">
        <v>49</v>
      </c>
      <c r="C24" s="401" t="s">
        <v>50</v>
      </c>
      <c r="D24" s="401"/>
      <c r="E24" s="401"/>
      <c r="F24" s="401"/>
      <c r="G24" s="20">
        <v>1331194</v>
      </c>
      <c r="H24" s="32"/>
    </row>
    <row r="25" spans="1:10">
      <c r="A25" s="7">
        <v>20</v>
      </c>
      <c r="B25" s="7" t="s">
        <v>51</v>
      </c>
      <c r="C25" s="401" t="s">
        <v>52</v>
      </c>
      <c r="D25" s="401"/>
      <c r="E25" s="401"/>
      <c r="F25" s="401"/>
      <c r="G25" s="20">
        <v>665597</v>
      </c>
      <c r="H25" s="32"/>
    </row>
    <row r="26" spans="1:10">
      <c r="A26" s="7">
        <v>21</v>
      </c>
      <c r="B26" s="7" t="s">
        <v>53</v>
      </c>
      <c r="C26" s="402" t="s">
        <v>54</v>
      </c>
      <c r="D26" s="402"/>
      <c r="E26" s="402"/>
      <c r="F26" s="402"/>
      <c r="G26" s="22">
        <v>665597</v>
      </c>
      <c r="H26" s="32"/>
    </row>
    <row r="27" spans="1:10">
      <c r="A27" s="7">
        <v>22</v>
      </c>
      <c r="B27" s="7" t="s">
        <v>55</v>
      </c>
      <c r="C27" s="402" t="s">
        <v>56</v>
      </c>
      <c r="D27" s="402"/>
      <c r="E27" s="402"/>
      <c r="F27" s="402"/>
      <c r="G27" s="22">
        <v>665597</v>
      </c>
      <c r="H27" s="32"/>
      <c r="J27" s="30"/>
    </row>
    <row r="28" spans="1:10">
      <c r="A28" s="10"/>
      <c r="B28" s="399" t="s">
        <v>57</v>
      </c>
      <c r="C28" s="399"/>
      <c r="D28" s="399"/>
      <c r="E28" s="399"/>
      <c r="F28" s="399"/>
      <c r="G28" s="24">
        <v>37273434</v>
      </c>
      <c r="H28" s="3"/>
    </row>
    <row r="29" spans="1:10">
      <c r="A29" s="23" t="s">
        <v>58</v>
      </c>
      <c r="B29" s="398"/>
      <c r="C29" s="398"/>
      <c r="D29" s="398"/>
      <c r="E29" s="398"/>
      <c r="F29" s="398"/>
      <c r="G29" s="17"/>
      <c r="H29" s="3"/>
    </row>
    <row r="30" spans="1:10" ht="63.75">
      <c r="A30" s="7">
        <v>23</v>
      </c>
      <c r="B30" s="7">
        <v>5.0999999999999996</v>
      </c>
      <c r="C30" s="5" t="s">
        <v>59</v>
      </c>
      <c r="D30" s="4" t="s">
        <v>60</v>
      </c>
      <c r="E30" s="4">
        <v>100000</v>
      </c>
      <c r="F30" s="4">
        <v>15</v>
      </c>
      <c r="G30" s="22">
        <v>1500000</v>
      </c>
      <c r="H30" s="8"/>
    </row>
    <row r="31" spans="1:10">
      <c r="A31" s="7">
        <v>24</v>
      </c>
      <c r="B31" s="7">
        <v>5.5</v>
      </c>
      <c r="C31" s="5" t="s">
        <v>61</v>
      </c>
      <c r="D31" s="4" t="s">
        <v>60</v>
      </c>
      <c r="E31" s="4">
        <v>100000</v>
      </c>
      <c r="F31" s="4">
        <v>15</v>
      </c>
      <c r="G31" s="22">
        <v>1500000</v>
      </c>
      <c r="H31" s="8"/>
    </row>
    <row r="32" spans="1:10">
      <c r="A32" s="7">
        <v>25</v>
      </c>
      <c r="B32" s="7">
        <v>6</v>
      </c>
      <c r="C32" s="5" t="s">
        <v>62</v>
      </c>
      <c r="D32" s="4"/>
      <c r="E32" s="4"/>
      <c r="F32" s="4"/>
      <c r="G32" s="25"/>
      <c r="H32" s="8"/>
    </row>
    <row r="33" spans="1:8">
      <c r="A33" s="7">
        <v>26</v>
      </c>
      <c r="B33" s="7">
        <v>6.1</v>
      </c>
      <c r="C33" s="5" t="s">
        <v>63</v>
      </c>
      <c r="D33" s="4" t="s">
        <v>14</v>
      </c>
      <c r="E33" s="4">
        <v>13925</v>
      </c>
      <c r="F33" s="4">
        <v>95</v>
      </c>
      <c r="G33" s="22">
        <v>1322875</v>
      </c>
      <c r="H33" s="8"/>
    </row>
    <row r="34" spans="1:8">
      <c r="A34" s="7">
        <v>27</v>
      </c>
      <c r="B34" s="7">
        <v>6.3</v>
      </c>
      <c r="C34" s="5" t="s">
        <v>64</v>
      </c>
      <c r="D34" s="4" t="s">
        <v>14</v>
      </c>
      <c r="E34" s="4">
        <v>13925</v>
      </c>
      <c r="F34" s="4">
        <v>110</v>
      </c>
      <c r="G34" s="22">
        <v>1531750</v>
      </c>
      <c r="H34" s="8"/>
    </row>
    <row r="35" spans="1:8" ht="38.25">
      <c r="A35" s="7">
        <v>28</v>
      </c>
      <c r="B35" s="7" t="s">
        <v>65</v>
      </c>
      <c r="C35" s="5" t="s">
        <v>66</v>
      </c>
      <c r="D35" s="4" t="s">
        <v>14</v>
      </c>
      <c r="E35" s="4">
        <v>13925</v>
      </c>
      <c r="F35" s="4">
        <v>80</v>
      </c>
      <c r="G35" s="22">
        <v>1114000</v>
      </c>
      <c r="H35" s="8"/>
    </row>
    <row r="36" spans="1:8" ht="25.5">
      <c r="A36" s="7">
        <v>29</v>
      </c>
      <c r="B36" s="7" t="s">
        <v>67</v>
      </c>
      <c r="C36" s="5" t="s">
        <v>68</v>
      </c>
      <c r="D36" s="4" t="s">
        <v>14</v>
      </c>
      <c r="E36" s="4">
        <v>13925</v>
      </c>
      <c r="F36" s="4">
        <v>60</v>
      </c>
      <c r="G36" s="22">
        <v>835500</v>
      </c>
      <c r="H36" s="8"/>
    </row>
    <row r="37" spans="1:8" ht="38.25">
      <c r="A37" s="7">
        <v>30</v>
      </c>
      <c r="B37" s="7" t="s">
        <v>69</v>
      </c>
      <c r="C37" s="5" t="s">
        <v>70</v>
      </c>
      <c r="D37" s="4" t="s">
        <v>14</v>
      </c>
      <c r="E37" s="4">
        <v>13925</v>
      </c>
      <c r="F37" s="4">
        <v>45</v>
      </c>
      <c r="G37" s="22">
        <v>626625</v>
      </c>
      <c r="H37" s="8"/>
    </row>
    <row r="38" spans="1:8">
      <c r="A38" s="7">
        <v>31</v>
      </c>
      <c r="B38" s="7">
        <v>6.6</v>
      </c>
      <c r="C38" s="5" t="s">
        <v>71</v>
      </c>
      <c r="D38" s="4" t="s">
        <v>14</v>
      </c>
      <c r="E38" s="4">
        <v>13925</v>
      </c>
      <c r="F38" s="4">
        <v>80</v>
      </c>
      <c r="G38" s="22">
        <v>1114000</v>
      </c>
      <c r="H38" s="8"/>
    </row>
    <row r="39" spans="1:8" ht="25.5">
      <c r="A39" s="7">
        <v>32</v>
      </c>
      <c r="B39" s="7">
        <v>6.5</v>
      </c>
      <c r="C39" s="5" t="s">
        <v>72</v>
      </c>
      <c r="D39" s="4" t="s">
        <v>14</v>
      </c>
      <c r="E39" s="4">
        <v>13925</v>
      </c>
      <c r="F39" s="4">
        <v>85</v>
      </c>
      <c r="G39" s="22">
        <v>1183625</v>
      </c>
      <c r="H39" s="8"/>
    </row>
    <row r="40" spans="1:8" ht="25.5">
      <c r="A40" s="7">
        <v>33</v>
      </c>
      <c r="B40" s="7" t="s">
        <v>73</v>
      </c>
      <c r="C40" s="5" t="s">
        <v>74</v>
      </c>
      <c r="D40" s="4" t="s">
        <v>14</v>
      </c>
      <c r="E40" s="4">
        <v>13925</v>
      </c>
      <c r="F40" s="4">
        <v>130</v>
      </c>
      <c r="G40" s="22">
        <v>1810250</v>
      </c>
      <c r="H40" s="9"/>
    </row>
    <row r="41" spans="1:8">
      <c r="A41" s="7">
        <v>34</v>
      </c>
      <c r="B41" s="7"/>
      <c r="C41" s="5" t="s">
        <v>75</v>
      </c>
      <c r="D41" s="4"/>
      <c r="E41" s="4"/>
      <c r="F41" s="4"/>
      <c r="G41" s="22">
        <v>1500000</v>
      </c>
      <c r="H41" s="9"/>
    </row>
    <row r="42" spans="1:8" s="36" customFormat="1">
      <c r="A42" s="33" t="s">
        <v>76</v>
      </c>
      <c r="B42" s="33"/>
      <c r="C42" s="38" t="s">
        <v>77</v>
      </c>
      <c r="D42" s="33" t="s">
        <v>78</v>
      </c>
      <c r="E42" s="33">
        <v>2</v>
      </c>
      <c r="F42" s="33">
        <v>2800000</v>
      </c>
      <c r="G42" s="35">
        <v>5600000</v>
      </c>
      <c r="H42" s="43"/>
    </row>
    <row r="43" spans="1:8">
      <c r="A43" s="26"/>
      <c r="B43" s="399" t="s">
        <v>79</v>
      </c>
      <c r="C43" s="399"/>
      <c r="D43" s="399"/>
      <c r="E43" s="399"/>
      <c r="F43" s="399"/>
      <c r="G43" s="24">
        <v>19638625</v>
      </c>
      <c r="H43" s="3"/>
    </row>
    <row r="44" spans="1:8" s="36" customFormat="1" ht="30">
      <c r="A44" s="39">
        <v>35</v>
      </c>
      <c r="B44" s="38" t="s">
        <v>35</v>
      </c>
      <c r="C44" s="40" t="s">
        <v>80</v>
      </c>
      <c r="D44" s="40"/>
      <c r="E44" s="40"/>
      <c r="F44" s="40"/>
      <c r="G44" s="41">
        <v>5937600</v>
      </c>
      <c r="H44" s="42" t="s">
        <v>81</v>
      </c>
    </row>
    <row r="45" spans="1:8">
      <c r="A45" s="3">
        <v>36</v>
      </c>
      <c r="B45" s="12" t="s">
        <v>15</v>
      </c>
      <c r="C45" s="400" t="s">
        <v>82</v>
      </c>
      <c r="D45" s="400"/>
      <c r="E45" s="400"/>
      <c r="F45" s="400"/>
      <c r="G45" s="27" t="s">
        <v>83</v>
      </c>
      <c r="H45" s="11" t="s">
        <v>84</v>
      </c>
    </row>
    <row r="46" spans="1:8">
      <c r="A46" s="10"/>
      <c r="B46" s="399" t="s">
        <v>85</v>
      </c>
      <c r="C46" s="399"/>
      <c r="D46" s="399"/>
      <c r="E46" s="399"/>
      <c r="F46" s="399"/>
      <c r="G46" s="24">
        <v>263324068</v>
      </c>
      <c r="H46" s="3"/>
    </row>
    <row r="47" spans="1:8">
      <c r="A47" s="28"/>
      <c r="B47" s="29"/>
      <c r="C47" s="29"/>
      <c r="D47" s="29"/>
      <c r="E47" s="29"/>
      <c r="F47" s="29"/>
      <c r="G47" s="29"/>
      <c r="H47" s="29"/>
    </row>
    <row r="49" spans="3:3">
      <c r="C49" s="31">
        <f>G46-Final!G62</f>
        <v>14042562.041599989</v>
      </c>
    </row>
  </sheetData>
  <mergeCells count="16">
    <mergeCell ref="C22:F22"/>
    <mergeCell ref="A1:G1"/>
    <mergeCell ref="B18:F18"/>
    <mergeCell ref="B19:F19"/>
    <mergeCell ref="C20:F20"/>
    <mergeCell ref="C21:F21"/>
    <mergeCell ref="B29:F29"/>
    <mergeCell ref="B43:F43"/>
    <mergeCell ref="C45:F45"/>
    <mergeCell ref="B46:F46"/>
    <mergeCell ref="C23:F23"/>
    <mergeCell ref="C24:F24"/>
    <mergeCell ref="C25:F25"/>
    <mergeCell ref="C26:F26"/>
    <mergeCell ref="C27:F27"/>
    <mergeCell ref="B28:F28"/>
  </mergeCells>
  <hyperlinks>
    <hyperlink ref="B45" r:id="rId1" display="javascript:void(0)"/>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view="pageLayout" zoomScaleNormal="100" workbookViewId="0">
      <selection activeCell="G49" sqref="G49"/>
    </sheetView>
  </sheetViews>
  <sheetFormatPr defaultRowHeight="15"/>
  <cols>
    <col min="1" max="1" width="5.5703125" bestFit="1" customWidth="1"/>
    <col min="2" max="2" width="19.28515625" customWidth="1"/>
    <col min="3" max="3" width="5" bestFit="1" customWidth="1"/>
    <col min="4" max="4" width="7.28515625" customWidth="1"/>
    <col min="6" max="6" width="11.28515625" bestFit="1" customWidth="1"/>
    <col min="7" max="7" width="16.7109375" customWidth="1"/>
  </cols>
  <sheetData>
    <row r="1" spans="1:7">
      <c r="A1" s="405" t="s">
        <v>186</v>
      </c>
      <c r="B1" s="405"/>
      <c r="C1" s="405"/>
      <c r="D1" s="405"/>
      <c r="E1" s="405"/>
      <c r="F1" s="405"/>
      <c r="G1" s="405"/>
    </row>
    <row r="2" spans="1:7" ht="27.75" customHeight="1">
      <c r="A2" s="406" t="s">
        <v>218</v>
      </c>
      <c r="B2" s="407"/>
      <c r="C2" s="407"/>
      <c r="D2" s="407"/>
      <c r="E2" s="407"/>
      <c r="F2" s="407"/>
      <c r="G2" s="408"/>
    </row>
    <row r="3" spans="1:7">
      <c r="A3" s="193" t="s">
        <v>219</v>
      </c>
      <c r="B3" s="193" t="s">
        <v>3</v>
      </c>
      <c r="C3" s="195" t="s">
        <v>4</v>
      </c>
      <c r="D3" s="195" t="s">
        <v>220</v>
      </c>
      <c r="E3" s="195" t="s">
        <v>6</v>
      </c>
      <c r="F3" s="195" t="s">
        <v>104</v>
      </c>
      <c r="G3" s="195"/>
    </row>
    <row r="4" spans="1:7" ht="30">
      <c r="A4" s="192">
        <v>1</v>
      </c>
      <c r="B4" s="309" t="s">
        <v>222</v>
      </c>
      <c r="C4" s="194" t="s">
        <v>223</v>
      </c>
      <c r="D4" s="194">
        <v>180</v>
      </c>
      <c r="E4" s="184">
        <f>+BW!K64</f>
        <v>10451</v>
      </c>
      <c r="F4" s="183">
        <f>+D4*E4</f>
        <v>1881180</v>
      </c>
      <c r="G4" s="191" t="s">
        <v>355</v>
      </c>
    </row>
    <row r="5" spans="1:7" ht="30">
      <c r="A5" s="192">
        <v>2</v>
      </c>
      <c r="B5" s="309" t="s">
        <v>224</v>
      </c>
      <c r="C5" s="194" t="s">
        <v>225</v>
      </c>
      <c r="D5" s="194">
        <v>2</v>
      </c>
      <c r="E5" s="184">
        <v>276000</v>
      </c>
      <c r="F5" s="183">
        <f>+D5*E5</f>
        <v>552000</v>
      </c>
      <c r="G5" s="191" t="s">
        <v>356</v>
      </c>
    </row>
    <row r="6" spans="1:7">
      <c r="A6" s="192"/>
      <c r="B6" s="182"/>
      <c r="C6" s="409" t="s">
        <v>226</v>
      </c>
      <c r="D6" s="410"/>
      <c r="E6" s="411"/>
      <c r="F6" s="185">
        <f>SUM(F4:F5)</f>
        <v>2433180</v>
      </c>
      <c r="G6" s="191"/>
    </row>
  </sheetData>
  <mergeCells count="3">
    <mergeCell ref="A1:G1"/>
    <mergeCell ref="A2:G2"/>
    <mergeCell ref="C6:E6"/>
  </mergeCells>
  <pageMargins left="0.70866141732283505" right="0.70866141732283505" top="0.74803149606299202" bottom="0.74803149606299202" header="0.31496062992126" footer="0.31496062992126"/>
  <pageSetup paperSize="9" firstPageNumber="209" orientation="portrait" useFirstPageNumber="1" r:id="rId1"/>
  <headerFooter>
    <oddFooter>&amp;C&amp;P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05"/>
  <sheetViews>
    <sheetView view="pageLayout" topLeftCell="A109" zoomScaleNormal="100" workbookViewId="0">
      <selection activeCell="G150" sqref="G150"/>
    </sheetView>
  </sheetViews>
  <sheetFormatPr defaultRowHeight="15"/>
  <cols>
    <col min="1" max="1" width="6.7109375" style="172" customWidth="1"/>
    <col min="2" max="2" width="7.85546875" style="172" customWidth="1"/>
    <col min="3" max="3" width="26.28515625" style="172" customWidth="1"/>
    <col min="4" max="4" width="7.28515625" style="172" customWidth="1"/>
    <col min="5" max="5" width="6.5703125" style="172" customWidth="1"/>
    <col min="6" max="6" width="7.28515625" style="172" customWidth="1"/>
    <col min="7" max="7" width="7.28515625" style="172" bestFit="1" customWidth="1"/>
    <col min="8" max="8" width="6.7109375" style="172" customWidth="1"/>
    <col min="9" max="9" width="6" style="172" bestFit="1" customWidth="1"/>
    <col min="10" max="11" width="9.5703125" style="172" bestFit="1" customWidth="1"/>
    <col min="12" max="12" width="10.7109375" style="172" customWidth="1"/>
    <col min="13" max="16384" width="9.140625" style="172"/>
  </cols>
  <sheetData>
    <row r="1" spans="1:14">
      <c r="J1" s="415" t="s">
        <v>358</v>
      </c>
      <c r="K1" s="415"/>
      <c r="L1" s="415"/>
    </row>
    <row r="2" spans="1:14" ht="21.75" customHeight="1">
      <c r="A2" s="416" t="s">
        <v>288</v>
      </c>
      <c r="B2" s="416"/>
      <c r="C2" s="416"/>
      <c r="D2" s="416"/>
      <c r="E2" s="416"/>
      <c r="F2" s="416"/>
      <c r="G2" s="416"/>
      <c r="H2" s="416"/>
      <c r="I2" s="416"/>
      <c r="J2" s="416"/>
      <c r="K2" s="416"/>
      <c r="L2" s="416"/>
      <c r="M2" s="246"/>
      <c r="N2" s="246"/>
    </row>
    <row r="3" spans="1:14" ht="15.75" thickBot="1">
      <c r="A3" s="397" t="s">
        <v>289</v>
      </c>
      <c r="B3" s="397"/>
      <c r="C3" s="397"/>
    </row>
    <row r="4" spans="1:14" ht="24.75" thickBot="1">
      <c r="A4" s="242" t="s">
        <v>232</v>
      </c>
      <c r="B4" s="243" t="s">
        <v>290</v>
      </c>
      <c r="C4" s="244" t="s">
        <v>3</v>
      </c>
      <c r="D4" s="244" t="s">
        <v>4</v>
      </c>
      <c r="E4" s="244" t="s">
        <v>235</v>
      </c>
      <c r="F4" s="244" t="s">
        <v>235</v>
      </c>
      <c r="G4" s="244" t="s">
        <v>106</v>
      </c>
      <c r="H4" s="244" t="s">
        <v>42</v>
      </c>
      <c r="I4" s="244" t="s">
        <v>107</v>
      </c>
      <c r="J4" s="244" t="s">
        <v>220</v>
      </c>
      <c r="K4" s="244" t="s">
        <v>291</v>
      </c>
      <c r="L4" s="245" t="s">
        <v>104</v>
      </c>
    </row>
    <row r="5" spans="1:14">
      <c r="A5" s="174"/>
      <c r="B5" s="175"/>
      <c r="C5" s="175"/>
      <c r="D5" s="175"/>
      <c r="E5" s="175"/>
      <c r="F5" s="175"/>
      <c r="G5" s="175"/>
      <c r="H5" s="175"/>
      <c r="I5" s="175"/>
      <c r="J5" s="175"/>
      <c r="K5" s="175"/>
      <c r="L5" s="241"/>
    </row>
    <row r="6" spans="1:14" ht="44.25" customHeight="1">
      <c r="A6" s="247">
        <v>1</v>
      </c>
      <c r="B6" s="248" t="s">
        <v>292</v>
      </c>
      <c r="C6" s="328" t="s">
        <v>293</v>
      </c>
      <c r="D6" s="249" t="s">
        <v>294</v>
      </c>
      <c r="E6" s="249"/>
      <c r="F6" s="250"/>
      <c r="G6" s="250"/>
      <c r="H6" s="250"/>
      <c r="I6" s="250"/>
      <c r="J6" s="251"/>
      <c r="K6" s="251"/>
      <c r="L6" s="252"/>
    </row>
    <row r="7" spans="1:14">
      <c r="A7" s="253"/>
      <c r="B7" s="254"/>
      <c r="C7" s="254" t="s">
        <v>295</v>
      </c>
      <c r="D7" s="254"/>
      <c r="E7" s="254"/>
      <c r="F7" s="254"/>
      <c r="G7" s="254"/>
      <c r="H7" s="254"/>
      <c r="I7" s="254"/>
      <c r="J7" s="254"/>
      <c r="K7" s="254"/>
      <c r="L7" s="255"/>
    </row>
    <row r="8" spans="1:14">
      <c r="A8" s="253"/>
      <c r="B8" s="256"/>
      <c r="C8" s="257" t="s">
        <v>296</v>
      </c>
      <c r="D8" s="249"/>
      <c r="E8" s="249"/>
      <c r="F8" s="250"/>
      <c r="G8" s="250"/>
      <c r="H8" s="250"/>
      <c r="I8" s="250"/>
      <c r="J8" s="251"/>
      <c r="K8" s="251"/>
      <c r="L8" s="252"/>
    </row>
    <row r="9" spans="1:14">
      <c r="A9" s="253"/>
      <c r="B9" s="256"/>
      <c r="C9" s="257" t="s">
        <v>297</v>
      </c>
      <c r="D9" s="249"/>
      <c r="E9" s="249"/>
      <c r="F9" s="258"/>
      <c r="G9" s="258"/>
      <c r="H9" s="250"/>
      <c r="I9" s="250"/>
      <c r="J9" s="251"/>
      <c r="K9" s="251"/>
      <c r="L9" s="252"/>
    </row>
    <row r="10" spans="1:14">
      <c r="A10" s="253"/>
      <c r="B10" s="256"/>
      <c r="C10" s="256" t="s">
        <v>298</v>
      </c>
      <c r="D10" s="249"/>
      <c r="E10" s="249">
        <v>2</v>
      </c>
      <c r="F10" s="259">
        <v>2</v>
      </c>
      <c r="G10" s="258">
        <v>4.5</v>
      </c>
      <c r="H10" s="250"/>
      <c r="I10" s="250"/>
      <c r="J10" s="251">
        <f>+G10*F10*E10</f>
        <v>18</v>
      </c>
      <c r="K10" s="251"/>
      <c r="L10" s="252"/>
    </row>
    <row r="11" spans="1:14">
      <c r="A11" s="253"/>
      <c r="B11" s="256"/>
      <c r="C11" s="256" t="s">
        <v>299</v>
      </c>
      <c r="D11" s="249"/>
      <c r="E11" s="249">
        <v>2</v>
      </c>
      <c r="F11" s="259">
        <v>2</v>
      </c>
      <c r="G11" s="258">
        <v>2.5</v>
      </c>
      <c r="H11" s="250"/>
      <c r="I11" s="250"/>
      <c r="J11" s="251">
        <f>+G11*F11*E11</f>
        <v>10</v>
      </c>
      <c r="K11" s="251"/>
      <c r="L11" s="252"/>
    </row>
    <row r="12" spans="1:14">
      <c r="A12" s="253"/>
      <c r="B12" s="256"/>
      <c r="C12" s="256"/>
      <c r="D12" s="249"/>
      <c r="E12" s="249"/>
      <c r="F12" s="249"/>
      <c r="G12" s="250"/>
      <c r="H12" s="250"/>
      <c r="I12" s="250"/>
      <c r="J12" s="251"/>
      <c r="K12" s="251"/>
      <c r="L12" s="252"/>
    </row>
    <row r="13" spans="1:14">
      <c r="A13" s="253"/>
      <c r="B13" s="414" t="s">
        <v>300</v>
      </c>
      <c r="C13" s="414"/>
      <c r="D13" s="414"/>
      <c r="E13" s="414"/>
      <c r="F13" s="414"/>
      <c r="G13" s="414"/>
      <c r="H13" s="414"/>
      <c r="I13" s="254"/>
      <c r="J13" s="260">
        <f>SUM(J10:J12)</f>
        <v>28</v>
      </c>
      <c r="K13" s="251"/>
      <c r="L13" s="252"/>
    </row>
    <row r="14" spans="1:14">
      <c r="A14" s="253"/>
      <c r="B14" s="414" t="s">
        <v>301</v>
      </c>
      <c r="C14" s="414"/>
      <c r="D14" s="414"/>
      <c r="E14" s="414"/>
      <c r="F14" s="414"/>
      <c r="G14" s="414"/>
      <c r="H14" s="414"/>
      <c r="I14" s="254"/>
      <c r="J14" s="261">
        <f>+J13*6.6</f>
        <v>184.79999999999998</v>
      </c>
      <c r="K14" s="251"/>
      <c r="L14" s="252"/>
    </row>
    <row r="15" spans="1:14">
      <c r="A15" s="253"/>
      <c r="B15" s="262"/>
      <c r="C15" s="263" t="s">
        <v>302</v>
      </c>
      <c r="D15" s="264"/>
      <c r="E15" s="259">
        <v>2</v>
      </c>
      <c r="F15" s="259">
        <v>3</v>
      </c>
      <c r="G15" s="258">
        <v>4.4000000000000004</v>
      </c>
      <c r="H15" s="258"/>
      <c r="I15" s="258"/>
      <c r="J15" s="251">
        <f>+G15*F15*E15</f>
        <v>26.400000000000002</v>
      </c>
      <c r="K15" s="251"/>
      <c r="L15" s="252"/>
    </row>
    <row r="16" spans="1:14">
      <c r="A16" s="253"/>
      <c r="B16" s="262"/>
      <c r="C16" s="262"/>
      <c r="D16" s="264"/>
      <c r="E16" s="259">
        <v>2</v>
      </c>
      <c r="F16" s="259">
        <f>4*2</f>
        <v>8</v>
      </c>
      <c r="G16" s="258">
        <v>0.38500000000000001</v>
      </c>
      <c r="H16" s="258"/>
      <c r="I16" s="258"/>
      <c r="J16" s="251">
        <f>+G16*F16*E16</f>
        <v>6.16</v>
      </c>
      <c r="K16" s="251"/>
      <c r="L16" s="252"/>
    </row>
    <row r="17" spans="1:12">
      <c r="A17" s="253"/>
      <c r="B17" s="417" t="s">
        <v>300</v>
      </c>
      <c r="C17" s="417"/>
      <c r="D17" s="417"/>
      <c r="E17" s="417"/>
      <c r="F17" s="417"/>
      <c r="G17" s="417"/>
      <c r="H17" s="417"/>
      <c r="I17" s="265"/>
      <c r="J17" s="251">
        <f>SUM(J15:J16)</f>
        <v>32.56</v>
      </c>
      <c r="K17" s="251"/>
      <c r="L17" s="252"/>
    </row>
    <row r="18" spans="1:12">
      <c r="A18" s="253"/>
      <c r="B18" s="414" t="s">
        <v>303</v>
      </c>
      <c r="C18" s="414"/>
      <c r="D18" s="414"/>
      <c r="E18" s="414"/>
      <c r="F18" s="414"/>
      <c r="G18" s="414"/>
      <c r="H18" s="414"/>
      <c r="I18" s="254"/>
      <c r="J18" s="261">
        <f>+J17*4.55</f>
        <v>148.148</v>
      </c>
      <c r="K18" s="251"/>
      <c r="L18" s="252"/>
    </row>
    <row r="19" spans="1:12">
      <c r="A19" s="253"/>
      <c r="B19" s="256"/>
      <c r="C19" s="257" t="s">
        <v>304</v>
      </c>
      <c r="D19" s="256"/>
      <c r="E19" s="249"/>
      <c r="F19" s="259"/>
      <c r="G19" s="250"/>
      <c r="H19" s="250"/>
      <c r="I19" s="250"/>
      <c r="J19" s="251"/>
      <c r="K19" s="251"/>
      <c r="L19" s="252"/>
    </row>
    <row r="20" spans="1:12">
      <c r="A20" s="253"/>
      <c r="B20" s="256"/>
      <c r="C20" s="256" t="s">
        <v>305</v>
      </c>
      <c r="D20" s="256"/>
      <c r="E20" s="249">
        <v>2</v>
      </c>
      <c r="F20" s="259">
        <v>32</v>
      </c>
      <c r="G20" s="250">
        <v>0.78</v>
      </c>
      <c r="H20" s="250"/>
      <c r="I20" s="250"/>
      <c r="J20" s="251">
        <f>+G20*F20*E20</f>
        <v>49.92</v>
      </c>
      <c r="K20" s="251"/>
      <c r="L20" s="252"/>
    </row>
    <row r="21" spans="1:12">
      <c r="A21" s="253"/>
      <c r="B21" s="256"/>
      <c r="C21" s="256" t="s">
        <v>306</v>
      </c>
      <c r="D21" s="256"/>
      <c r="E21" s="249">
        <v>2</v>
      </c>
      <c r="F21" s="259">
        <v>32</v>
      </c>
      <c r="G21" s="250">
        <v>0.78</v>
      </c>
      <c r="H21" s="250"/>
      <c r="I21" s="250"/>
      <c r="J21" s="251">
        <f>+G21*F21*E21</f>
        <v>49.92</v>
      </c>
      <c r="K21" s="251"/>
      <c r="L21" s="252"/>
    </row>
    <row r="22" spans="1:12">
      <c r="A22" s="253"/>
      <c r="B22" s="414" t="s">
        <v>300</v>
      </c>
      <c r="C22" s="414"/>
      <c r="D22" s="414"/>
      <c r="E22" s="414"/>
      <c r="F22" s="414"/>
      <c r="G22" s="414"/>
      <c r="H22" s="414"/>
      <c r="I22" s="254"/>
      <c r="J22" s="260">
        <f>SUM(J20:J21)</f>
        <v>99.84</v>
      </c>
      <c r="K22" s="251"/>
      <c r="L22" s="252"/>
    </row>
    <row r="23" spans="1:12">
      <c r="A23" s="253"/>
      <c r="B23" s="414" t="s">
        <v>307</v>
      </c>
      <c r="C23" s="414"/>
      <c r="D23" s="414"/>
      <c r="E23" s="414"/>
      <c r="F23" s="414"/>
      <c r="G23" s="414"/>
      <c r="H23" s="414"/>
      <c r="I23" s="254"/>
      <c r="J23" s="261">
        <f>+J22*3.74</f>
        <v>373.40160000000003</v>
      </c>
      <c r="K23" s="251"/>
      <c r="L23" s="252"/>
    </row>
    <row r="24" spans="1:12">
      <c r="A24" s="253"/>
      <c r="B24" s="256"/>
      <c r="C24" s="256" t="s">
        <v>308</v>
      </c>
      <c r="D24" s="266"/>
      <c r="E24" s="249">
        <v>2</v>
      </c>
      <c r="F24" s="259">
        <v>2</v>
      </c>
      <c r="G24" s="250">
        <v>0.88</v>
      </c>
      <c r="H24" s="250">
        <v>4.5</v>
      </c>
      <c r="I24" s="250"/>
      <c r="J24" s="251">
        <f>+H24*G24*F24*E24</f>
        <v>15.84</v>
      </c>
      <c r="K24" s="251"/>
      <c r="L24" s="252"/>
    </row>
    <row r="25" spans="1:12">
      <c r="A25" s="253"/>
      <c r="B25" s="414" t="s">
        <v>300</v>
      </c>
      <c r="C25" s="414"/>
      <c r="D25" s="414"/>
      <c r="E25" s="414"/>
      <c r="F25" s="414"/>
      <c r="G25" s="414"/>
      <c r="H25" s="414"/>
      <c r="I25" s="254"/>
      <c r="J25" s="260">
        <f>SUM(J24)</f>
        <v>15.84</v>
      </c>
      <c r="K25" s="251"/>
      <c r="L25" s="252"/>
    </row>
    <row r="26" spans="1:12">
      <c r="A26" s="253"/>
      <c r="B26" s="414" t="s">
        <v>309</v>
      </c>
      <c r="C26" s="414"/>
      <c r="D26" s="414"/>
      <c r="E26" s="414"/>
      <c r="F26" s="414"/>
      <c r="G26" s="414"/>
      <c r="H26" s="414"/>
      <c r="I26" s="254"/>
      <c r="J26" s="261">
        <f>+J25*15.7</f>
        <v>248.68799999999999</v>
      </c>
      <c r="K26" s="251"/>
      <c r="L26" s="252"/>
    </row>
    <row r="27" spans="1:12">
      <c r="A27" s="253"/>
      <c r="B27" s="254"/>
      <c r="C27" s="250" t="s">
        <v>310</v>
      </c>
      <c r="D27" s="266"/>
      <c r="E27" s="267">
        <v>12</v>
      </c>
      <c r="F27" s="267">
        <v>1</v>
      </c>
      <c r="G27" s="250">
        <v>0.2</v>
      </c>
      <c r="H27" s="250">
        <v>0.1</v>
      </c>
      <c r="I27" s="250"/>
      <c r="J27" s="251">
        <f>+H27*G27*F27*E27</f>
        <v>0.24000000000000005</v>
      </c>
      <c r="K27" s="251"/>
      <c r="L27" s="252"/>
    </row>
    <row r="28" spans="1:12">
      <c r="A28" s="253"/>
      <c r="B28" s="254"/>
      <c r="C28" s="250"/>
      <c r="D28" s="266"/>
      <c r="E28" s="267"/>
      <c r="F28" s="267"/>
      <c r="G28" s="250"/>
      <c r="H28" s="250"/>
      <c r="I28" s="250"/>
      <c r="J28" s="251"/>
      <c r="K28" s="251"/>
      <c r="L28" s="252"/>
    </row>
    <row r="29" spans="1:12">
      <c r="A29" s="253"/>
      <c r="B29" s="414" t="s">
        <v>300</v>
      </c>
      <c r="C29" s="414"/>
      <c r="D29" s="414"/>
      <c r="E29" s="414"/>
      <c r="F29" s="414"/>
      <c r="G29" s="414"/>
      <c r="H29" s="414"/>
      <c r="I29" s="254"/>
      <c r="J29" s="260">
        <f>SUM(J27:J28)</f>
        <v>0.24000000000000005</v>
      </c>
      <c r="K29" s="251"/>
      <c r="L29" s="252"/>
    </row>
    <row r="30" spans="1:12">
      <c r="A30" s="253"/>
      <c r="B30" s="414" t="s">
        <v>311</v>
      </c>
      <c r="C30" s="414"/>
      <c r="D30" s="414"/>
      <c r="E30" s="414"/>
      <c r="F30" s="414"/>
      <c r="G30" s="414"/>
      <c r="H30" s="414"/>
      <c r="I30" s="254"/>
      <c r="J30" s="261">
        <f>+J29*94.2</f>
        <v>22.608000000000004</v>
      </c>
      <c r="K30" s="251"/>
      <c r="L30" s="252"/>
    </row>
    <row r="31" spans="1:12">
      <c r="A31" s="253"/>
      <c r="B31" s="254"/>
      <c r="C31" s="250"/>
      <c r="D31" s="267"/>
      <c r="E31" s="267"/>
      <c r="F31" s="250"/>
      <c r="G31" s="250"/>
      <c r="H31" s="250"/>
      <c r="I31" s="250"/>
      <c r="J31" s="251"/>
      <c r="K31" s="251"/>
      <c r="L31" s="252"/>
    </row>
    <row r="32" spans="1:12">
      <c r="A32" s="253"/>
      <c r="B32" s="254"/>
      <c r="C32" s="250" t="s">
        <v>312</v>
      </c>
      <c r="D32" s="266"/>
      <c r="E32" s="267">
        <v>1</v>
      </c>
      <c r="F32" s="267">
        <v>1</v>
      </c>
      <c r="G32" s="250">
        <v>15</v>
      </c>
      <c r="H32" s="250"/>
      <c r="I32" s="250"/>
      <c r="J32" s="251">
        <f>+G32*F32*E32</f>
        <v>15</v>
      </c>
      <c r="K32" s="251"/>
      <c r="L32" s="252"/>
    </row>
    <row r="33" spans="1:12">
      <c r="A33" s="253"/>
      <c r="B33" s="414" t="s">
        <v>300</v>
      </c>
      <c r="C33" s="414"/>
      <c r="D33" s="414"/>
      <c r="E33" s="414"/>
      <c r="F33" s="414"/>
      <c r="G33" s="414"/>
      <c r="H33" s="414"/>
      <c r="I33" s="254"/>
      <c r="J33" s="260">
        <f>SUM(J31:J32)</f>
        <v>15</v>
      </c>
      <c r="K33" s="251"/>
      <c r="L33" s="252"/>
    </row>
    <row r="34" spans="1:12">
      <c r="A34" s="253"/>
      <c r="B34" s="414" t="s">
        <v>313</v>
      </c>
      <c r="C34" s="414"/>
      <c r="D34" s="414"/>
      <c r="E34" s="414"/>
      <c r="F34" s="414"/>
      <c r="G34" s="414"/>
      <c r="H34" s="414"/>
      <c r="I34" s="254"/>
      <c r="J34" s="261">
        <f>+J33*13</f>
        <v>195</v>
      </c>
      <c r="K34" s="251"/>
      <c r="L34" s="252"/>
    </row>
    <row r="35" spans="1:12">
      <c r="A35" s="253"/>
      <c r="B35" s="254"/>
      <c r="C35" s="250" t="s">
        <v>314</v>
      </c>
      <c r="D35" s="266"/>
      <c r="E35" s="267">
        <v>1</v>
      </c>
      <c r="F35" s="267">
        <v>2</v>
      </c>
      <c r="G35" s="250">
        <v>2.5</v>
      </c>
      <c r="H35" s="250"/>
      <c r="I35" s="250"/>
      <c r="J35" s="251">
        <f>+G35*F35*E35</f>
        <v>5</v>
      </c>
      <c r="K35" s="251"/>
      <c r="L35" s="252"/>
    </row>
    <row r="36" spans="1:12">
      <c r="A36" s="253"/>
      <c r="B36" s="254"/>
      <c r="C36" s="250" t="s">
        <v>315</v>
      </c>
      <c r="D36" s="266"/>
      <c r="E36" s="267">
        <v>1</v>
      </c>
      <c r="F36" s="267">
        <v>1</v>
      </c>
      <c r="G36" s="250">
        <v>0.45</v>
      </c>
      <c r="H36" s="250"/>
      <c r="I36" s="250"/>
      <c r="J36" s="251">
        <f>+G36*F36*E36</f>
        <v>0.45</v>
      </c>
      <c r="K36" s="251"/>
      <c r="L36" s="252"/>
    </row>
    <row r="37" spans="1:12">
      <c r="A37" s="253"/>
      <c r="B37" s="414" t="s">
        <v>300</v>
      </c>
      <c r="C37" s="414"/>
      <c r="D37" s="414"/>
      <c r="E37" s="414"/>
      <c r="F37" s="414"/>
      <c r="G37" s="414"/>
      <c r="H37" s="414"/>
      <c r="I37" s="254"/>
      <c r="J37" s="260">
        <f>SUM(J35:J36)</f>
        <v>5.45</v>
      </c>
      <c r="K37" s="251"/>
      <c r="L37" s="252"/>
    </row>
    <row r="38" spans="1:12">
      <c r="A38" s="253"/>
      <c r="B38" s="414" t="s">
        <v>316</v>
      </c>
      <c r="C38" s="414"/>
      <c r="D38" s="414"/>
      <c r="E38" s="414"/>
      <c r="F38" s="414"/>
      <c r="G38" s="414"/>
      <c r="H38" s="414"/>
      <c r="I38" s="254"/>
      <c r="J38" s="261">
        <f>+J37*9.2</f>
        <v>50.14</v>
      </c>
      <c r="K38" s="251"/>
      <c r="L38" s="252"/>
    </row>
    <row r="39" spans="1:12">
      <c r="A39" s="253"/>
      <c r="B39" s="254"/>
      <c r="C39" s="256" t="s">
        <v>317</v>
      </c>
      <c r="D39" s="266"/>
      <c r="E39" s="267">
        <v>2</v>
      </c>
      <c r="F39" s="267">
        <v>2</v>
      </c>
      <c r="G39" s="250">
        <v>2.8159999999999998</v>
      </c>
      <c r="H39" s="250"/>
      <c r="I39" s="250"/>
      <c r="J39" s="251">
        <f>+G39*F39*E39</f>
        <v>11.263999999999999</v>
      </c>
      <c r="K39" s="251"/>
      <c r="L39" s="252"/>
    </row>
    <row r="40" spans="1:12">
      <c r="A40" s="253"/>
      <c r="B40" s="254"/>
      <c r="C40" s="250" t="s">
        <v>318</v>
      </c>
      <c r="D40" s="266"/>
      <c r="E40" s="267">
        <v>2</v>
      </c>
      <c r="F40" s="267">
        <v>1</v>
      </c>
      <c r="G40" s="250">
        <v>0.4</v>
      </c>
      <c r="H40" s="250"/>
      <c r="I40" s="250"/>
      <c r="J40" s="251">
        <f>+G40*F40*E40</f>
        <v>0.8</v>
      </c>
      <c r="K40" s="251"/>
      <c r="L40" s="252"/>
    </row>
    <row r="41" spans="1:12">
      <c r="A41" s="253"/>
      <c r="B41" s="414" t="s">
        <v>300</v>
      </c>
      <c r="C41" s="414"/>
      <c r="D41" s="414"/>
      <c r="E41" s="414"/>
      <c r="F41" s="414"/>
      <c r="G41" s="414"/>
      <c r="H41" s="414"/>
      <c r="I41" s="254"/>
      <c r="J41" s="260">
        <f>SUM(J39:J40)</f>
        <v>12.064</v>
      </c>
      <c r="K41" s="251"/>
      <c r="L41" s="252"/>
    </row>
    <row r="42" spans="1:12">
      <c r="A42" s="253"/>
      <c r="B42" s="414" t="s">
        <v>319</v>
      </c>
      <c r="C42" s="414"/>
      <c r="D42" s="414"/>
      <c r="E42" s="414"/>
      <c r="F42" s="414"/>
      <c r="G42" s="414"/>
      <c r="H42" s="414"/>
      <c r="I42" s="254"/>
      <c r="J42" s="261">
        <f>+J41*6.6</f>
        <v>79.622399999999999</v>
      </c>
      <c r="K42" s="251"/>
      <c r="L42" s="252"/>
    </row>
    <row r="43" spans="1:12">
      <c r="A43" s="253"/>
      <c r="B43" s="254"/>
      <c r="C43" s="254" t="s">
        <v>320</v>
      </c>
      <c r="D43" s="254"/>
      <c r="E43" s="254"/>
      <c r="F43" s="254"/>
      <c r="G43" s="254"/>
      <c r="H43" s="254"/>
      <c r="I43" s="254"/>
      <c r="J43" s="254"/>
      <c r="K43" s="251"/>
      <c r="L43" s="252"/>
    </row>
    <row r="44" spans="1:12">
      <c r="A44" s="253"/>
      <c r="B44" s="254"/>
      <c r="C44" s="254" t="s">
        <v>321</v>
      </c>
      <c r="D44" s="266"/>
      <c r="E44" s="254">
        <v>1</v>
      </c>
      <c r="F44" s="268">
        <v>2</v>
      </c>
      <c r="G44" s="254">
        <v>6</v>
      </c>
      <c r="H44" s="254"/>
      <c r="I44" s="254"/>
      <c r="J44" s="251">
        <f>+G44*F44*E44</f>
        <v>12</v>
      </c>
      <c r="K44" s="251"/>
      <c r="L44" s="252"/>
    </row>
    <row r="45" spans="1:12">
      <c r="A45" s="253"/>
      <c r="B45" s="254"/>
      <c r="C45" s="254"/>
      <c r="D45" s="266"/>
      <c r="E45" s="254">
        <v>2</v>
      </c>
      <c r="F45" s="268">
        <v>20</v>
      </c>
      <c r="G45" s="254">
        <v>0.125</v>
      </c>
      <c r="H45" s="254"/>
      <c r="I45" s="254"/>
      <c r="J45" s="251">
        <f>+G45*F45*E45</f>
        <v>5</v>
      </c>
      <c r="K45" s="251"/>
      <c r="L45" s="252"/>
    </row>
    <row r="46" spans="1:12">
      <c r="A46" s="253"/>
      <c r="B46" s="254"/>
      <c r="C46" s="254"/>
      <c r="D46" s="254"/>
      <c r="E46" s="254"/>
      <c r="F46" s="254"/>
      <c r="G46" s="254"/>
      <c r="H46" s="254"/>
      <c r="I46" s="254"/>
      <c r="J46" s="260">
        <f>SUM(J44:J45)</f>
        <v>17</v>
      </c>
      <c r="K46" s="251"/>
      <c r="L46" s="252"/>
    </row>
    <row r="47" spans="1:12">
      <c r="A47" s="253"/>
      <c r="B47" s="254"/>
      <c r="C47" s="254"/>
      <c r="D47" s="254"/>
      <c r="E47" s="254" t="s">
        <v>322</v>
      </c>
      <c r="F47" s="254"/>
      <c r="G47" s="254"/>
      <c r="H47" s="254" t="s">
        <v>323</v>
      </c>
      <c r="I47" s="254"/>
      <c r="J47" s="261">
        <f>+J46*4.5</f>
        <v>76.5</v>
      </c>
      <c r="K47" s="251"/>
      <c r="L47" s="252"/>
    </row>
    <row r="48" spans="1:12">
      <c r="A48" s="253"/>
      <c r="B48" s="254"/>
      <c r="C48" s="254"/>
      <c r="D48" s="254"/>
      <c r="E48" s="254"/>
      <c r="F48" s="254"/>
      <c r="G48" s="254"/>
      <c r="H48" s="254"/>
      <c r="I48" s="254"/>
      <c r="J48" s="254"/>
      <c r="K48" s="251"/>
      <c r="L48" s="252"/>
    </row>
    <row r="49" spans="1:12">
      <c r="A49" s="269"/>
      <c r="B49" s="270"/>
      <c r="C49" s="412" t="s">
        <v>324</v>
      </c>
      <c r="D49" s="412"/>
      <c r="E49" s="412"/>
      <c r="F49" s="412"/>
      <c r="G49" s="412"/>
      <c r="H49" s="271"/>
      <c r="I49" s="271"/>
      <c r="J49" s="272">
        <f>+J14+J18+J23+J26+J30+J34+J38+J42+J47</f>
        <v>1378.9080000000001</v>
      </c>
      <c r="K49" s="272"/>
      <c r="L49" s="273"/>
    </row>
    <row r="50" spans="1:12">
      <c r="A50" s="253"/>
      <c r="B50" s="274"/>
      <c r="C50" s="257" t="s">
        <v>325</v>
      </c>
      <c r="D50" s="249"/>
      <c r="E50" s="249"/>
      <c r="F50" s="250"/>
      <c r="G50" s="250"/>
      <c r="H50" s="250"/>
      <c r="I50" s="250"/>
      <c r="J50" s="251"/>
      <c r="K50" s="251"/>
      <c r="L50" s="252"/>
    </row>
    <row r="51" spans="1:12">
      <c r="A51" s="253"/>
      <c r="B51" s="256"/>
      <c r="C51" s="256" t="s">
        <v>326</v>
      </c>
      <c r="D51" s="249"/>
      <c r="E51" s="249">
        <v>1</v>
      </c>
      <c r="F51" s="249">
        <v>2</v>
      </c>
      <c r="G51" s="250">
        <v>1.08</v>
      </c>
      <c r="H51" s="250"/>
      <c r="I51" s="250"/>
      <c r="J51" s="251">
        <f>+G51*F51*E51</f>
        <v>2.16</v>
      </c>
      <c r="K51" s="251"/>
      <c r="L51" s="252"/>
    </row>
    <row r="52" spans="1:12">
      <c r="A52" s="253"/>
      <c r="B52" s="256"/>
      <c r="C52" s="256"/>
      <c r="D52" s="249"/>
      <c r="E52" s="249">
        <v>1</v>
      </c>
      <c r="F52" s="249">
        <v>2</v>
      </c>
      <c r="G52" s="250">
        <v>2.5</v>
      </c>
      <c r="H52" s="250"/>
      <c r="I52" s="250"/>
      <c r="J52" s="251">
        <f>+G52*F52*E52</f>
        <v>5</v>
      </c>
      <c r="K52" s="251"/>
      <c r="L52" s="252"/>
    </row>
    <row r="53" spans="1:12">
      <c r="A53" s="253"/>
      <c r="B53" s="414" t="s">
        <v>300</v>
      </c>
      <c r="C53" s="414"/>
      <c r="D53" s="414"/>
      <c r="E53" s="414"/>
      <c r="F53" s="414"/>
      <c r="G53" s="414"/>
      <c r="H53" s="414"/>
      <c r="I53" s="254"/>
      <c r="J53" s="260">
        <f>SUM(J51:J52)</f>
        <v>7.16</v>
      </c>
      <c r="K53" s="251"/>
      <c r="L53" s="252"/>
    </row>
    <row r="54" spans="1:12">
      <c r="A54" s="253"/>
      <c r="B54" s="414" t="s">
        <v>327</v>
      </c>
      <c r="C54" s="414"/>
      <c r="D54" s="414"/>
      <c r="E54" s="414"/>
      <c r="F54" s="414"/>
      <c r="G54" s="414"/>
      <c r="H54" s="414"/>
      <c r="I54" s="254"/>
      <c r="J54" s="261">
        <f>+J53*6.6</f>
        <v>47.256</v>
      </c>
      <c r="K54" s="251"/>
      <c r="L54" s="252"/>
    </row>
    <row r="55" spans="1:12">
      <c r="A55" s="253"/>
      <c r="B55" s="256"/>
      <c r="C55" s="263" t="s">
        <v>302</v>
      </c>
      <c r="D55" s="266"/>
      <c r="E55" s="249">
        <v>1</v>
      </c>
      <c r="F55" s="249">
        <v>3</v>
      </c>
      <c r="G55" s="250">
        <v>0.98</v>
      </c>
      <c r="H55" s="250"/>
      <c r="I55" s="250"/>
      <c r="J55" s="251">
        <f>+G55*F55*E55</f>
        <v>2.94</v>
      </c>
      <c r="K55" s="251"/>
      <c r="L55" s="252"/>
    </row>
    <row r="56" spans="1:12">
      <c r="A56" s="253"/>
      <c r="B56" s="256"/>
      <c r="C56" s="256"/>
      <c r="D56" s="266"/>
      <c r="E56" s="249">
        <v>1</v>
      </c>
      <c r="F56" s="249">
        <v>2</v>
      </c>
      <c r="G56" s="250">
        <v>0.38</v>
      </c>
      <c r="H56" s="250"/>
      <c r="I56" s="250"/>
      <c r="J56" s="251">
        <f>+G56*F56*E56</f>
        <v>0.76</v>
      </c>
      <c r="K56" s="251"/>
      <c r="L56" s="252"/>
    </row>
    <row r="57" spans="1:12">
      <c r="A57" s="253"/>
      <c r="B57" s="414" t="s">
        <v>300</v>
      </c>
      <c r="C57" s="414"/>
      <c r="D57" s="414"/>
      <c r="E57" s="414"/>
      <c r="F57" s="414"/>
      <c r="G57" s="414"/>
      <c r="H57" s="414"/>
      <c r="I57" s="254"/>
      <c r="J57" s="260">
        <f>SUM(J55:J56)</f>
        <v>3.7</v>
      </c>
      <c r="K57" s="251"/>
      <c r="L57" s="252"/>
    </row>
    <row r="58" spans="1:12">
      <c r="A58" s="253"/>
      <c r="B58" s="414" t="s">
        <v>328</v>
      </c>
      <c r="C58" s="414"/>
      <c r="D58" s="414"/>
      <c r="E58" s="414"/>
      <c r="F58" s="414"/>
      <c r="G58" s="414"/>
      <c r="H58" s="414"/>
      <c r="I58" s="254"/>
      <c r="J58" s="261">
        <f>+J57*4.55</f>
        <v>16.835000000000001</v>
      </c>
      <c r="K58" s="251"/>
      <c r="L58" s="252"/>
    </row>
    <row r="59" spans="1:12">
      <c r="A59" s="253"/>
      <c r="B59" s="256"/>
      <c r="C59" s="257" t="s">
        <v>304</v>
      </c>
      <c r="D59" s="266"/>
      <c r="E59" s="249">
        <v>1</v>
      </c>
      <c r="F59" s="249">
        <v>12</v>
      </c>
      <c r="G59" s="250">
        <v>0.76700000000000002</v>
      </c>
      <c r="H59" s="250"/>
      <c r="I59" s="250"/>
      <c r="J59" s="251">
        <f>+G59*F59*E59</f>
        <v>9.2040000000000006</v>
      </c>
      <c r="K59" s="251"/>
      <c r="L59" s="252"/>
    </row>
    <row r="60" spans="1:12">
      <c r="A60" s="253"/>
      <c r="B60" s="414" t="s">
        <v>300</v>
      </c>
      <c r="C60" s="414"/>
      <c r="D60" s="414"/>
      <c r="E60" s="414"/>
      <c r="F60" s="414"/>
      <c r="G60" s="414"/>
      <c r="H60" s="414"/>
      <c r="I60" s="254"/>
      <c r="J60" s="275">
        <f>SUM(J59)</f>
        <v>9.2040000000000006</v>
      </c>
      <c r="K60" s="251"/>
      <c r="L60" s="252"/>
    </row>
    <row r="61" spans="1:12">
      <c r="A61" s="253"/>
      <c r="B61" s="414" t="s">
        <v>329</v>
      </c>
      <c r="C61" s="414"/>
      <c r="D61" s="414"/>
      <c r="E61" s="414"/>
      <c r="F61" s="414"/>
      <c r="G61" s="414"/>
      <c r="H61" s="414"/>
      <c r="I61" s="254"/>
      <c r="J61" s="276">
        <f>+J60*3.74</f>
        <v>34.422960000000003</v>
      </c>
      <c r="K61" s="251"/>
      <c r="L61" s="252"/>
    </row>
    <row r="62" spans="1:12">
      <c r="A62" s="253"/>
      <c r="B62" s="256"/>
      <c r="C62" s="256" t="s">
        <v>308</v>
      </c>
      <c r="D62" s="266"/>
      <c r="E62" s="249">
        <v>1</v>
      </c>
      <c r="F62" s="249">
        <v>2</v>
      </c>
      <c r="G62" s="250">
        <v>0.87</v>
      </c>
      <c r="H62" s="250">
        <v>1.08</v>
      </c>
      <c r="I62" s="250"/>
      <c r="J62" s="251">
        <f>+H62*G62*F62*E62</f>
        <v>1.8792000000000002</v>
      </c>
      <c r="K62" s="251"/>
      <c r="L62" s="252"/>
    </row>
    <row r="63" spans="1:12">
      <c r="A63" s="253"/>
      <c r="B63" s="414" t="s">
        <v>300</v>
      </c>
      <c r="C63" s="414"/>
      <c r="D63" s="414"/>
      <c r="E63" s="414"/>
      <c r="F63" s="414"/>
      <c r="G63" s="414"/>
      <c r="H63" s="414"/>
      <c r="I63" s="254"/>
      <c r="J63" s="260">
        <f>SUM(J62)</f>
        <v>1.8792000000000002</v>
      </c>
      <c r="K63" s="251"/>
      <c r="L63" s="252"/>
    </row>
    <row r="64" spans="1:12">
      <c r="A64" s="253"/>
      <c r="B64" s="414" t="s">
        <v>330</v>
      </c>
      <c r="C64" s="414"/>
      <c r="D64" s="414"/>
      <c r="E64" s="414"/>
      <c r="F64" s="414"/>
      <c r="G64" s="414"/>
      <c r="H64" s="414"/>
      <c r="I64" s="254"/>
      <c r="J64" s="261">
        <f>+J63*15.7</f>
        <v>29.503440000000001</v>
      </c>
      <c r="K64" s="251"/>
      <c r="L64" s="252"/>
    </row>
    <row r="65" spans="1:12">
      <c r="A65" s="253"/>
      <c r="B65" s="254"/>
      <c r="C65" s="250" t="s">
        <v>331</v>
      </c>
      <c r="D65" s="266"/>
      <c r="E65" s="267">
        <v>1</v>
      </c>
      <c r="F65" s="267">
        <v>2</v>
      </c>
      <c r="G65" s="250">
        <v>0.2</v>
      </c>
      <c r="H65" s="250">
        <v>0.1</v>
      </c>
      <c r="I65" s="250"/>
      <c r="J65" s="251">
        <f>+H65*G65*F65*E65</f>
        <v>4.0000000000000008E-2</v>
      </c>
      <c r="K65" s="251"/>
      <c r="L65" s="252"/>
    </row>
    <row r="66" spans="1:12">
      <c r="A66" s="253"/>
      <c r="B66" s="414" t="s">
        <v>332</v>
      </c>
      <c r="C66" s="414"/>
      <c r="D66" s="414"/>
      <c r="E66" s="414"/>
      <c r="F66" s="414"/>
      <c r="G66" s="414"/>
      <c r="H66" s="414"/>
      <c r="I66" s="254"/>
      <c r="J66" s="260">
        <f>SUM(J65:J65)</f>
        <v>4.0000000000000008E-2</v>
      </c>
      <c r="K66" s="251"/>
      <c r="L66" s="252"/>
    </row>
    <row r="67" spans="1:12">
      <c r="A67" s="253"/>
      <c r="B67" s="414" t="s">
        <v>333</v>
      </c>
      <c r="C67" s="414"/>
      <c r="D67" s="414"/>
      <c r="E67" s="414"/>
      <c r="F67" s="414"/>
      <c r="G67" s="414"/>
      <c r="H67" s="414"/>
      <c r="I67" s="254"/>
      <c r="J67" s="261">
        <f>+J66*94.2</f>
        <v>3.7680000000000007</v>
      </c>
      <c r="K67" s="251"/>
      <c r="L67" s="252"/>
    </row>
    <row r="68" spans="1:12">
      <c r="A68" s="253"/>
      <c r="B68" s="254"/>
      <c r="C68" s="250" t="s">
        <v>334</v>
      </c>
      <c r="D68" s="266"/>
      <c r="E68" s="250">
        <v>1</v>
      </c>
      <c r="F68" s="250">
        <v>1</v>
      </c>
      <c r="G68" s="250">
        <v>16</v>
      </c>
      <c r="H68" s="254"/>
      <c r="I68" s="254"/>
      <c r="J68" s="251">
        <f>+G68*F68*E68</f>
        <v>16</v>
      </c>
      <c r="K68" s="261"/>
      <c r="L68" s="252"/>
    </row>
    <row r="69" spans="1:12">
      <c r="A69" s="277"/>
      <c r="B69" s="254"/>
      <c r="C69" s="250" t="s">
        <v>335</v>
      </c>
      <c r="D69" s="266"/>
      <c r="E69" s="250">
        <v>4</v>
      </c>
      <c r="F69" s="250">
        <v>1</v>
      </c>
      <c r="G69" s="250">
        <v>0.9</v>
      </c>
      <c r="H69" s="254"/>
      <c r="I69" s="254"/>
      <c r="J69" s="251">
        <f>+G69*F69*E69</f>
        <v>3.6</v>
      </c>
      <c r="K69" s="251"/>
      <c r="L69" s="252"/>
    </row>
    <row r="70" spans="1:12">
      <c r="A70" s="253"/>
      <c r="B70" s="414" t="s">
        <v>300</v>
      </c>
      <c r="C70" s="414"/>
      <c r="D70" s="414"/>
      <c r="E70" s="414"/>
      <c r="F70" s="414"/>
      <c r="G70" s="414"/>
      <c r="H70" s="414"/>
      <c r="I70" s="254"/>
      <c r="J70" s="260">
        <f>SUM(J68:J69)</f>
        <v>19.600000000000001</v>
      </c>
      <c r="K70" s="251"/>
      <c r="L70" s="252"/>
    </row>
    <row r="71" spans="1:12">
      <c r="A71" s="253"/>
      <c r="B71" s="414" t="s">
        <v>336</v>
      </c>
      <c r="C71" s="414"/>
      <c r="D71" s="414"/>
      <c r="E71" s="414"/>
      <c r="F71" s="414"/>
      <c r="G71" s="414"/>
      <c r="H71" s="414"/>
      <c r="I71" s="254"/>
      <c r="J71" s="261">
        <f>+J70*1.58</f>
        <v>30.968000000000004</v>
      </c>
      <c r="K71" s="251"/>
      <c r="L71" s="252"/>
    </row>
    <row r="72" spans="1:12">
      <c r="A72" s="253"/>
      <c r="B72" s="254"/>
      <c r="C72" s="250" t="s">
        <v>337</v>
      </c>
      <c r="D72" s="266"/>
      <c r="E72" s="250">
        <v>4</v>
      </c>
      <c r="F72" s="250">
        <v>1</v>
      </c>
      <c r="G72" s="250">
        <v>0.45</v>
      </c>
      <c r="H72" s="254"/>
      <c r="I72" s="254"/>
      <c r="J72" s="251">
        <f>+G72*F72*E72</f>
        <v>1.8</v>
      </c>
      <c r="K72" s="251"/>
      <c r="L72" s="252"/>
    </row>
    <row r="73" spans="1:12">
      <c r="A73" s="253"/>
      <c r="B73" s="414" t="s">
        <v>300</v>
      </c>
      <c r="C73" s="414"/>
      <c r="D73" s="414"/>
      <c r="E73" s="414"/>
      <c r="F73" s="414"/>
      <c r="G73" s="414"/>
      <c r="H73" s="414"/>
      <c r="I73" s="254"/>
      <c r="J73" s="260">
        <f>SUM(J72:J72)</f>
        <v>1.8</v>
      </c>
      <c r="K73" s="251"/>
      <c r="L73" s="252"/>
    </row>
    <row r="74" spans="1:12">
      <c r="A74" s="253"/>
      <c r="B74" s="414" t="s">
        <v>338</v>
      </c>
      <c r="C74" s="414"/>
      <c r="D74" s="414"/>
      <c r="E74" s="414"/>
      <c r="F74" s="414"/>
      <c r="G74" s="414"/>
      <c r="H74" s="414"/>
      <c r="I74" s="254"/>
      <c r="J74" s="261">
        <f>+J73*3.856</f>
        <v>6.9408000000000003</v>
      </c>
      <c r="K74" s="251"/>
      <c r="L74" s="252"/>
    </row>
    <row r="75" spans="1:12">
      <c r="A75" s="253"/>
      <c r="B75" s="254"/>
      <c r="C75" s="250" t="s">
        <v>339</v>
      </c>
      <c r="D75" s="266"/>
      <c r="E75" s="250">
        <v>4</v>
      </c>
      <c r="F75" s="250">
        <v>1</v>
      </c>
      <c r="G75" s="250">
        <v>0.3</v>
      </c>
      <c r="H75" s="254"/>
      <c r="I75" s="254"/>
      <c r="J75" s="251">
        <f>+G75*F75*E75</f>
        <v>1.2</v>
      </c>
      <c r="K75" s="251"/>
      <c r="L75" s="252"/>
    </row>
    <row r="76" spans="1:12">
      <c r="A76" s="253"/>
      <c r="B76" s="254"/>
      <c r="C76" s="250" t="s">
        <v>340</v>
      </c>
      <c r="D76" s="266"/>
      <c r="E76" s="250">
        <v>2</v>
      </c>
      <c r="F76" s="250">
        <v>1</v>
      </c>
      <c r="G76" s="250">
        <v>0.1</v>
      </c>
      <c r="H76" s="254"/>
      <c r="I76" s="254"/>
      <c r="J76" s="251">
        <f>+G76*F76*E76</f>
        <v>0.2</v>
      </c>
      <c r="K76" s="251"/>
      <c r="L76" s="252"/>
    </row>
    <row r="77" spans="1:12">
      <c r="A77" s="253"/>
      <c r="B77" s="254"/>
      <c r="C77" s="250" t="s">
        <v>341</v>
      </c>
      <c r="D77" s="266"/>
      <c r="E77" s="250">
        <v>4</v>
      </c>
      <c r="F77" s="250">
        <v>1</v>
      </c>
      <c r="G77" s="250">
        <v>0.1</v>
      </c>
      <c r="H77" s="254"/>
      <c r="I77" s="254"/>
      <c r="J77" s="251">
        <f>+G77*F77*E77</f>
        <v>0.4</v>
      </c>
      <c r="K77" s="251"/>
      <c r="L77" s="252"/>
    </row>
    <row r="78" spans="1:12">
      <c r="A78" s="253"/>
      <c r="B78" s="414" t="s">
        <v>300</v>
      </c>
      <c r="C78" s="414"/>
      <c r="D78" s="414"/>
      <c r="E78" s="414"/>
      <c r="F78" s="414"/>
      <c r="G78" s="414"/>
      <c r="H78" s="414"/>
      <c r="I78" s="254"/>
      <c r="J78" s="260">
        <f>SUM(J75:J77)</f>
        <v>1.7999999999999998</v>
      </c>
      <c r="K78" s="251"/>
      <c r="L78" s="252"/>
    </row>
    <row r="79" spans="1:12">
      <c r="A79" s="253"/>
      <c r="B79" s="414" t="s">
        <v>342</v>
      </c>
      <c r="C79" s="414"/>
      <c r="D79" s="414"/>
      <c r="E79" s="414"/>
      <c r="F79" s="414"/>
      <c r="G79" s="414"/>
      <c r="H79" s="414"/>
      <c r="I79" s="254"/>
      <c r="J79" s="261">
        <f>+J78*3.5</f>
        <v>6.2999999999999989</v>
      </c>
      <c r="K79" s="251"/>
      <c r="L79" s="252"/>
    </row>
    <row r="80" spans="1:12">
      <c r="A80" s="253"/>
      <c r="B80" s="254"/>
      <c r="C80" s="250" t="s">
        <v>343</v>
      </c>
      <c r="D80" s="266"/>
      <c r="E80" s="267">
        <v>1</v>
      </c>
      <c r="F80" s="267">
        <v>2</v>
      </c>
      <c r="G80" s="250">
        <v>2.5</v>
      </c>
      <c r="H80" s="254"/>
      <c r="I80" s="254"/>
      <c r="J80" s="251">
        <f>+G80*F80*E80</f>
        <v>5</v>
      </c>
      <c r="K80" s="251"/>
      <c r="L80" s="252"/>
    </row>
    <row r="81" spans="1:12">
      <c r="A81" s="253"/>
      <c r="B81" s="254"/>
      <c r="C81" s="254"/>
      <c r="D81" s="254"/>
      <c r="E81" s="254"/>
      <c r="F81" s="254"/>
      <c r="G81" s="254"/>
      <c r="H81" s="254" t="s">
        <v>300</v>
      </c>
      <c r="I81" s="254"/>
      <c r="J81" s="260">
        <f>SUM(J80:J80)</f>
        <v>5</v>
      </c>
      <c r="K81" s="251"/>
      <c r="L81" s="252"/>
    </row>
    <row r="82" spans="1:12">
      <c r="A82" s="253"/>
      <c r="B82" s="254"/>
      <c r="C82" s="254"/>
      <c r="D82" s="254"/>
      <c r="E82" s="254" t="s">
        <v>344</v>
      </c>
      <c r="F82" s="254"/>
      <c r="G82" s="254"/>
      <c r="H82" s="254" t="s">
        <v>323</v>
      </c>
      <c r="I82" s="254"/>
      <c r="J82" s="261">
        <f>+J81*9.2</f>
        <v>46</v>
      </c>
      <c r="K82" s="251"/>
      <c r="L82" s="252"/>
    </row>
    <row r="83" spans="1:12">
      <c r="A83" s="277"/>
      <c r="B83" s="254"/>
      <c r="C83" s="254"/>
      <c r="D83" s="254"/>
      <c r="E83" s="254"/>
      <c r="F83" s="254"/>
      <c r="G83" s="254"/>
      <c r="H83" s="254"/>
      <c r="I83" s="254"/>
      <c r="J83" s="251"/>
      <c r="K83" s="251"/>
      <c r="L83" s="252"/>
    </row>
    <row r="84" spans="1:12">
      <c r="A84" s="269"/>
      <c r="B84" s="270"/>
      <c r="C84" s="412" t="s">
        <v>345</v>
      </c>
      <c r="D84" s="412"/>
      <c r="E84" s="412"/>
      <c r="F84" s="412"/>
      <c r="G84" s="412"/>
      <c r="H84" s="271"/>
      <c r="I84" s="271"/>
      <c r="J84" s="272">
        <f>+J54+J58+J61+J64+J67+J71+J74+J79+J82</f>
        <v>221.99420000000001</v>
      </c>
      <c r="K84" s="272"/>
      <c r="L84" s="273"/>
    </row>
    <row r="85" spans="1:12">
      <c r="A85" s="278"/>
      <c r="B85" s="254"/>
      <c r="C85" s="254"/>
      <c r="D85" s="254"/>
      <c r="E85" s="254"/>
      <c r="F85" s="254"/>
      <c r="G85" s="254"/>
      <c r="H85" s="254"/>
      <c r="I85" s="254"/>
      <c r="J85" s="254"/>
      <c r="K85" s="254"/>
      <c r="L85" s="255"/>
    </row>
    <row r="86" spans="1:12">
      <c r="A86" s="278"/>
      <c r="B86" s="254"/>
      <c r="C86" s="254"/>
      <c r="D86" s="254"/>
      <c r="E86" s="254"/>
      <c r="F86" s="254"/>
      <c r="G86" s="254"/>
      <c r="H86" s="254"/>
      <c r="I86" s="254"/>
      <c r="J86" s="254"/>
      <c r="K86" s="254"/>
      <c r="L86" s="255"/>
    </row>
    <row r="87" spans="1:12">
      <c r="A87" s="279"/>
      <c r="B87" s="280"/>
      <c r="C87" s="412" t="s">
        <v>346</v>
      </c>
      <c r="D87" s="412"/>
      <c r="E87" s="412"/>
      <c r="F87" s="412"/>
      <c r="G87" s="412"/>
      <c r="H87" s="281"/>
      <c r="I87" s="281"/>
      <c r="J87" s="282">
        <f>+J49+J84</f>
        <v>1600.9022000000002</v>
      </c>
      <c r="K87" s="283">
        <v>141.04</v>
      </c>
      <c r="L87" s="273">
        <f>+J87*K87</f>
        <v>225791.24628800002</v>
      </c>
    </row>
    <row r="88" spans="1:12">
      <c r="A88" s="284"/>
      <c r="B88" s="285"/>
      <c r="C88" s="286" t="s">
        <v>347</v>
      </c>
      <c r="D88" s="287"/>
      <c r="E88" s="288"/>
      <c r="F88" s="286"/>
      <c r="G88" s="286"/>
      <c r="H88" s="286"/>
      <c r="I88" s="287"/>
      <c r="J88" s="287"/>
      <c r="K88" s="287"/>
      <c r="L88" s="289"/>
    </row>
    <row r="89" spans="1:12">
      <c r="A89" s="284"/>
      <c r="B89" s="285"/>
      <c r="C89" s="290"/>
      <c r="D89" s="287"/>
      <c r="E89" s="288"/>
      <c r="F89" s="286"/>
      <c r="G89" s="286"/>
      <c r="H89" s="286"/>
      <c r="I89" s="287"/>
      <c r="J89" s="287"/>
      <c r="K89" s="287"/>
      <c r="L89" s="289"/>
    </row>
    <row r="90" spans="1:12">
      <c r="A90" s="284">
        <v>5</v>
      </c>
      <c r="B90" s="285" t="s">
        <v>348</v>
      </c>
      <c r="C90" s="286" t="s">
        <v>349</v>
      </c>
      <c r="D90" s="287" t="s">
        <v>120</v>
      </c>
      <c r="E90" s="288">
        <v>2</v>
      </c>
      <c r="F90" s="286">
        <v>1</v>
      </c>
      <c r="G90" s="286">
        <v>1.75</v>
      </c>
      <c r="H90" s="288">
        <v>1.75</v>
      </c>
      <c r="I90" s="287">
        <v>0.2</v>
      </c>
      <c r="J90" s="287">
        <f>+E90*G90*H90*I90</f>
        <v>1.2250000000000001</v>
      </c>
      <c r="K90" s="291"/>
      <c r="L90" s="292"/>
    </row>
    <row r="91" spans="1:12">
      <c r="A91" s="284"/>
      <c r="B91" s="285"/>
      <c r="C91" s="286"/>
      <c r="D91" s="287"/>
      <c r="E91" s="288"/>
      <c r="F91" s="286"/>
      <c r="G91" s="286"/>
      <c r="H91" s="288"/>
      <c r="I91" s="287" t="s">
        <v>110</v>
      </c>
      <c r="J91" s="287">
        <v>1.5</v>
      </c>
      <c r="K91" s="287">
        <v>4478.1499999999996</v>
      </c>
      <c r="L91" s="289">
        <f>+J91*K91</f>
        <v>6717.2249999999995</v>
      </c>
    </row>
    <row r="92" spans="1:12">
      <c r="A92" s="284"/>
      <c r="B92" s="285"/>
      <c r="C92" s="286"/>
      <c r="D92" s="287"/>
      <c r="E92" s="288"/>
      <c r="F92" s="286"/>
      <c r="G92" s="286"/>
      <c r="H92" s="288"/>
      <c r="I92" s="287"/>
      <c r="J92" s="287"/>
      <c r="K92" s="287"/>
      <c r="L92" s="289"/>
    </row>
    <row r="93" spans="1:12">
      <c r="A93" s="284">
        <v>6</v>
      </c>
      <c r="B93" s="285" t="s">
        <v>350</v>
      </c>
      <c r="C93" s="286" t="s">
        <v>351</v>
      </c>
      <c r="D93" s="287"/>
      <c r="E93" s="288"/>
      <c r="F93" s="286"/>
      <c r="G93" s="286"/>
      <c r="H93" s="286"/>
      <c r="I93" s="287"/>
      <c r="J93" s="287">
        <f>+J99*100</f>
        <v>350</v>
      </c>
      <c r="K93" s="287">
        <v>56.6</v>
      </c>
      <c r="L93" s="289">
        <f>+J93*K93</f>
        <v>19810</v>
      </c>
    </row>
    <row r="94" spans="1:12">
      <c r="A94" s="284"/>
      <c r="B94" s="285"/>
      <c r="C94" s="286"/>
      <c r="D94" s="287"/>
      <c r="E94" s="288"/>
      <c r="F94" s="286"/>
      <c r="G94" s="286"/>
      <c r="H94" s="286"/>
      <c r="I94" s="287"/>
      <c r="J94" s="287"/>
      <c r="K94" s="287"/>
      <c r="L94" s="289"/>
    </row>
    <row r="95" spans="1:12">
      <c r="A95" s="284">
        <v>7</v>
      </c>
      <c r="B95" s="290">
        <v>5.33</v>
      </c>
      <c r="C95" s="286" t="s">
        <v>352</v>
      </c>
      <c r="D95" s="287"/>
      <c r="E95" s="288"/>
      <c r="F95" s="286"/>
      <c r="G95" s="286"/>
      <c r="H95" s="288"/>
      <c r="I95" s="287"/>
      <c r="J95" s="287"/>
      <c r="K95" s="287"/>
      <c r="L95" s="289"/>
    </row>
    <row r="96" spans="1:12">
      <c r="A96" s="284"/>
      <c r="B96" s="285"/>
      <c r="C96" s="286" t="s">
        <v>353</v>
      </c>
      <c r="D96" s="287"/>
      <c r="E96" s="288">
        <v>2</v>
      </c>
      <c r="F96" s="286">
        <v>1</v>
      </c>
      <c r="G96" s="286">
        <v>0.6</v>
      </c>
      <c r="H96" s="286">
        <v>0.6</v>
      </c>
      <c r="I96" s="287">
        <v>3.5</v>
      </c>
      <c r="J96" s="287">
        <f>+E96*G96*H96*I96</f>
        <v>2.52</v>
      </c>
      <c r="K96" s="287"/>
      <c r="L96" s="289"/>
    </row>
    <row r="97" spans="1:12">
      <c r="A97" s="284"/>
      <c r="B97" s="285"/>
      <c r="C97" s="286" t="s">
        <v>354</v>
      </c>
      <c r="D97" s="287"/>
      <c r="E97" s="288">
        <v>2</v>
      </c>
      <c r="F97" s="286">
        <v>1</v>
      </c>
      <c r="G97" s="286">
        <v>1.5</v>
      </c>
      <c r="H97" s="286">
        <v>1.5</v>
      </c>
      <c r="I97" s="287">
        <v>0.2</v>
      </c>
      <c r="J97" s="287">
        <f>+E97*G97*H97*I97</f>
        <v>0.9</v>
      </c>
      <c r="K97" s="287"/>
      <c r="L97" s="289"/>
    </row>
    <row r="98" spans="1:12">
      <c r="A98" s="284"/>
      <c r="B98" s="285"/>
      <c r="C98" s="286"/>
      <c r="D98" s="287"/>
      <c r="E98" s="288"/>
      <c r="F98" s="286"/>
      <c r="G98" s="286"/>
      <c r="H98" s="288" t="s">
        <v>121</v>
      </c>
      <c r="I98" s="287"/>
      <c r="J98" s="287">
        <f>SUM(J96:J97)</f>
        <v>3.42</v>
      </c>
      <c r="K98" s="287"/>
      <c r="L98" s="289"/>
    </row>
    <row r="99" spans="1:12">
      <c r="A99" s="284"/>
      <c r="B99" s="285"/>
      <c r="C99" s="286"/>
      <c r="D99" s="287"/>
      <c r="E99" s="288"/>
      <c r="F99" s="286"/>
      <c r="G99" s="286"/>
      <c r="H99" s="288" t="s">
        <v>110</v>
      </c>
      <c r="I99" s="287"/>
      <c r="J99" s="287">
        <v>3.5</v>
      </c>
      <c r="K99" s="293">
        <v>6446.45</v>
      </c>
      <c r="L99" s="289">
        <f>+J99*K99</f>
        <v>22562.575000000001</v>
      </c>
    </row>
    <row r="100" spans="1:12">
      <c r="A100" s="284"/>
      <c r="B100" s="285"/>
      <c r="C100" s="286"/>
      <c r="D100" s="287"/>
      <c r="E100" s="288"/>
      <c r="F100" s="286"/>
      <c r="G100" s="286"/>
      <c r="H100" s="286"/>
      <c r="I100" s="287"/>
      <c r="J100" s="287"/>
      <c r="K100" s="287"/>
      <c r="L100" s="289"/>
    </row>
    <row r="101" spans="1:12">
      <c r="A101" s="294"/>
      <c r="B101" s="295"/>
      <c r="C101" s="296"/>
      <c r="D101" s="297"/>
      <c r="E101" s="288"/>
      <c r="F101" s="296"/>
      <c r="G101" s="288"/>
      <c r="H101" s="297"/>
      <c r="I101" s="297"/>
      <c r="J101" s="297"/>
      <c r="K101" s="287"/>
      <c r="L101" s="289"/>
    </row>
    <row r="102" spans="1:12">
      <c r="A102" s="294"/>
      <c r="B102" s="295"/>
      <c r="C102" s="296"/>
      <c r="D102" s="297"/>
      <c r="E102" s="288"/>
      <c r="F102" s="296"/>
      <c r="G102" s="288"/>
      <c r="H102" s="297" t="s">
        <v>121</v>
      </c>
      <c r="I102" s="297"/>
      <c r="J102" s="297"/>
      <c r="K102" s="287"/>
      <c r="L102" s="298">
        <f>SUM(L87:L101)</f>
        <v>274881.04628800001</v>
      </c>
    </row>
    <row r="103" spans="1:12">
      <c r="A103" s="299"/>
      <c r="B103" s="300"/>
      <c r="C103" s="300"/>
      <c r="D103" s="300"/>
      <c r="E103" s="300"/>
      <c r="F103" s="300"/>
      <c r="G103" s="300"/>
      <c r="H103" s="300"/>
      <c r="I103" s="300"/>
      <c r="J103" s="301"/>
      <c r="K103" s="302" t="s">
        <v>168</v>
      </c>
      <c r="L103" s="303">
        <v>276000</v>
      </c>
    </row>
    <row r="104" spans="1:12">
      <c r="A104" s="279"/>
      <c r="B104" s="304"/>
      <c r="C104" s="412"/>
      <c r="D104" s="412"/>
      <c r="E104" s="412"/>
      <c r="F104" s="412"/>
      <c r="G104" s="412"/>
      <c r="H104" s="281"/>
      <c r="I104" s="281"/>
      <c r="J104" s="282"/>
      <c r="K104" s="283"/>
      <c r="L104" s="305"/>
    </row>
    <row r="105" spans="1:12" ht="18.75" thickBot="1">
      <c r="A105" s="176"/>
      <c r="B105" s="177"/>
      <c r="C105" s="413"/>
      <c r="D105" s="413"/>
      <c r="E105" s="413"/>
      <c r="F105" s="413"/>
      <c r="G105" s="413"/>
      <c r="H105" s="178"/>
      <c r="I105" s="178"/>
      <c r="J105" s="179"/>
      <c r="K105" s="180"/>
      <c r="L105" s="181"/>
    </row>
  </sheetData>
  <mergeCells count="40">
    <mergeCell ref="J1:L1"/>
    <mergeCell ref="B18:H18"/>
    <mergeCell ref="A2:L2"/>
    <mergeCell ref="A3:C3"/>
    <mergeCell ref="B13:H13"/>
    <mergeCell ref="B14:H14"/>
    <mergeCell ref="B17:H17"/>
    <mergeCell ref="B42:H42"/>
    <mergeCell ref="B22:H22"/>
    <mergeCell ref="B23:H23"/>
    <mergeCell ref="B25:H25"/>
    <mergeCell ref="B26:H26"/>
    <mergeCell ref="B29:H29"/>
    <mergeCell ref="B30:H30"/>
    <mergeCell ref="B33:H33"/>
    <mergeCell ref="B34:H34"/>
    <mergeCell ref="B37:H37"/>
    <mergeCell ref="B38:H38"/>
    <mergeCell ref="B41:H41"/>
    <mergeCell ref="B70:H70"/>
    <mergeCell ref="C49:G49"/>
    <mergeCell ref="B53:H53"/>
    <mergeCell ref="B54:H54"/>
    <mergeCell ref="B57:H57"/>
    <mergeCell ref="B58:H58"/>
    <mergeCell ref="B60:H60"/>
    <mergeCell ref="B61:H61"/>
    <mergeCell ref="B63:H63"/>
    <mergeCell ref="B64:H64"/>
    <mergeCell ref="B66:H66"/>
    <mergeCell ref="B67:H67"/>
    <mergeCell ref="C87:G87"/>
    <mergeCell ref="C104:G104"/>
    <mergeCell ref="C105:G105"/>
    <mergeCell ref="B71:H71"/>
    <mergeCell ref="B73:H73"/>
    <mergeCell ref="B74:H74"/>
    <mergeCell ref="B78:H78"/>
    <mergeCell ref="B79:H79"/>
    <mergeCell ref="C84:G84"/>
  </mergeCells>
  <pageMargins left="0.23622047244094499" right="0.27559055118110198" top="0.35433070866141703" bottom="0.74803149606299202" header="0.31496062992126" footer="0.31496062992126"/>
  <pageSetup paperSize="9" scale="88" firstPageNumber="212" fitToHeight="0" orientation="portrait" useFirstPageNumber="1" r:id="rId1"/>
  <headerFooter>
    <oddFooter>&amp;C&amp;P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Summary</vt:lpstr>
      <vt:lpstr>Final</vt:lpstr>
      <vt:lpstr>S.no 32_Paver Blocks</vt:lpstr>
      <vt:lpstr>S.no 33_ Parking area</vt:lpstr>
      <vt:lpstr>S.no34_Kerb Channel</vt:lpstr>
      <vt:lpstr>Bituminious Road</vt:lpstr>
      <vt:lpstr>BW</vt:lpstr>
      <vt:lpstr>Sheet1</vt:lpstr>
      <vt:lpstr>ann IV BW gate</vt:lpstr>
      <vt:lpstr>Gate</vt:lpstr>
      <vt:lpstr>Sheet2</vt:lpstr>
      <vt:lpstr>Final!Print_Area</vt:lpstr>
      <vt:lpstr>Summary!Print_Area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2016-12-30T09:08:57Z</dcterms:modified>
</cp:coreProperties>
</file>