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lesh.upadhyay\Desktop\Jammu ITS\"/>
    </mc:Choice>
  </mc:AlternateContent>
  <bookViews>
    <workbookView xWindow="0" yWindow="0" windowWidth="12000" windowHeight="5235" firstSheet="1" activeTab="1"/>
  </bookViews>
  <sheets>
    <sheet name="Assumptions" sheetId="4" r:id="rId1"/>
    <sheet name="Cash Flow" sheetId="5" r:id="rId2"/>
    <sheet name="Graph Cash Flow" sheetId="7" r:id="rId3"/>
    <sheet name="BOQ" sheetId="8" r:id="rId4"/>
  </sheets>
  <definedNames>
    <definedName name="Cost_of_Capital">#REF!</definedName>
    <definedName name="Mob_Advanc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8" l="1"/>
  <c r="F44" i="8"/>
  <c r="F43" i="8"/>
  <c r="F41" i="8"/>
  <c r="F40" i="8"/>
  <c r="B40" i="8"/>
  <c r="B41" i="8" s="1"/>
  <c r="F39" i="8"/>
  <c r="G41" i="8" s="1"/>
  <c r="F38" i="8"/>
  <c r="F37" i="8"/>
  <c r="F35" i="8"/>
  <c r="F34" i="8"/>
  <c r="F33" i="8"/>
  <c r="F32" i="8"/>
  <c r="F31" i="8"/>
  <c r="F30" i="8"/>
  <c r="F29" i="8"/>
  <c r="E28" i="8"/>
  <c r="F28" i="8" s="1"/>
  <c r="F27" i="8"/>
  <c r="F26" i="8"/>
  <c r="F25" i="8"/>
  <c r="F24" i="8"/>
  <c r="F23" i="8"/>
  <c r="F22" i="8"/>
  <c r="F21" i="8"/>
  <c r="F16" i="8"/>
  <c r="B16" i="8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F15" i="8"/>
  <c r="F14" i="8"/>
  <c r="F13" i="8"/>
  <c r="G35" i="8" s="1"/>
  <c r="E7" i="8"/>
  <c r="F6" i="8"/>
  <c r="F5" i="8"/>
  <c r="G45" i="8" l="1"/>
  <c r="D4" i="8" s="1"/>
  <c r="F4" i="8" l="1"/>
  <c r="F7" i="8" s="1"/>
  <c r="D7" i="8"/>
  <c r="B27" i="4"/>
  <c r="B29" i="4"/>
  <c r="B32" i="4" s="1"/>
  <c r="C4" i="5"/>
  <c r="B30" i="4" l="1"/>
  <c r="B31" i="4"/>
  <c r="C32" i="4"/>
  <c r="AC3" i="5" l="1"/>
  <c r="AB3" i="5"/>
  <c r="AA3" i="5"/>
  <c r="Z3" i="5"/>
  <c r="Y3" i="5"/>
  <c r="X3" i="5"/>
  <c r="W3" i="5"/>
  <c r="V3" i="5"/>
  <c r="U3" i="5"/>
  <c r="T3" i="5"/>
  <c r="S3" i="5"/>
  <c r="R3" i="5"/>
  <c r="B26" i="4"/>
  <c r="AB4" i="5" s="1"/>
  <c r="C17" i="4"/>
  <c r="C16" i="4"/>
  <c r="C15" i="4"/>
  <c r="D3" i="5" s="1"/>
  <c r="B18" i="4"/>
  <c r="B12" i="4"/>
  <c r="B9" i="4"/>
  <c r="B10" i="4" s="1"/>
  <c r="B20" i="4" l="1"/>
  <c r="C3" i="5"/>
  <c r="C5" i="5" s="1"/>
  <c r="C6" i="5" s="1"/>
  <c r="C7" i="5" s="1"/>
  <c r="H3" i="5"/>
  <c r="M4" i="5"/>
  <c r="M5" i="5" s="1"/>
  <c r="M6" i="5" s="1"/>
  <c r="M7" i="5" s="1"/>
  <c r="U4" i="5"/>
  <c r="U5" i="5" s="1"/>
  <c r="U7" i="5" s="1"/>
  <c r="Y4" i="5"/>
  <c r="Y5" i="5" s="1"/>
  <c r="Y7" i="5" s="1"/>
  <c r="C31" i="4"/>
  <c r="E3" i="5"/>
  <c r="B4" i="5"/>
  <c r="B5" i="5" s="1"/>
  <c r="I3" i="5"/>
  <c r="F3" i="5"/>
  <c r="AC4" i="5"/>
  <c r="AC5" i="5" s="1"/>
  <c r="AC7" i="5" s="1"/>
  <c r="Q4" i="5"/>
  <c r="AB5" i="5"/>
  <c r="AB7" i="5" s="1"/>
  <c r="Q3" i="5"/>
  <c r="J4" i="5"/>
  <c r="J5" i="5" s="1"/>
  <c r="J6" i="5" s="1"/>
  <c r="J7" i="5" s="1"/>
  <c r="N4" i="5"/>
  <c r="N5" i="5" s="1"/>
  <c r="N6" i="5" s="1"/>
  <c r="N7" i="5" s="1"/>
  <c r="R4" i="5"/>
  <c r="R5" i="5" s="1"/>
  <c r="R7" i="5" s="1"/>
  <c r="V4" i="5"/>
  <c r="V5" i="5" s="1"/>
  <c r="V7" i="5" s="1"/>
  <c r="Z4" i="5"/>
  <c r="Z5" i="5" s="1"/>
  <c r="Z7" i="5" s="1"/>
  <c r="G3" i="5"/>
  <c r="K4" i="5"/>
  <c r="K5" i="5" s="1"/>
  <c r="K6" i="5" s="1"/>
  <c r="K7" i="5" s="1"/>
  <c r="O4" i="5"/>
  <c r="O5" i="5" s="1"/>
  <c r="S4" i="5"/>
  <c r="S5" i="5" s="1"/>
  <c r="S7" i="5" s="1"/>
  <c r="W4" i="5"/>
  <c r="W5" i="5" s="1"/>
  <c r="W7" i="5" s="1"/>
  <c r="AA4" i="5"/>
  <c r="AA5" i="5" s="1"/>
  <c r="AA7" i="5" s="1"/>
  <c r="L4" i="5"/>
  <c r="L5" i="5" s="1"/>
  <c r="L6" i="5" s="1"/>
  <c r="L7" i="5" s="1"/>
  <c r="P4" i="5"/>
  <c r="P5" i="5" s="1"/>
  <c r="P6" i="5" s="1"/>
  <c r="T4" i="5"/>
  <c r="T5" i="5" s="1"/>
  <c r="T7" i="5" s="1"/>
  <c r="X4" i="5"/>
  <c r="X5" i="5" s="1"/>
  <c r="X7" i="5" s="1"/>
  <c r="O6" i="5"/>
  <c r="O7" i="5" s="1"/>
  <c r="C30" i="4" l="1"/>
  <c r="F6" i="5" s="1"/>
  <c r="Q5" i="5"/>
  <c r="Q7" i="5" s="1"/>
  <c r="AD3" i="5"/>
  <c r="P7" i="5"/>
  <c r="H6" i="5"/>
  <c r="H4" i="5"/>
  <c r="H5" i="5" s="1"/>
  <c r="I6" i="5"/>
  <c r="I4" i="5"/>
  <c r="I5" i="5" s="1"/>
  <c r="D4" i="5"/>
  <c r="E6" i="5"/>
  <c r="B6" i="5"/>
  <c r="B7" i="5" s="1"/>
  <c r="F4" i="5" l="1"/>
  <c r="F5" i="5" s="1"/>
  <c r="E4" i="5"/>
  <c r="E5" i="5" s="1"/>
  <c r="G4" i="5"/>
  <c r="G5" i="5" s="1"/>
  <c r="G6" i="5" s="1"/>
  <c r="G7" i="5" s="1"/>
  <c r="D6" i="5"/>
  <c r="F7" i="5"/>
  <c r="E7" i="5"/>
  <c r="B8" i="5"/>
  <c r="C8" i="5" s="1"/>
  <c r="H7" i="5"/>
  <c r="D5" i="5"/>
  <c r="I7" i="5"/>
  <c r="AD4" i="5" l="1"/>
  <c r="D7" i="5"/>
  <c r="AD5" i="5"/>
  <c r="AD7" i="5" l="1"/>
  <c r="E11" i="5"/>
  <c r="E10" i="5"/>
  <c r="D8" i="5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</calcChain>
</file>

<file path=xl/sharedStrings.xml><?xml version="1.0" encoding="utf-8"?>
<sst xmlns="http://schemas.openxmlformats.org/spreadsheetml/2006/main" count="179" uniqueCount="153">
  <si>
    <t>AMC 1</t>
  </si>
  <si>
    <t>AMC 2</t>
  </si>
  <si>
    <t>AMC 3</t>
  </si>
  <si>
    <t>Cash Flow</t>
  </si>
  <si>
    <t>Q1</t>
  </si>
  <si>
    <t>Q2</t>
  </si>
  <si>
    <t>Q3</t>
  </si>
  <si>
    <t>Q4</t>
  </si>
  <si>
    <t>Outflow</t>
  </si>
  <si>
    <t>Inflow (based on Contract Terms)</t>
  </si>
  <si>
    <t>Running Net</t>
  </si>
  <si>
    <t>Final Net</t>
  </si>
  <si>
    <t>Sum without AMC</t>
  </si>
  <si>
    <t>Mobilization</t>
  </si>
  <si>
    <t>Cost of Bid Document</t>
  </si>
  <si>
    <t>EMD (BG)</t>
  </si>
  <si>
    <t>PBG (BG)</t>
  </si>
  <si>
    <t>Pre - Mobilization Cost</t>
  </si>
  <si>
    <t>6 Months Implementation</t>
  </si>
  <si>
    <t>DLP1</t>
  </si>
  <si>
    <t>DLP2</t>
  </si>
  <si>
    <t>Estimated Cost (Initial)</t>
  </si>
  <si>
    <t>Cost of Capital</t>
  </si>
  <si>
    <t>Sum with AMC</t>
  </si>
  <si>
    <t>Total</t>
  </si>
  <si>
    <t>Cost to Envoys</t>
  </si>
  <si>
    <t>6 Months Implementation Cost</t>
  </si>
  <si>
    <t>Control Room Cost</t>
  </si>
  <si>
    <t>Penalty during DLP &amp; AMC per month</t>
  </si>
  <si>
    <t>COC (8% yearly) on negative</t>
  </si>
  <si>
    <t>PBG Making Charges (0.80%)</t>
  </si>
  <si>
    <t>EMD Making Charges (0.80%)</t>
  </si>
  <si>
    <t>Pre- Mobilization</t>
  </si>
  <si>
    <t>Inflow (As per agreement)</t>
  </si>
  <si>
    <t>Contract Value</t>
  </si>
  <si>
    <t>Part A - 34 New Junctions</t>
  </si>
  <si>
    <t>Part B - 30 Upgradation</t>
  </si>
  <si>
    <t>Part C - 30 PED</t>
  </si>
  <si>
    <t xml:space="preserve">Mobilization Advance </t>
  </si>
  <si>
    <t xml:space="preserve">Outflow </t>
  </si>
  <si>
    <t>Office and Project Engineer per month cost for 6 Month Implementation</t>
  </si>
  <si>
    <t>Remarks</t>
  </si>
  <si>
    <t xml:space="preserve">(10% of Contract Value Excluding AMC Value) </t>
  </si>
  <si>
    <t>Per Junction Payment (Contract Value/No. of Junctions)</t>
  </si>
  <si>
    <t>Cost</t>
  </si>
  <si>
    <t>Per Junction Cost (Cost/No. of Junctions)</t>
  </si>
  <si>
    <t>As per agreement Rs.2000 Penalty per day for Delay, No. of Days Delay Taken is 6</t>
  </si>
  <si>
    <t>AS per MOU Agreement</t>
  </si>
  <si>
    <t>Value</t>
  </si>
  <si>
    <t>Survey Cost</t>
  </si>
  <si>
    <t>Done in Mobilization Period</t>
  </si>
  <si>
    <t>Cost to Envoys - Survey Cost</t>
  </si>
  <si>
    <t>Cumulative Final Net</t>
  </si>
  <si>
    <t>CASH FLOW ASSUMPTIONS</t>
  </si>
  <si>
    <t>a. Pre - Moblization Period: Cost of Bid Document, EMD &amp; PBG Processing Fee</t>
  </si>
  <si>
    <t xml:space="preserve">c.  6 Months Implementation Period: </t>
  </si>
  <si>
    <t xml:space="preserve">     Month 3: 90% Payment to Envoys for Part A 10 New Junctions; Office &amp; Project Engineer per month cost</t>
  </si>
  <si>
    <t xml:space="preserve">     Month 2: 90% Payment to Envoys for Part A 10 New Junctions; Office &amp; Project Engineer per month cost</t>
  </si>
  <si>
    <t xml:space="preserve">     Month 1: 90% Payment to Envoys for Part A 10 New Junctions; Office &amp; Project Engineer per month cost</t>
  </si>
  <si>
    <t>b. Mobilization Period: Survey Cost; Office &amp; Project Engineer per month cost</t>
  </si>
  <si>
    <t xml:space="preserve">d. DLP </t>
  </si>
  <si>
    <t>e. AMC</t>
  </si>
  <si>
    <t xml:space="preserve">    1st Year Q1 to 2nd Year Q3: 6,00,000 Manpower Cost &amp; Quarter Penalty Cost per Quarter</t>
  </si>
  <si>
    <t xml:space="preserve">   2nd Year Q4 - 6,00,000 Manpower Cost &amp; Quarter Penalty Cost per Quarter; 10% Payment to Envoys for All Junctions; 10% Payment to Vendor for Control Room</t>
  </si>
  <si>
    <t xml:space="preserve">   1st Year Q1 to 3rd Year Q4: 7,50,000 Manpower Cost &amp; Quarter Penalty Cost Per Quarter</t>
  </si>
  <si>
    <t>a. Pre- Mobilization Period: No Payment from Client</t>
  </si>
  <si>
    <t>b. Mobilization Period: 10% Mobilization Advance of Contract Value excluding AMC Value</t>
  </si>
  <si>
    <t xml:space="preserve">     Month 1: 80% Payment by client for Part A 10 New Junctions</t>
  </si>
  <si>
    <t xml:space="preserve">     Month 2: 80% Payment by client for Part A 10 New Junctions</t>
  </si>
  <si>
    <t xml:space="preserve">     Month 3: 80% Payment by client for Part A 10 New Junctions</t>
  </si>
  <si>
    <t>Inflow (As per Agreement)</t>
  </si>
  <si>
    <t xml:space="preserve">     Month 4: 90% Payment to Envoys for Part A 4 New Junctions, Part B 10 Upgradations &amp; Part C 10 PED; 90% Payment to Vendor for Control Room; Office &amp; Project Engineer per month cost</t>
  </si>
  <si>
    <t xml:space="preserve">     Month 5: 90% Payment to Envoys for Part B 10 Upgradations &amp; Part C 10 PED; Office &amp; Project Engineer per month cost</t>
  </si>
  <si>
    <t xml:space="preserve">     Month 6: 90% Payment to Envoys for Part B 10 Upgradations &amp; Part C 10 PED; Office &amp; Project Engineer per month cost</t>
  </si>
  <si>
    <t xml:space="preserve">     Month 4: 80% Payment by client for Part A 4 New Junctions, Part B 10 Upgradations &amp; Part C 10 PED</t>
  </si>
  <si>
    <t xml:space="preserve">     Month 5: 80% Payment by client for Part B 10 Upgradations &amp; Part C 10 PED</t>
  </si>
  <si>
    <t xml:space="preserve">    1st Year Q1 to 2nd Year Q3: No Payment from Client</t>
  </si>
  <si>
    <t xml:space="preserve">   2nd Year Q4: 10% Payment by Client of Contract Value excluding AMC Cost</t>
  </si>
  <si>
    <t xml:space="preserve">     1st Year Q1 - Q4: 27% of AMC Cost; Payment divided per quarter</t>
  </si>
  <si>
    <t xml:space="preserve">    2nd Year Q1 - Q4: 33% of AMC Cost; Payment divided per quarter</t>
  </si>
  <si>
    <t xml:space="preserve">    3rd Year Q1 - Q4: 40% of AMC Cost; Payment divided per quarter</t>
  </si>
  <si>
    <t>c. 6 Months Implementation Period:</t>
  </si>
  <si>
    <t xml:space="preserve">    Month 1: COC for 1 Month for initial 70% Payment to Envoys for Supply of Part A 10 New Junctions</t>
  </si>
  <si>
    <t xml:space="preserve">    Month 2: COC for 1 Month for initial 70% Payment to Envoys for Supply of Part A 10 New Junctions</t>
  </si>
  <si>
    <t xml:space="preserve">    Month 3: COC for 1 Month for initial 70% Payment to Envoys for Supply of Part A 10 New Junctions</t>
  </si>
  <si>
    <t>Cost of Capital (COC)</t>
  </si>
  <si>
    <t xml:space="preserve">    Month 4: COC for 1 Month for initial 70% Payment to Envoys for Supply of Part A 4 New Junctions, Part B 10 Upgradations &amp; Part C 10 PED; COC 8% on Running Net</t>
  </si>
  <si>
    <t xml:space="preserve">    Month 5: COC for 1 Month for initial 70% Payment to Envoys for Supply of Part B 10 Upgradations &amp; Part C 10 PED</t>
  </si>
  <si>
    <t xml:space="preserve">    Month 6: COC for 1 Month for initial 70% Payment to Envoys for Supply of Part B 10 Upgradations &amp; Part C 10 PED</t>
  </si>
  <si>
    <t>a. Pre- Mobilization Period: COC 8% on Running Net</t>
  </si>
  <si>
    <t>b. Mobilization Period: COC 8% on Running Net</t>
  </si>
  <si>
    <t xml:space="preserve">   1st Year Q1 to 2nd Year Q3: COC 8% on Running Net</t>
  </si>
  <si>
    <t>Costing  Assumptions &amp; Actuals</t>
  </si>
  <si>
    <r>
      <t xml:space="preserve">Cash Flow is divided into the following periods:  </t>
    </r>
    <r>
      <rPr>
        <b/>
        <sz val="11"/>
        <color theme="1"/>
        <rFont val="Calibri]"/>
      </rPr>
      <t>Pre-Mobilization Period, Mobilization Period, 6 Months Implementation, Defect Liability Period and AMC</t>
    </r>
  </si>
  <si>
    <t>Peak Negative</t>
  </si>
  <si>
    <t>Peak Positive</t>
  </si>
  <si>
    <t>Per month</t>
  </si>
  <si>
    <t>Part D - AMC</t>
  </si>
  <si>
    <t>For 36 Months starting 03rd Year</t>
  </si>
  <si>
    <t xml:space="preserve">     Month 6: 80% Payment by client for Part B 10 Upgradations &amp; Part C 10 PED</t>
  </si>
  <si>
    <t>JAMMU ATCS PROJECT: COST ESTIMATES &amp; PROFITABILITY</t>
  </si>
  <si>
    <t>Sr No</t>
  </si>
  <si>
    <t>ITEM                                                           DESCRIPTION</t>
  </si>
  <si>
    <t>INPUT COST      (EXL TAX)</t>
  </si>
  <si>
    <t>SALE  AMNT   (EXL TAX)</t>
  </si>
  <si>
    <t>%            MARGIN</t>
  </si>
  <si>
    <t>Supply, Installation, Testing &amp; Commissioning of field equipments along with  2 years Spare Support &amp; Client Management</t>
  </si>
  <si>
    <t xml:space="preserve">Supply, Installation, Testing, Commissioning  &amp; setting up of ATCS Control Room with 2 years warranty support(will be done through close-bidding,as done in case of Surat) </t>
  </si>
  <si>
    <t>3 Years Annual Maintenance(AMC) Charges</t>
  </si>
  <si>
    <t>CONTRACT PRICE(EXCL. TAXES)</t>
  </si>
  <si>
    <t>CONTRACT PRICE(INCL. TAXES)</t>
  </si>
  <si>
    <t>JAMMU ATCS PROJECT: PO TO ENVOYS SUMMARY</t>
  </si>
  <si>
    <t>ITEM                                                                   DESCRIPTION</t>
  </si>
  <si>
    <t>REQD              QTY</t>
  </si>
  <si>
    <t>PO                 RATE(Rs)</t>
  </si>
  <si>
    <t xml:space="preserve"> TOTAL AMOUNT(Rs)</t>
  </si>
  <si>
    <t>A) SUPPLY ITEMS</t>
  </si>
  <si>
    <t>UTCS GEN-II CONTROLLER</t>
  </si>
  <si>
    <t>CDAC ROYALTY</t>
  </si>
  <si>
    <t xml:space="preserve">FLIR VEHICLE DETECTION CAMERA WITH 4TI CARD  </t>
  </si>
  <si>
    <t>VEH RED LAMPHEAD</t>
  </si>
  <si>
    <t>VEH AMBER LAMPHEAD</t>
  </si>
  <si>
    <t>VEH GREEN LAMPHEAD</t>
  </si>
  <si>
    <t>PED RED LAMPHEAD</t>
  </si>
  <si>
    <t>PED GREEN LAMPHEAD</t>
  </si>
  <si>
    <t>3 DIGIT CDT</t>
  </si>
  <si>
    <t>2SQMM/3CORE ARMRD POWER CABLE</t>
  </si>
  <si>
    <t>1.5SQMM/7CORE ARMRD CONTROL CABLE</t>
  </si>
  <si>
    <t>0.75SQMM/7C UNARMRD FLEXIBLE CABLE</t>
  </si>
  <si>
    <t>1.5SQMM/14CORE ARMRD CONTROL CABLE</t>
  </si>
  <si>
    <t xml:space="preserve">3G ROUTER WITH ANTENNA, ADAPTOR &amp; SIM </t>
  </si>
  <si>
    <t>JUNCTION BOX</t>
  </si>
  <si>
    <t>CANTILEVER POLE 6MTR/3-6-9MTR ARM</t>
  </si>
  <si>
    <t>STANDARD POLE/4MTR WITH BASE PLATE</t>
  </si>
  <si>
    <t>STANDARD POLE/6MTR WITH BASE PLATE</t>
  </si>
  <si>
    <t>MOUNTING STRUCTURE</t>
  </si>
  <si>
    <t>POWER SUPPLY BOX</t>
  </si>
  <si>
    <t>ELCB WITH JUNCTION BOX WITH POLE</t>
  </si>
  <si>
    <t>UPS WITH CABINET</t>
  </si>
  <si>
    <t>TOTAL SUPPLY</t>
  </si>
  <si>
    <t xml:space="preserve">12V/100AH BATTERIES(SET) </t>
  </si>
  <si>
    <t>B) CIVIL ITEMS</t>
  </si>
  <si>
    <t>TRENCHLESS DUCTING</t>
  </si>
  <si>
    <t>FOUNDATION WORK-CONTROLLER</t>
  </si>
  <si>
    <t>FOUNDATION WORK-CANTILEVER POLE</t>
  </si>
  <si>
    <t>FOUNDATION WORK-STANDARD POLE</t>
  </si>
  <si>
    <t>TOTAL CIVIL</t>
  </si>
  <si>
    <t>CIVIL WORK(SET)</t>
  </si>
  <si>
    <t>C) SURVEY &amp; SUPPORT</t>
  </si>
  <si>
    <t>IMPLEMENTATION &amp; SPARE SUPPORT</t>
  </si>
  <si>
    <t>TOTAL SURVEY</t>
  </si>
  <si>
    <t>JUNCTION SURVEY &amp; DESIGN</t>
  </si>
  <si>
    <t>GRAND AMOUNT - FIELD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</si>
</sst>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]"/>
    </font>
    <font>
      <sz val="11"/>
      <color theme="1"/>
      <name val="Calibri]"/>
    </font>
    <font>
      <b/>
      <sz val="10"/>
      <color theme="1"/>
      <name val="Calibri]"/>
    </font>
    <font>
      <b/>
      <sz val="11"/>
      <color theme="1"/>
      <name val="Calibri]"/>
    </font>
    <font>
      <sz val="10"/>
      <color theme="1"/>
      <name val="Calibri]"/>
    </font>
    <font>
      <sz val="12"/>
      <color theme="1"/>
      <name val="Calibri]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6">
    <xf numFmtId="0" fontId="0" fillId="0" borderId="0" xfId="0"/>
    <xf numFmtId="17" fontId="2" fillId="3" borderId="4" xfId="0" applyNumberFormat="1" applyFont="1" applyFill="1" applyBorder="1" applyAlignment="1">
      <alignment horizontal="center"/>
    </xf>
    <xf numFmtId="17" fontId="2" fillId="3" borderId="4" xfId="0" applyNumberFormat="1" applyFont="1" applyFill="1" applyBorder="1" applyAlignment="1">
      <alignment horizontal="center" wrapText="1"/>
    </xf>
    <xf numFmtId="0" fontId="0" fillId="0" borderId="4" xfId="0" applyBorder="1"/>
    <xf numFmtId="17" fontId="2" fillId="2" borderId="4" xfId="0" applyNumberFormat="1" applyFont="1" applyFill="1" applyBorder="1" applyAlignment="1"/>
    <xf numFmtId="165" fontId="3" fillId="3" borderId="4" xfId="1" applyNumberFormat="1" applyFont="1" applyFill="1" applyBorder="1" applyAlignment="1">
      <alignment horizontal="center"/>
    </xf>
    <xf numFmtId="165" fontId="3" fillId="3" borderId="4" xfId="1" applyNumberFormat="1" applyFont="1" applyFill="1" applyBorder="1" applyAlignment="1">
      <alignment horizontal="center" wrapText="1"/>
    </xf>
    <xf numFmtId="165" fontId="0" fillId="3" borderId="4" xfId="1" applyNumberFormat="1" applyFont="1" applyFill="1" applyBorder="1"/>
    <xf numFmtId="165" fontId="0" fillId="3" borderId="4" xfId="0" applyNumberFormat="1" applyFill="1" applyBorder="1"/>
    <xf numFmtId="165" fontId="1" fillId="3" borderId="4" xfId="1" applyNumberFormat="1" applyFont="1" applyFill="1" applyBorder="1"/>
    <xf numFmtId="0" fontId="0" fillId="3" borderId="4" xfId="0" applyFill="1" applyBorder="1"/>
    <xf numFmtId="0" fontId="0" fillId="2" borderId="4" xfId="0" applyFill="1" applyBorder="1"/>
    <xf numFmtId="17" fontId="2" fillId="2" borderId="4" xfId="0" applyNumberFormat="1" applyFont="1" applyFill="1" applyBorder="1" applyAlignment="1">
      <alignment horizontal="center"/>
    </xf>
    <xf numFmtId="0" fontId="6" fillId="0" borderId="8" xfId="0" applyFont="1" applyBorder="1"/>
    <xf numFmtId="0" fontId="6" fillId="0" borderId="0" xfId="0" applyFont="1" applyBorder="1"/>
    <xf numFmtId="0" fontId="6" fillId="0" borderId="9" xfId="0" applyFont="1" applyBorder="1"/>
    <xf numFmtId="17" fontId="7" fillId="3" borderId="10" xfId="0" applyNumberFormat="1" applyFont="1" applyFill="1" applyBorder="1" applyAlignment="1">
      <alignment horizontal="center"/>
    </xf>
    <xf numFmtId="9" fontId="6" fillId="0" borderId="4" xfId="0" applyNumberFormat="1" applyFont="1" applyBorder="1"/>
    <xf numFmtId="17" fontId="5" fillId="4" borderId="10" xfId="0" applyNumberFormat="1" applyFont="1" applyFill="1" applyBorder="1" applyAlignment="1">
      <alignment horizontal="center"/>
    </xf>
    <xf numFmtId="17" fontId="5" fillId="4" borderId="4" xfId="0" applyNumberFormat="1" applyFont="1" applyFill="1" applyBorder="1" applyAlignment="1">
      <alignment horizontal="center"/>
    </xf>
    <xf numFmtId="165" fontId="6" fillId="0" borderId="4" xfId="1" applyNumberFormat="1" applyFont="1" applyBorder="1"/>
    <xf numFmtId="17" fontId="5" fillId="4" borderId="4" xfId="0" applyNumberFormat="1" applyFont="1" applyFill="1" applyBorder="1" applyAlignment="1">
      <alignment horizontal="center" wrapText="1"/>
    </xf>
    <xf numFmtId="165" fontId="8" fillId="0" borderId="4" xfId="1" applyNumberFormat="1" applyFont="1" applyBorder="1"/>
    <xf numFmtId="17" fontId="7" fillId="3" borderId="10" xfId="0" applyNumberFormat="1" applyFont="1" applyFill="1" applyBorder="1" applyAlignment="1">
      <alignment horizontal="center" wrapText="1"/>
    </xf>
    <xf numFmtId="9" fontId="6" fillId="0" borderId="4" xfId="0" applyNumberFormat="1" applyFont="1" applyBorder="1" applyAlignment="1">
      <alignment vertical="center"/>
    </xf>
    <xf numFmtId="165" fontId="6" fillId="0" borderId="4" xfId="1" applyNumberFormat="1" applyFont="1" applyBorder="1" applyAlignment="1">
      <alignment wrapText="1"/>
    </xf>
    <xf numFmtId="165" fontId="6" fillId="0" borderId="4" xfId="0" applyNumberFormat="1" applyFont="1" applyBorder="1"/>
    <xf numFmtId="17" fontId="7" fillId="3" borderId="11" xfId="0" applyNumberFormat="1" applyFont="1" applyFill="1" applyBorder="1" applyAlignment="1">
      <alignment horizontal="center" wrapText="1"/>
    </xf>
    <xf numFmtId="165" fontId="6" fillId="0" borderId="12" xfId="1" applyNumberFormat="1" applyFont="1" applyBorder="1" applyAlignment="1">
      <alignment horizontal="right"/>
    </xf>
    <xf numFmtId="165" fontId="6" fillId="0" borderId="12" xfId="1" applyNumberFormat="1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0" xfId="0" applyFont="1"/>
    <xf numFmtId="0" fontId="6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4" fillId="0" borderId="16" xfId="0" applyFont="1" applyBorder="1"/>
    <xf numFmtId="165" fontId="4" fillId="0" borderId="17" xfId="0" applyNumberFormat="1" applyFont="1" applyBorder="1"/>
    <xf numFmtId="0" fontId="4" fillId="0" borderId="11" xfId="0" applyFont="1" applyBorder="1"/>
    <xf numFmtId="165" fontId="4" fillId="0" borderId="18" xfId="0" applyNumberFormat="1" applyFont="1" applyBorder="1"/>
    <xf numFmtId="165" fontId="6" fillId="0" borderId="3" xfId="1" applyNumberFormat="1" applyFont="1" applyBorder="1"/>
    <xf numFmtId="17" fontId="7" fillId="3" borderId="19" xfId="0" applyNumberFormat="1" applyFont="1" applyFill="1" applyBorder="1" applyAlignment="1">
      <alignment horizontal="center"/>
    </xf>
    <xf numFmtId="165" fontId="6" fillId="0" borderId="20" xfId="1" applyNumberFormat="1" applyFont="1" applyBorder="1"/>
    <xf numFmtId="17" fontId="7" fillId="3" borderId="21" xfId="0" applyNumberFormat="1" applyFont="1" applyFill="1" applyBorder="1" applyAlignment="1">
      <alignment horizontal="center"/>
    </xf>
    <xf numFmtId="165" fontId="6" fillId="0" borderId="22" xfId="1" applyNumberFormat="1" applyFont="1" applyBorder="1"/>
    <xf numFmtId="17" fontId="7" fillId="3" borderId="23" xfId="0" applyNumberFormat="1" applyFont="1" applyFill="1" applyBorder="1" applyAlignment="1">
      <alignment horizontal="center"/>
    </xf>
    <xf numFmtId="165" fontId="6" fillId="0" borderId="24" xfId="1" applyNumberFormat="1" applyFont="1" applyBorder="1"/>
    <xf numFmtId="165" fontId="6" fillId="0" borderId="26" xfId="1" applyNumberFormat="1" applyFont="1" applyBorder="1"/>
    <xf numFmtId="165" fontId="6" fillId="0" borderId="20" xfId="0" applyNumberFormat="1" applyFont="1" applyBorder="1"/>
    <xf numFmtId="17" fontId="7" fillId="3" borderId="23" xfId="0" applyNumberFormat="1" applyFont="1" applyFill="1" applyBorder="1" applyAlignment="1">
      <alignment horizontal="center" wrapText="1"/>
    </xf>
    <xf numFmtId="17" fontId="7" fillId="3" borderId="19" xfId="0" applyNumberFormat="1" applyFont="1" applyFill="1" applyBorder="1" applyAlignment="1">
      <alignment horizontal="center" wrapText="1"/>
    </xf>
    <xf numFmtId="17" fontId="5" fillId="3" borderId="23" xfId="0" applyNumberFormat="1" applyFont="1" applyFill="1" applyBorder="1" applyAlignment="1">
      <alignment horizontal="center" wrapText="1"/>
    </xf>
    <xf numFmtId="165" fontId="10" fillId="0" borderId="24" xfId="1" applyNumberFormat="1" applyFont="1" applyBorder="1"/>
    <xf numFmtId="17" fontId="9" fillId="3" borderId="10" xfId="0" applyNumberFormat="1" applyFont="1" applyFill="1" applyBorder="1" applyAlignment="1">
      <alignment horizontal="right"/>
    </xf>
    <xf numFmtId="17" fontId="9" fillId="3" borderId="21" xfId="0" applyNumberFormat="1" applyFont="1" applyFill="1" applyBorder="1" applyAlignment="1">
      <alignment horizontal="right"/>
    </xf>
    <xf numFmtId="165" fontId="6" fillId="0" borderId="22" xfId="0" applyNumberFormat="1" applyFont="1" applyBorder="1"/>
    <xf numFmtId="17" fontId="9" fillId="3" borderId="19" xfId="0" applyNumberFormat="1" applyFont="1" applyFill="1" applyBorder="1" applyAlignment="1">
      <alignment horizontal="right"/>
    </xf>
    <xf numFmtId="165" fontId="5" fillId="0" borderId="27" xfId="1" applyNumberFormat="1" applyFont="1" applyBorder="1"/>
    <xf numFmtId="165" fontId="8" fillId="0" borderId="27" xfId="1" applyNumberFormat="1" applyFont="1" applyBorder="1"/>
    <xf numFmtId="17" fontId="9" fillId="3" borderId="25" xfId="0" applyNumberFormat="1" applyFont="1" applyFill="1" applyBorder="1" applyAlignment="1">
      <alignment horizontal="right" wrapText="1"/>
    </xf>
    <xf numFmtId="0" fontId="6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17" fontId="5" fillId="4" borderId="8" xfId="0" applyNumberFormat="1" applyFont="1" applyFill="1" applyBorder="1" applyAlignment="1">
      <alignment horizontal="center"/>
    </xf>
    <xf numFmtId="17" fontId="5" fillId="4" borderId="0" xfId="0" applyNumberFormat="1" applyFont="1" applyFill="1" applyBorder="1" applyAlignment="1">
      <alignment horizontal="center"/>
    </xf>
    <xf numFmtId="17" fontId="5" fillId="4" borderId="9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17" fontId="5" fillId="4" borderId="5" xfId="0" applyNumberFormat="1" applyFont="1" applyFill="1" applyBorder="1" applyAlignment="1">
      <alignment horizontal="center"/>
    </xf>
    <xf numFmtId="17" fontId="5" fillId="4" borderId="6" xfId="0" applyNumberFormat="1" applyFont="1" applyFill="1" applyBorder="1" applyAlignment="1">
      <alignment horizontal="center"/>
    </xf>
    <xf numFmtId="17" fontId="5" fillId="4" borderId="7" xfId="0" applyNumberFormat="1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17" fontId="2" fillId="2" borderId="3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justify" vertical="top" wrapText="1"/>
    </xf>
    <xf numFmtId="3" fontId="0" fillId="0" borderId="31" xfId="0" applyNumberFormat="1" applyBorder="1" applyAlignment="1">
      <alignment vertical="center"/>
    </xf>
    <xf numFmtId="10" fontId="0" fillId="0" borderId="31" xfId="2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justify" vertical="top" wrapText="1"/>
    </xf>
    <xf numFmtId="3" fontId="0" fillId="0" borderId="30" xfId="0" applyNumberFormat="1" applyBorder="1" applyAlignment="1">
      <alignment vertical="center"/>
    </xf>
    <xf numFmtId="3" fontId="0" fillId="0" borderId="30" xfId="0" applyNumberFormat="1" applyBorder="1" applyAlignment="1">
      <alignment horizontal="center" vertical="center"/>
    </xf>
    <xf numFmtId="10" fontId="0" fillId="0" borderId="30" xfId="2" applyNumberFormat="1" applyFont="1" applyBorder="1" applyAlignment="1">
      <alignment horizontal="center" vertical="center"/>
    </xf>
    <xf numFmtId="0" fontId="0" fillId="0" borderId="31" xfId="0" applyBorder="1" applyAlignment="1">
      <alignment vertical="top" wrapText="1"/>
    </xf>
    <xf numFmtId="3" fontId="0" fillId="0" borderId="28" xfId="0" applyNumberFormat="1" applyBorder="1" applyAlignment="1">
      <alignment horizontal="center" vertical="center"/>
    </xf>
    <xf numFmtId="3" fontId="0" fillId="0" borderId="31" xfId="0" applyNumberFormat="1" applyBorder="1" applyAlignment="1">
      <alignment horizontal="center" vertical="center"/>
    </xf>
    <xf numFmtId="0" fontId="4" fillId="0" borderId="32" xfId="0" applyFont="1" applyBorder="1" applyAlignment="1"/>
    <xf numFmtId="0" fontId="4" fillId="0" borderId="33" xfId="0" applyFont="1" applyBorder="1" applyAlignment="1"/>
    <xf numFmtId="3" fontId="4" fillId="0" borderId="31" xfId="0" applyNumberFormat="1" applyFont="1" applyBorder="1" applyAlignment="1">
      <alignment horizontal="center"/>
    </xf>
    <xf numFmtId="3" fontId="4" fillId="0" borderId="33" xfId="0" applyNumberFormat="1" applyFont="1" applyBorder="1"/>
    <xf numFmtId="10" fontId="4" fillId="0" borderId="31" xfId="2" applyNumberFormat="1" applyFont="1" applyBorder="1" applyAlignment="1">
      <alignment horizontal="center"/>
    </xf>
    <xf numFmtId="0" fontId="4" fillId="0" borderId="32" xfId="0" applyFont="1" applyBorder="1" applyAlignment="1">
      <alignment horizontal="right"/>
    </xf>
    <xf numFmtId="0" fontId="4" fillId="0" borderId="3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4" fontId="4" fillId="0" borderId="32" xfId="0" applyNumberFormat="1" applyFont="1" applyBorder="1" applyAlignment="1">
      <alignment horizontal="center"/>
    </xf>
    <xf numFmtId="4" fontId="4" fillId="0" borderId="34" xfId="0" applyNumberFormat="1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28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35" xfId="0" applyBorder="1" applyAlignment="1">
      <alignment horizontal="center"/>
    </xf>
    <xf numFmtId="0" fontId="11" fillId="0" borderId="36" xfId="0" applyFont="1" applyBorder="1"/>
    <xf numFmtId="1" fontId="0" fillId="0" borderId="36" xfId="0" applyNumberFormat="1" applyBorder="1" applyAlignment="1">
      <alignment horizontal="center"/>
    </xf>
    <xf numFmtId="3" fontId="0" fillId="0" borderId="36" xfId="0" applyNumberFormat="1" applyBorder="1"/>
    <xf numFmtId="3" fontId="0" fillId="0" borderId="35" xfId="0" applyNumberFormat="1" applyBorder="1"/>
    <xf numFmtId="0" fontId="0" fillId="0" borderId="0" xfId="0" applyBorder="1"/>
    <xf numFmtId="0" fontId="0" fillId="0" borderId="37" xfId="0" applyBorder="1" applyAlignment="1">
      <alignment horizontal="center"/>
    </xf>
    <xf numFmtId="0" fontId="11" fillId="0" borderId="38" xfId="0" applyFont="1" applyBorder="1"/>
    <xf numFmtId="1" fontId="0" fillId="0" borderId="38" xfId="0" applyNumberFormat="1" applyBorder="1" applyAlignment="1">
      <alignment horizontal="center"/>
    </xf>
    <xf numFmtId="3" fontId="0" fillId="0" borderId="38" xfId="0" applyNumberFormat="1" applyBorder="1"/>
    <xf numFmtId="3" fontId="0" fillId="0" borderId="37" xfId="0" applyNumberFormat="1" applyBorder="1"/>
    <xf numFmtId="0" fontId="0" fillId="0" borderId="39" xfId="0" applyBorder="1" applyAlignment="1">
      <alignment horizontal="center" vertical="top"/>
    </xf>
    <xf numFmtId="0" fontId="11" fillId="0" borderId="40" xfId="0" applyFont="1" applyBorder="1" applyAlignment="1">
      <alignment vertical="top" wrapText="1"/>
    </xf>
    <xf numFmtId="1" fontId="0" fillId="0" borderId="40" xfId="0" applyNumberFormat="1" applyBorder="1" applyAlignment="1">
      <alignment horizontal="center" vertical="top"/>
    </xf>
    <xf numFmtId="3" fontId="4" fillId="0" borderId="40" xfId="0" applyNumberFormat="1" applyFont="1" applyBorder="1" applyAlignment="1">
      <alignment vertical="top"/>
    </xf>
    <xf numFmtId="3" fontId="0" fillId="0" borderId="39" xfId="0" applyNumberFormat="1" applyBorder="1" applyAlignment="1">
      <alignment vertical="top"/>
    </xf>
    <xf numFmtId="3" fontId="4" fillId="5" borderId="0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41" xfId="0" applyBorder="1" applyAlignment="1">
      <alignment horizontal="center" vertical="center"/>
    </xf>
    <xf numFmtId="0" fontId="11" fillId="0" borderId="40" xfId="0" applyFont="1" applyBorder="1"/>
    <xf numFmtId="1" fontId="0" fillId="0" borderId="42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10" fontId="4" fillId="5" borderId="0" xfId="0" applyNumberFormat="1" applyFont="1" applyFill="1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right" vertical="center"/>
    </xf>
    <xf numFmtId="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" fontId="0" fillId="0" borderId="40" xfId="0" applyNumberFormat="1" applyBorder="1" applyAlignment="1">
      <alignment horizontal="center"/>
    </xf>
    <xf numFmtId="3" fontId="0" fillId="0" borderId="40" xfId="0" applyNumberFormat="1" applyBorder="1"/>
    <xf numFmtId="3" fontId="0" fillId="0" borderId="39" xfId="0" applyNumberFormat="1" applyBorder="1"/>
    <xf numFmtId="1" fontId="0" fillId="0" borderId="0" xfId="0" applyNumberFormat="1" applyBorder="1"/>
    <xf numFmtId="0" fontId="11" fillId="0" borderId="42" xfId="0" applyFont="1" applyBorder="1"/>
    <xf numFmtId="0" fontId="0" fillId="0" borderId="43" xfId="0" applyBorder="1" applyAlignment="1">
      <alignment horizontal="center" vertical="center"/>
    </xf>
    <xf numFmtId="0" fontId="11" fillId="0" borderId="44" xfId="0" applyFont="1" applyBorder="1"/>
    <xf numFmtId="1" fontId="0" fillId="0" borderId="44" xfId="0" applyNumberFormat="1" applyBorder="1" applyAlignment="1">
      <alignment horizontal="center"/>
    </xf>
    <xf numFmtId="3" fontId="0" fillId="0" borderId="44" xfId="0" applyNumberFormat="1" applyBorder="1"/>
    <xf numFmtId="3" fontId="0" fillId="0" borderId="43" xfId="0" applyNumberFormat="1" applyBorder="1"/>
    <xf numFmtId="3" fontId="4" fillId="0" borderId="0" xfId="0" applyNumberFormat="1" applyFont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0" fillId="0" borderId="36" xfId="0" applyNumberFormat="1" applyBorder="1"/>
    <xf numFmtId="1" fontId="0" fillId="0" borderId="35" xfId="0" applyNumberFormat="1" applyBorder="1"/>
    <xf numFmtId="0" fontId="0" fillId="0" borderId="40" xfId="0" applyBorder="1" applyAlignment="1">
      <alignment horizontal="center" vertical="center"/>
    </xf>
    <xf numFmtId="0" fontId="11" fillId="0" borderId="40" xfId="0" applyFont="1" applyBorder="1" applyAlignment="1">
      <alignment horizontal="left" vertical="center"/>
    </xf>
    <xf numFmtId="1" fontId="0" fillId="0" borderId="40" xfId="0" applyNumberFormat="1" applyBorder="1" applyAlignment="1">
      <alignment horizontal="center" vertical="center"/>
    </xf>
    <xf numFmtId="1" fontId="0" fillId="0" borderId="40" xfId="0" applyNumberFormat="1" applyBorder="1"/>
    <xf numFmtId="1" fontId="0" fillId="0" borderId="39" xfId="0" applyNumberFormat="1" applyBorder="1"/>
    <xf numFmtId="0" fontId="0" fillId="0" borderId="42" xfId="0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1" fontId="0" fillId="0" borderId="42" xfId="0" applyNumberFormat="1" applyBorder="1"/>
    <xf numFmtId="1" fontId="0" fillId="0" borderId="41" xfId="0" applyNumberFormat="1" applyBorder="1"/>
    <xf numFmtId="3" fontId="4" fillId="0" borderId="0" xfId="0" applyNumberFormat="1" applyFont="1" applyBorder="1"/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0" fillId="0" borderId="38" xfId="0" applyBorder="1" applyAlignment="1">
      <alignment horizontal="center"/>
    </xf>
    <xf numFmtId="0" fontId="0" fillId="0" borderId="38" xfId="0" applyBorder="1"/>
    <xf numFmtId="1" fontId="0" fillId="0" borderId="38" xfId="0" applyNumberFormat="1" applyFont="1" applyBorder="1"/>
    <xf numFmtId="1" fontId="0" fillId="0" borderId="37" xfId="0" applyNumberFormat="1" applyBorder="1"/>
    <xf numFmtId="0" fontId="4" fillId="0" borderId="0" xfId="0" applyFont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/>
    <xf numFmtId="1" fontId="0" fillId="0" borderId="44" xfId="0" applyNumberFormat="1" applyFont="1" applyBorder="1"/>
    <xf numFmtId="1" fontId="0" fillId="0" borderId="43" xfId="0" applyNumberFormat="1" applyBorder="1"/>
    <xf numFmtId="0" fontId="4" fillId="0" borderId="0" xfId="0" applyFont="1" applyAlignment="1">
      <alignment horizontal="right"/>
    </xf>
    <xf numFmtId="3" fontId="4" fillId="0" borderId="3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-</a:t>
            </a:r>
            <a:r>
              <a:rPr lang="en-US" baseline="0"/>
              <a:t> Cash Flow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'Cash Flow'!$A$7</c:f>
              <c:strCache>
                <c:ptCount val="1"/>
                <c:pt idx="0">
                  <c:v>Final 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dLbls>
            <c:numFmt formatCode="_(* #,##0_);_(* \(#,##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'Cash Flow'!$B$1:$AC$2</c15:sqref>
                  </c15:fullRef>
                  <c15:levelRef>
                    <c15:sqref>'Cash Flow'!$B$1:$AC$1</c15:sqref>
                  </c15:levelRef>
                </c:ext>
              </c:extLst>
              <c:f>'Cash Flow'!$B$1:$AC$1</c:f>
              <c:strCache>
                <c:ptCount val="28"/>
                <c:pt idx="0">
                  <c:v>Pre - Mobilization Cost</c:v>
                </c:pt>
                <c:pt idx="1">
                  <c:v>Mobilization</c:v>
                </c:pt>
                <c:pt idx="2">
                  <c:v>6 Months Implementation</c:v>
                </c:pt>
                <c:pt idx="8">
                  <c:v>DLP1</c:v>
                </c:pt>
                <c:pt idx="12">
                  <c:v>DLP2</c:v>
                </c:pt>
                <c:pt idx="16">
                  <c:v>AMC 1</c:v>
                </c:pt>
                <c:pt idx="20">
                  <c:v>AMC 2</c:v>
                </c:pt>
                <c:pt idx="24">
                  <c:v>AMC 3</c:v>
                </c:pt>
              </c:strCache>
            </c:strRef>
          </c:cat>
          <c:val>
            <c:numRef>
              <c:f>'Cash Flow'!$B$7:$AC$7</c:f>
              <c:numCache>
                <c:formatCode>_(* #,##0_);_(* \(#,##0\);_(* "-"??_);_(@_)</c:formatCode>
                <c:ptCount val="28"/>
                <c:pt idx="0">
                  <c:v>-152988.48000000001</c:v>
                </c:pt>
                <c:pt idx="1">
                  <c:v>-322414.6679999996</c:v>
                </c:pt>
                <c:pt idx="2">
                  <c:v>4728253.9810641808</c:v>
                </c:pt>
                <c:pt idx="3">
                  <c:v>4728253.9810641808</c:v>
                </c:pt>
                <c:pt idx="4">
                  <c:v>4728253.9810641808</c:v>
                </c:pt>
                <c:pt idx="5">
                  <c:v>-7008598.4343049219</c:v>
                </c:pt>
                <c:pt idx="6">
                  <c:v>4193516.5190262683</c:v>
                </c:pt>
                <c:pt idx="7">
                  <c:v>4193516.5190262683</c:v>
                </c:pt>
                <c:pt idx="8">
                  <c:v>-686880</c:v>
                </c:pt>
                <c:pt idx="9">
                  <c:v>-686880</c:v>
                </c:pt>
                <c:pt idx="10">
                  <c:v>-686880</c:v>
                </c:pt>
                <c:pt idx="11">
                  <c:v>-686880</c:v>
                </c:pt>
                <c:pt idx="12">
                  <c:v>-686880</c:v>
                </c:pt>
                <c:pt idx="13">
                  <c:v>-686880</c:v>
                </c:pt>
                <c:pt idx="14">
                  <c:v>-686880</c:v>
                </c:pt>
                <c:pt idx="15">
                  <c:v>2650717.2000000011</c:v>
                </c:pt>
                <c:pt idx="16">
                  <c:v>175793.75</c:v>
                </c:pt>
                <c:pt idx="17">
                  <c:v>175793.75</c:v>
                </c:pt>
                <c:pt idx="18">
                  <c:v>175793.75</c:v>
                </c:pt>
                <c:pt idx="19">
                  <c:v>175793.75</c:v>
                </c:pt>
                <c:pt idx="20">
                  <c:v>389525.75</c:v>
                </c:pt>
                <c:pt idx="21">
                  <c:v>389525.75</c:v>
                </c:pt>
                <c:pt idx="22">
                  <c:v>389525.75</c:v>
                </c:pt>
                <c:pt idx="23">
                  <c:v>389525.75</c:v>
                </c:pt>
                <c:pt idx="24">
                  <c:v>638879.5</c:v>
                </c:pt>
                <c:pt idx="25">
                  <c:v>638879.5</c:v>
                </c:pt>
                <c:pt idx="26">
                  <c:v>638879.5</c:v>
                </c:pt>
                <c:pt idx="27">
                  <c:v>638879.5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98496"/>
        <c:axId val="250099056"/>
        <c:axId val="189189680"/>
      </c:line3DChart>
      <c:catAx>
        <c:axId val="25009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99056"/>
        <c:crosses val="autoZero"/>
        <c:auto val="1"/>
        <c:lblAlgn val="ctr"/>
        <c:lblOffset val="100"/>
        <c:noMultiLvlLbl val="0"/>
      </c:catAx>
      <c:valAx>
        <c:axId val="2500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98496"/>
        <c:crosses val="autoZero"/>
        <c:crossBetween val="between"/>
      </c:valAx>
      <c:serAx>
        <c:axId val="189189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09905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504825</xdr:colOff>
      <xdr:row>24</xdr:row>
      <xdr:rowOff>66674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zoomScale="80" zoomScaleNormal="80" workbookViewId="0">
      <selection activeCell="A65" sqref="A65:H65"/>
    </sheetView>
  </sheetViews>
  <sheetFormatPr defaultRowHeight="15"/>
  <cols>
    <col min="1" max="1" width="29.7109375" bestFit="1" customWidth="1"/>
    <col min="2" max="2" width="17.7109375" bestFit="1" customWidth="1"/>
    <col min="3" max="3" width="31.85546875" customWidth="1"/>
    <col min="4" max="4" width="36.7109375" customWidth="1"/>
    <col min="8" max="8" width="30.85546875" customWidth="1"/>
  </cols>
  <sheetData>
    <row r="1" spans="1:8" ht="15.75" thickBot="1"/>
    <row r="2" spans="1:8" ht="15.75">
      <c r="A2" s="75" t="s">
        <v>92</v>
      </c>
      <c r="B2" s="76"/>
      <c r="C2" s="76"/>
      <c r="D2" s="76"/>
      <c r="E2" s="76"/>
      <c r="F2" s="76"/>
      <c r="G2" s="76"/>
      <c r="H2" s="77"/>
    </row>
    <row r="3" spans="1:8">
      <c r="A3" s="13"/>
      <c r="B3" s="14"/>
      <c r="C3" s="14"/>
      <c r="D3" s="14"/>
      <c r="E3" s="14"/>
      <c r="F3" s="14"/>
      <c r="G3" s="14"/>
      <c r="H3" s="15"/>
    </row>
    <row r="4" spans="1:8">
      <c r="A4" s="16" t="s">
        <v>22</v>
      </c>
      <c r="B4" s="17">
        <v>0.08</v>
      </c>
      <c r="C4" s="14"/>
      <c r="D4" s="14"/>
      <c r="E4" s="14"/>
      <c r="F4" s="14"/>
      <c r="G4" s="14"/>
      <c r="H4" s="15"/>
    </row>
    <row r="5" spans="1:8">
      <c r="A5" s="13"/>
      <c r="B5" s="14"/>
      <c r="C5" s="14"/>
      <c r="D5" s="14"/>
      <c r="E5" s="14"/>
      <c r="F5" s="14"/>
      <c r="G5" s="14"/>
      <c r="H5" s="15"/>
    </row>
    <row r="6" spans="1:8" ht="15.75">
      <c r="A6" s="18" t="s">
        <v>32</v>
      </c>
      <c r="B6" s="19" t="s">
        <v>48</v>
      </c>
      <c r="C6" s="14"/>
      <c r="D6" s="14"/>
      <c r="E6" s="14"/>
      <c r="F6" s="14"/>
      <c r="G6" s="14"/>
      <c r="H6" s="15"/>
    </row>
    <row r="7" spans="1:8">
      <c r="A7" s="16" t="s">
        <v>21</v>
      </c>
      <c r="B7" s="20">
        <v>214100000</v>
      </c>
      <c r="C7" s="14"/>
      <c r="D7" s="14"/>
      <c r="E7" s="14"/>
      <c r="F7" s="14"/>
      <c r="G7" s="14"/>
      <c r="H7" s="15"/>
    </row>
    <row r="8" spans="1:8">
      <c r="A8" s="16" t="s">
        <v>14</v>
      </c>
      <c r="B8" s="20">
        <v>5000</v>
      </c>
      <c r="C8" s="14"/>
      <c r="D8" s="14"/>
      <c r="E8" s="14"/>
      <c r="F8" s="14"/>
      <c r="G8" s="14"/>
      <c r="H8" s="15"/>
    </row>
    <row r="9" spans="1:8">
      <c r="A9" s="16" t="s">
        <v>15</v>
      </c>
      <c r="B9" s="20">
        <f xml:space="preserve"> 0.02 *B7</f>
        <v>4282000</v>
      </c>
      <c r="C9" s="14"/>
      <c r="D9" s="14"/>
      <c r="E9" s="14"/>
      <c r="F9" s="14"/>
      <c r="G9" s="14"/>
      <c r="H9" s="15"/>
    </row>
    <row r="10" spans="1:8">
      <c r="A10" s="16" t="s">
        <v>31</v>
      </c>
      <c r="B10" s="20">
        <f xml:space="preserve"> 0.8% *B9</f>
        <v>34256</v>
      </c>
      <c r="C10" s="14"/>
      <c r="D10" s="14"/>
      <c r="E10" s="14"/>
      <c r="F10" s="14"/>
      <c r="G10" s="14"/>
      <c r="H10" s="15"/>
    </row>
    <row r="11" spans="1:8">
      <c r="A11" s="16" t="s">
        <v>16</v>
      </c>
      <c r="B11" s="20">
        <v>12800000</v>
      </c>
      <c r="C11" s="14"/>
      <c r="D11" s="14"/>
      <c r="E11" s="14"/>
      <c r="F11" s="14"/>
      <c r="G11" s="14"/>
      <c r="H11" s="15"/>
    </row>
    <row r="12" spans="1:8">
      <c r="A12" s="16" t="s">
        <v>30</v>
      </c>
      <c r="B12" s="20">
        <f xml:space="preserve"> 0.8% *B11</f>
        <v>102400</v>
      </c>
      <c r="C12" s="14"/>
      <c r="D12" s="14"/>
      <c r="E12" s="14"/>
      <c r="F12" s="14"/>
      <c r="G12" s="14"/>
      <c r="H12" s="15"/>
    </row>
    <row r="13" spans="1:8">
      <c r="A13" s="13"/>
      <c r="B13" s="14"/>
      <c r="C13" s="14"/>
      <c r="D13" s="14"/>
      <c r="E13" s="14"/>
      <c r="F13" s="14"/>
      <c r="G13" s="14"/>
      <c r="H13" s="15"/>
    </row>
    <row r="14" spans="1:8" ht="47.25">
      <c r="A14" s="18" t="s">
        <v>33</v>
      </c>
      <c r="B14" s="19" t="s">
        <v>34</v>
      </c>
      <c r="C14" s="21" t="s">
        <v>43</v>
      </c>
      <c r="D14" s="19" t="s">
        <v>41</v>
      </c>
      <c r="E14" s="14"/>
      <c r="F14" s="14"/>
      <c r="G14" s="14"/>
      <c r="H14" s="15"/>
    </row>
    <row r="15" spans="1:8">
      <c r="A15" s="16" t="s">
        <v>35</v>
      </c>
      <c r="B15" s="20">
        <v>75518615</v>
      </c>
      <c r="C15" s="20">
        <f xml:space="preserve"> B15/34</f>
        <v>2221135.7352941176</v>
      </c>
      <c r="D15" s="20"/>
      <c r="E15" s="14"/>
      <c r="F15" s="14"/>
      <c r="G15" s="14"/>
      <c r="H15" s="15"/>
    </row>
    <row r="16" spans="1:8">
      <c r="A16" s="16" t="s">
        <v>36</v>
      </c>
      <c r="B16" s="20">
        <v>38471748</v>
      </c>
      <c r="C16" s="20">
        <f xml:space="preserve"> B16/30</f>
        <v>1282391.6000000001</v>
      </c>
      <c r="D16" s="20"/>
      <c r="E16" s="14"/>
      <c r="F16" s="14"/>
      <c r="G16" s="14"/>
      <c r="H16" s="15"/>
    </row>
    <row r="17" spans="1:8" ht="15.75" thickBot="1">
      <c r="A17" s="41" t="s">
        <v>37</v>
      </c>
      <c r="B17" s="42">
        <v>14248796</v>
      </c>
      <c r="C17" s="20">
        <f>B17/30</f>
        <v>474959.86666666664</v>
      </c>
      <c r="D17" s="20"/>
      <c r="E17" s="14"/>
      <c r="F17" s="14"/>
      <c r="G17" s="14"/>
      <c r="H17" s="15"/>
    </row>
    <row r="18" spans="1:8" ht="15.75" thickBot="1">
      <c r="A18" s="45" t="s">
        <v>12</v>
      </c>
      <c r="B18" s="46">
        <f xml:space="preserve"> SUM(B15:B17)</f>
        <v>128239159</v>
      </c>
      <c r="C18" s="40"/>
      <c r="D18" s="20"/>
      <c r="E18" s="14"/>
      <c r="F18" s="14"/>
      <c r="G18" s="14"/>
      <c r="H18" s="15"/>
    </row>
    <row r="19" spans="1:8">
      <c r="A19" s="43" t="s">
        <v>97</v>
      </c>
      <c r="B19" s="44">
        <v>14248796</v>
      </c>
      <c r="C19" s="20"/>
      <c r="D19" s="20" t="s">
        <v>98</v>
      </c>
      <c r="E19" s="14"/>
      <c r="F19" s="14"/>
      <c r="G19" s="14"/>
      <c r="H19" s="15"/>
    </row>
    <row r="20" spans="1:8">
      <c r="A20" s="16" t="s">
        <v>23</v>
      </c>
      <c r="B20" s="22">
        <f xml:space="preserve"> SUM(B18:B19)</f>
        <v>142487955</v>
      </c>
      <c r="C20" s="20"/>
      <c r="D20" s="20"/>
      <c r="E20" s="14"/>
      <c r="F20" s="14"/>
      <c r="G20" s="14"/>
      <c r="H20" s="15"/>
    </row>
    <row r="21" spans="1:8" ht="29.25">
      <c r="A21" s="23" t="s">
        <v>38</v>
      </c>
      <c r="B21" s="24">
        <v>0.1</v>
      </c>
      <c r="C21" s="20"/>
      <c r="D21" s="25" t="s">
        <v>42</v>
      </c>
      <c r="E21" s="14"/>
      <c r="F21" s="14"/>
      <c r="G21" s="14"/>
      <c r="H21" s="15"/>
    </row>
    <row r="22" spans="1:8">
      <c r="A22" s="13"/>
      <c r="B22" s="14"/>
      <c r="C22" s="14"/>
      <c r="D22" s="14"/>
      <c r="E22" s="14"/>
      <c r="F22" s="14"/>
      <c r="G22" s="14"/>
      <c r="H22" s="15"/>
    </row>
    <row r="23" spans="1:8">
      <c r="A23" s="13"/>
      <c r="B23" s="14"/>
      <c r="C23" s="14"/>
      <c r="D23" s="14"/>
      <c r="E23" s="14"/>
      <c r="F23" s="14"/>
      <c r="G23" s="14"/>
      <c r="H23" s="15"/>
    </row>
    <row r="24" spans="1:8" ht="31.5">
      <c r="A24" s="18" t="s">
        <v>39</v>
      </c>
      <c r="B24" s="19" t="s">
        <v>44</v>
      </c>
      <c r="C24" s="21" t="s">
        <v>45</v>
      </c>
      <c r="D24" s="21" t="s">
        <v>41</v>
      </c>
      <c r="E24" s="14"/>
      <c r="F24" s="14"/>
      <c r="G24" s="14"/>
      <c r="H24" s="15"/>
    </row>
    <row r="25" spans="1:8" ht="39">
      <c r="A25" s="23" t="s">
        <v>40</v>
      </c>
      <c r="B25" s="20">
        <v>50000</v>
      </c>
      <c r="C25" s="20"/>
      <c r="D25" s="20" t="s">
        <v>96</v>
      </c>
      <c r="E25" s="14"/>
      <c r="F25" s="14"/>
      <c r="G25" s="14"/>
      <c r="H25" s="15"/>
    </row>
    <row r="26" spans="1:8" ht="44.25" thickBot="1">
      <c r="A26" s="50" t="s">
        <v>28</v>
      </c>
      <c r="B26" s="42">
        <f xml:space="preserve"> 6 * 2000</f>
        <v>12000</v>
      </c>
      <c r="C26" s="42"/>
      <c r="D26" s="25" t="s">
        <v>46</v>
      </c>
      <c r="E26" s="14"/>
      <c r="F26" s="14"/>
      <c r="G26" s="14"/>
      <c r="H26" s="15"/>
    </row>
    <row r="27" spans="1:8" ht="16.5" thickBot="1">
      <c r="A27" s="51" t="s">
        <v>25</v>
      </c>
      <c r="B27" s="57">
        <f>94444435</f>
        <v>94444435</v>
      </c>
      <c r="C27" s="52"/>
      <c r="D27" s="40" t="s">
        <v>47</v>
      </c>
      <c r="E27" s="14"/>
      <c r="F27" s="14"/>
      <c r="G27" s="14"/>
      <c r="H27" s="15"/>
    </row>
    <row r="28" spans="1:8" ht="15.75" thickBot="1">
      <c r="A28" s="59" t="s">
        <v>49</v>
      </c>
      <c r="B28" s="47">
        <v>13072448</v>
      </c>
      <c r="C28" s="47"/>
      <c r="D28" s="20" t="s">
        <v>50</v>
      </c>
      <c r="E28" s="14"/>
      <c r="F28" s="14"/>
      <c r="G28" s="14"/>
      <c r="H28" s="15"/>
    </row>
    <row r="29" spans="1:8" ht="15.75" thickBot="1">
      <c r="A29" s="49" t="s">
        <v>26</v>
      </c>
      <c r="B29" s="58">
        <f xml:space="preserve"> B27-B28</f>
        <v>81371987</v>
      </c>
      <c r="C29" s="46"/>
      <c r="D29" s="40" t="s">
        <v>51</v>
      </c>
      <c r="E29" s="14"/>
      <c r="F29" s="14"/>
      <c r="G29" s="14"/>
      <c r="H29" s="15"/>
    </row>
    <row r="30" spans="1:8">
      <c r="A30" s="54" t="s">
        <v>35</v>
      </c>
      <c r="B30" s="44">
        <f xml:space="preserve"> 0.6 * B29</f>
        <v>48823192.199999996</v>
      </c>
      <c r="C30" s="55">
        <f xml:space="preserve"> B30/34</f>
        <v>1435976.2411764704</v>
      </c>
      <c r="D30" s="20"/>
      <c r="E30" s="14"/>
      <c r="F30" s="14"/>
      <c r="G30" s="14"/>
      <c r="H30" s="15"/>
    </row>
    <row r="31" spans="1:8">
      <c r="A31" s="53" t="s">
        <v>36</v>
      </c>
      <c r="B31" s="20">
        <f xml:space="preserve"> 0.3 *B29</f>
        <v>24411596.099999998</v>
      </c>
      <c r="C31" s="26">
        <f xml:space="preserve"> B31/30</f>
        <v>813719.86999999988</v>
      </c>
      <c r="D31" s="20"/>
      <c r="E31" s="14"/>
      <c r="F31" s="14"/>
      <c r="G31" s="14"/>
      <c r="H31" s="15"/>
    </row>
    <row r="32" spans="1:8">
      <c r="A32" s="53" t="s">
        <v>37</v>
      </c>
      <c r="B32" s="20">
        <f xml:space="preserve"> 0.1 *B29</f>
        <v>8137198.7000000002</v>
      </c>
      <c r="C32" s="26">
        <f xml:space="preserve"> B32/30</f>
        <v>271239.95666666667</v>
      </c>
      <c r="D32" s="20"/>
      <c r="E32" s="14"/>
      <c r="F32" s="14"/>
      <c r="G32" s="14"/>
      <c r="H32" s="15"/>
    </row>
    <row r="33" spans="1:8">
      <c r="A33" s="56"/>
      <c r="B33" s="42"/>
      <c r="C33" s="48"/>
      <c r="D33" s="42"/>
      <c r="E33" s="14"/>
      <c r="F33" s="14"/>
      <c r="G33" s="14"/>
      <c r="H33" s="15"/>
    </row>
    <row r="34" spans="1:8" ht="15.75" thickBot="1">
      <c r="A34" s="27" t="s">
        <v>27</v>
      </c>
      <c r="B34" s="28">
        <v>14000000</v>
      </c>
      <c r="C34" s="29"/>
      <c r="D34" s="29"/>
      <c r="E34" s="30"/>
      <c r="F34" s="30"/>
      <c r="G34" s="30"/>
      <c r="H34" s="31"/>
    </row>
    <row r="35" spans="1:8" ht="15.75" thickBot="1">
      <c r="A35" s="32"/>
      <c r="B35" s="32"/>
      <c r="C35" s="32"/>
      <c r="D35" s="32"/>
      <c r="E35" s="32"/>
      <c r="F35" s="32"/>
      <c r="G35" s="32"/>
      <c r="H35" s="32"/>
    </row>
    <row r="36" spans="1:8" ht="15.75">
      <c r="A36" s="75" t="s">
        <v>53</v>
      </c>
      <c r="B36" s="76"/>
      <c r="C36" s="76"/>
      <c r="D36" s="76"/>
      <c r="E36" s="76"/>
      <c r="F36" s="76"/>
      <c r="G36" s="76"/>
      <c r="H36" s="77"/>
    </row>
    <row r="37" spans="1:8">
      <c r="A37" s="13"/>
      <c r="B37" s="14"/>
      <c r="C37" s="14"/>
      <c r="D37" s="14"/>
      <c r="E37" s="14"/>
      <c r="F37" s="14"/>
      <c r="G37" s="14"/>
      <c r="H37" s="15"/>
    </row>
    <row r="38" spans="1:8">
      <c r="A38" s="60" t="s">
        <v>93</v>
      </c>
      <c r="B38" s="61"/>
      <c r="C38" s="61"/>
      <c r="D38" s="61"/>
      <c r="E38" s="61"/>
      <c r="F38" s="61"/>
      <c r="G38" s="61"/>
      <c r="H38" s="62"/>
    </row>
    <row r="39" spans="1:8">
      <c r="A39" s="33"/>
      <c r="B39" s="34"/>
      <c r="C39" s="34"/>
      <c r="D39" s="34"/>
      <c r="E39" s="34"/>
      <c r="F39" s="34"/>
      <c r="G39" s="34"/>
      <c r="H39" s="35"/>
    </row>
    <row r="40" spans="1:8" ht="15.75">
      <c r="A40" s="69" t="s">
        <v>8</v>
      </c>
      <c r="B40" s="70"/>
      <c r="C40" s="70"/>
      <c r="D40" s="70"/>
      <c r="E40" s="70"/>
      <c r="F40" s="70"/>
      <c r="G40" s="70"/>
      <c r="H40" s="71"/>
    </row>
    <row r="41" spans="1:8">
      <c r="A41" s="63" t="s">
        <v>54</v>
      </c>
      <c r="B41" s="64"/>
      <c r="C41" s="64"/>
      <c r="D41" s="64"/>
      <c r="E41" s="64"/>
      <c r="F41" s="64"/>
      <c r="G41" s="64"/>
      <c r="H41" s="65"/>
    </row>
    <row r="42" spans="1:8">
      <c r="A42" s="63" t="s">
        <v>59</v>
      </c>
      <c r="B42" s="64"/>
      <c r="C42" s="64"/>
      <c r="D42" s="64"/>
      <c r="E42" s="64"/>
      <c r="F42" s="64"/>
      <c r="G42" s="64"/>
      <c r="H42" s="65"/>
    </row>
    <row r="43" spans="1:8">
      <c r="A43" s="63" t="s">
        <v>55</v>
      </c>
      <c r="B43" s="64"/>
      <c r="C43" s="64"/>
      <c r="D43" s="64"/>
      <c r="E43" s="64"/>
      <c r="F43" s="64"/>
      <c r="G43" s="64"/>
      <c r="H43" s="65"/>
    </row>
    <row r="44" spans="1:8">
      <c r="A44" s="60" t="s">
        <v>58</v>
      </c>
      <c r="B44" s="61"/>
      <c r="C44" s="61"/>
      <c r="D44" s="61"/>
      <c r="E44" s="61"/>
      <c r="F44" s="61"/>
      <c r="G44" s="61"/>
      <c r="H44" s="62"/>
    </row>
    <row r="45" spans="1:8">
      <c r="A45" s="60" t="s">
        <v>57</v>
      </c>
      <c r="B45" s="61"/>
      <c r="C45" s="61"/>
      <c r="D45" s="61"/>
      <c r="E45" s="61"/>
      <c r="F45" s="61"/>
      <c r="G45" s="61"/>
      <c r="H45" s="62"/>
    </row>
    <row r="46" spans="1:8">
      <c r="A46" s="60" t="s">
        <v>56</v>
      </c>
      <c r="B46" s="61"/>
      <c r="C46" s="61"/>
      <c r="D46" s="61"/>
      <c r="E46" s="61"/>
      <c r="F46" s="61"/>
      <c r="G46" s="61"/>
      <c r="H46" s="62"/>
    </row>
    <row r="47" spans="1:8">
      <c r="A47" s="72" t="s">
        <v>71</v>
      </c>
      <c r="B47" s="73"/>
      <c r="C47" s="73"/>
      <c r="D47" s="73"/>
      <c r="E47" s="73"/>
      <c r="F47" s="73"/>
      <c r="G47" s="73"/>
      <c r="H47" s="74"/>
    </row>
    <row r="48" spans="1:8">
      <c r="A48" s="60" t="s">
        <v>72</v>
      </c>
      <c r="B48" s="61"/>
      <c r="C48" s="61"/>
      <c r="D48" s="61"/>
      <c r="E48" s="61"/>
      <c r="F48" s="61"/>
      <c r="G48" s="61"/>
      <c r="H48" s="62"/>
    </row>
    <row r="49" spans="1:8">
      <c r="A49" s="60" t="s">
        <v>73</v>
      </c>
      <c r="B49" s="61"/>
      <c r="C49" s="61"/>
      <c r="D49" s="61"/>
      <c r="E49" s="61"/>
      <c r="F49" s="61"/>
      <c r="G49" s="61"/>
      <c r="H49" s="62"/>
    </row>
    <row r="50" spans="1:8">
      <c r="A50" s="63" t="s">
        <v>60</v>
      </c>
      <c r="B50" s="64"/>
      <c r="C50" s="64"/>
      <c r="D50" s="64"/>
      <c r="E50" s="64"/>
      <c r="F50" s="64"/>
      <c r="G50" s="64"/>
      <c r="H50" s="65"/>
    </row>
    <row r="51" spans="1:8">
      <c r="A51" s="60" t="s">
        <v>62</v>
      </c>
      <c r="B51" s="61"/>
      <c r="C51" s="61"/>
      <c r="D51" s="61"/>
      <c r="E51" s="61"/>
      <c r="F51" s="61"/>
      <c r="G51" s="61"/>
      <c r="H51" s="62"/>
    </row>
    <row r="52" spans="1:8">
      <c r="A52" s="60" t="s">
        <v>63</v>
      </c>
      <c r="B52" s="61"/>
      <c r="C52" s="61"/>
      <c r="D52" s="61"/>
      <c r="E52" s="61"/>
      <c r="F52" s="61"/>
      <c r="G52" s="61"/>
      <c r="H52" s="62"/>
    </row>
    <row r="53" spans="1:8">
      <c r="A53" s="63" t="s">
        <v>61</v>
      </c>
      <c r="B53" s="64"/>
      <c r="C53" s="64"/>
      <c r="D53" s="64"/>
      <c r="E53" s="64"/>
      <c r="F53" s="64"/>
      <c r="G53" s="64"/>
      <c r="H53" s="65"/>
    </row>
    <row r="54" spans="1:8">
      <c r="A54" s="60" t="s">
        <v>64</v>
      </c>
      <c r="B54" s="61"/>
      <c r="C54" s="61"/>
      <c r="D54" s="61"/>
      <c r="E54" s="61"/>
      <c r="F54" s="61"/>
      <c r="G54" s="61"/>
      <c r="H54" s="62"/>
    </row>
    <row r="55" spans="1:8">
      <c r="A55" s="60"/>
      <c r="B55" s="61"/>
      <c r="C55" s="61"/>
      <c r="D55" s="61"/>
      <c r="E55" s="61"/>
      <c r="F55" s="61"/>
      <c r="G55" s="61"/>
      <c r="H55" s="62"/>
    </row>
    <row r="56" spans="1:8" ht="15.75">
      <c r="A56" s="69" t="s">
        <v>70</v>
      </c>
      <c r="B56" s="70"/>
      <c r="C56" s="70"/>
      <c r="D56" s="70"/>
      <c r="E56" s="70"/>
      <c r="F56" s="70"/>
      <c r="G56" s="70"/>
      <c r="H56" s="71"/>
    </row>
    <row r="57" spans="1:8">
      <c r="A57" s="63" t="s">
        <v>65</v>
      </c>
      <c r="B57" s="64"/>
      <c r="C57" s="64"/>
      <c r="D57" s="64"/>
      <c r="E57" s="64"/>
      <c r="F57" s="64"/>
      <c r="G57" s="64"/>
      <c r="H57" s="65"/>
    </row>
    <row r="58" spans="1:8">
      <c r="A58" s="63" t="s">
        <v>66</v>
      </c>
      <c r="B58" s="64"/>
      <c r="C58" s="64"/>
      <c r="D58" s="64"/>
      <c r="E58" s="64"/>
      <c r="F58" s="64"/>
      <c r="G58" s="64"/>
      <c r="H58" s="65"/>
    </row>
    <row r="59" spans="1:8">
      <c r="A59" s="63" t="s">
        <v>55</v>
      </c>
      <c r="B59" s="64"/>
      <c r="C59" s="64"/>
      <c r="D59" s="64"/>
      <c r="E59" s="64"/>
      <c r="F59" s="64"/>
      <c r="G59" s="64"/>
      <c r="H59" s="65"/>
    </row>
    <row r="60" spans="1:8">
      <c r="A60" s="60" t="s">
        <v>67</v>
      </c>
      <c r="B60" s="61"/>
      <c r="C60" s="61"/>
      <c r="D60" s="61"/>
      <c r="E60" s="61"/>
      <c r="F60" s="61"/>
      <c r="G60" s="61"/>
      <c r="H60" s="62"/>
    </row>
    <row r="61" spans="1:8">
      <c r="A61" s="60" t="s">
        <v>68</v>
      </c>
      <c r="B61" s="61"/>
      <c r="C61" s="61"/>
      <c r="D61" s="61"/>
      <c r="E61" s="61"/>
      <c r="F61" s="61"/>
      <c r="G61" s="61"/>
      <c r="H61" s="62"/>
    </row>
    <row r="62" spans="1:8">
      <c r="A62" s="60" t="s">
        <v>69</v>
      </c>
      <c r="B62" s="61"/>
      <c r="C62" s="61"/>
      <c r="D62" s="61"/>
      <c r="E62" s="61"/>
      <c r="F62" s="61"/>
      <c r="G62" s="61"/>
      <c r="H62" s="62"/>
    </row>
    <row r="63" spans="1:8">
      <c r="A63" s="60" t="s">
        <v>74</v>
      </c>
      <c r="B63" s="61"/>
      <c r="C63" s="61"/>
      <c r="D63" s="61"/>
      <c r="E63" s="61"/>
      <c r="F63" s="61"/>
      <c r="G63" s="61"/>
      <c r="H63" s="62"/>
    </row>
    <row r="64" spans="1:8">
      <c r="A64" s="60" t="s">
        <v>75</v>
      </c>
      <c r="B64" s="61"/>
      <c r="C64" s="61"/>
      <c r="D64" s="61"/>
      <c r="E64" s="61"/>
      <c r="F64" s="61"/>
      <c r="G64" s="61"/>
      <c r="H64" s="62"/>
    </row>
    <row r="65" spans="1:8">
      <c r="A65" s="60" t="s">
        <v>99</v>
      </c>
      <c r="B65" s="61"/>
      <c r="C65" s="61"/>
      <c r="D65" s="61"/>
      <c r="E65" s="61"/>
      <c r="F65" s="61"/>
      <c r="G65" s="61"/>
      <c r="H65" s="62"/>
    </row>
    <row r="66" spans="1:8">
      <c r="A66" s="63" t="s">
        <v>60</v>
      </c>
      <c r="B66" s="64"/>
      <c r="C66" s="64"/>
      <c r="D66" s="64"/>
      <c r="E66" s="64"/>
      <c r="F66" s="64"/>
      <c r="G66" s="64"/>
      <c r="H66" s="65"/>
    </row>
    <row r="67" spans="1:8">
      <c r="A67" s="60" t="s">
        <v>76</v>
      </c>
      <c r="B67" s="61"/>
      <c r="C67" s="61"/>
      <c r="D67" s="61"/>
      <c r="E67" s="61"/>
      <c r="F67" s="61"/>
      <c r="G67" s="61"/>
      <c r="H67" s="62"/>
    </row>
    <row r="68" spans="1:8">
      <c r="A68" s="60" t="s">
        <v>77</v>
      </c>
      <c r="B68" s="61"/>
      <c r="C68" s="61"/>
      <c r="D68" s="61"/>
      <c r="E68" s="61"/>
      <c r="F68" s="61"/>
      <c r="G68" s="61"/>
      <c r="H68" s="62"/>
    </row>
    <row r="69" spans="1:8">
      <c r="A69" s="63" t="s">
        <v>61</v>
      </c>
      <c r="B69" s="64"/>
      <c r="C69" s="64"/>
      <c r="D69" s="64"/>
      <c r="E69" s="64"/>
      <c r="F69" s="64"/>
      <c r="G69" s="64"/>
      <c r="H69" s="65"/>
    </row>
    <row r="70" spans="1:8">
      <c r="A70" s="60" t="s">
        <v>78</v>
      </c>
      <c r="B70" s="61"/>
      <c r="C70" s="61"/>
      <c r="D70" s="61"/>
      <c r="E70" s="61"/>
      <c r="F70" s="61"/>
      <c r="G70" s="61"/>
      <c r="H70" s="62"/>
    </row>
    <row r="71" spans="1:8">
      <c r="A71" s="60" t="s">
        <v>79</v>
      </c>
      <c r="B71" s="61"/>
      <c r="C71" s="61"/>
      <c r="D71" s="61"/>
      <c r="E71" s="61"/>
      <c r="F71" s="61"/>
      <c r="G71" s="61"/>
      <c r="H71" s="62"/>
    </row>
    <row r="72" spans="1:8">
      <c r="A72" s="60" t="s">
        <v>80</v>
      </c>
      <c r="B72" s="61"/>
      <c r="C72" s="61"/>
      <c r="D72" s="61"/>
      <c r="E72" s="61"/>
      <c r="F72" s="61"/>
      <c r="G72" s="61"/>
      <c r="H72" s="62"/>
    </row>
    <row r="73" spans="1:8">
      <c r="A73" s="60"/>
      <c r="B73" s="61"/>
      <c r="C73" s="61"/>
      <c r="D73" s="61"/>
      <c r="E73" s="61"/>
      <c r="F73" s="61"/>
      <c r="G73" s="61"/>
      <c r="H73" s="62"/>
    </row>
    <row r="74" spans="1:8" ht="15.75">
      <c r="A74" s="69" t="s">
        <v>85</v>
      </c>
      <c r="B74" s="70"/>
      <c r="C74" s="70"/>
      <c r="D74" s="70"/>
      <c r="E74" s="70"/>
      <c r="F74" s="70"/>
      <c r="G74" s="70"/>
      <c r="H74" s="71"/>
    </row>
    <row r="75" spans="1:8">
      <c r="A75" s="63" t="s">
        <v>89</v>
      </c>
      <c r="B75" s="64"/>
      <c r="C75" s="64"/>
      <c r="D75" s="64"/>
      <c r="E75" s="64"/>
      <c r="F75" s="64"/>
      <c r="G75" s="64"/>
      <c r="H75" s="65"/>
    </row>
    <row r="76" spans="1:8">
      <c r="A76" s="63" t="s">
        <v>90</v>
      </c>
      <c r="B76" s="64"/>
      <c r="C76" s="64"/>
      <c r="D76" s="64"/>
      <c r="E76" s="64"/>
      <c r="F76" s="64"/>
      <c r="G76" s="64"/>
      <c r="H76" s="65"/>
    </row>
    <row r="77" spans="1:8">
      <c r="A77" s="63" t="s">
        <v>81</v>
      </c>
      <c r="B77" s="64"/>
      <c r="C77" s="64"/>
      <c r="D77" s="64"/>
      <c r="E77" s="64"/>
      <c r="F77" s="64"/>
      <c r="G77" s="64"/>
      <c r="H77" s="65"/>
    </row>
    <row r="78" spans="1:8">
      <c r="A78" s="60" t="s">
        <v>82</v>
      </c>
      <c r="B78" s="61"/>
      <c r="C78" s="61"/>
      <c r="D78" s="61"/>
      <c r="E78" s="61"/>
      <c r="F78" s="61"/>
      <c r="G78" s="61"/>
      <c r="H78" s="62"/>
    </row>
    <row r="79" spans="1:8">
      <c r="A79" s="60" t="s">
        <v>83</v>
      </c>
      <c r="B79" s="61"/>
      <c r="C79" s="61"/>
      <c r="D79" s="61"/>
      <c r="E79" s="61"/>
      <c r="F79" s="61"/>
      <c r="G79" s="61"/>
      <c r="H79" s="62"/>
    </row>
    <row r="80" spans="1:8">
      <c r="A80" s="60" t="s">
        <v>84</v>
      </c>
      <c r="B80" s="61"/>
      <c r="C80" s="61"/>
      <c r="D80" s="61"/>
      <c r="E80" s="61"/>
      <c r="F80" s="61"/>
      <c r="G80" s="61"/>
      <c r="H80" s="62"/>
    </row>
    <row r="81" spans="1:8">
      <c r="A81" s="60" t="s">
        <v>86</v>
      </c>
      <c r="B81" s="61"/>
      <c r="C81" s="61"/>
      <c r="D81" s="61"/>
      <c r="E81" s="61"/>
      <c r="F81" s="61"/>
      <c r="G81" s="61"/>
      <c r="H81" s="62"/>
    </row>
    <row r="82" spans="1:8">
      <c r="A82" s="60" t="s">
        <v>87</v>
      </c>
      <c r="B82" s="61"/>
      <c r="C82" s="61"/>
      <c r="D82" s="61"/>
      <c r="E82" s="61"/>
      <c r="F82" s="61"/>
      <c r="G82" s="61"/>
      <c r="H82" s="62"/>
    </row>
    <row r="83" spans="1:8">
      <c r="A83" s="60" t="s">
        <v>88</v>
      </c>
      <c r="B83" s="61"/>
      <c r="C83" s="61"/>
      <c r="D83" s="61"/>
      <c r="E83" s="61"/>
      <c r="F83" s="61"/>
      <c r="G83" s="61"/>
      <c r="H83" s="62"/>
    </row>
    <row r="84" spans="1:8">
      <c r="A84" s="63" t="s">
        <v>60</v>
      </c>
      <c r="B84" s="64"/>
      <c r="C84" s="64"/>
      <c r="D84" s="64"/>
      <c r="E84" s="64"/>
      <c r="F84" s="64"/>
      <c r="G84" s="64"/>
      <c r="H84" s="65"/>
    </row>
    <row r="85" spans="1:8" ht="15.75" thickBot="1">
      <c r="A85" s="66" t="s">
        <v>91</v>
      </c>
      <c r="B85" s="67"/>
      <c r="C85" s="67"/>
      <c r="D85" s="67"/>
      <c r="E85" s="67"/>
      <c r="F85" s="67"/>
      <c r="G85" s="67"/>
      <c r="H85" s="68"/>
    </row>
  </sheetData>
  <mergeCells count="49">
    <mergeCell ref="A40:H40"/>
    <mergeCell ref="A38:H38"/>
    <mergeCell ref="A36:H36"/>
    <mergeCell ref="A2:H2"/>
    <mergeCell ref="A41:H41"/>
    <mergeCell ref="A52:H52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64:H64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3:H63"/>
    <mergeCell ref="A76:H76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83:H83"/>
    <mergeCell ref="A84:H84"/>
    <mergeCell ref="A85:H85"/>
    <mergeCell ref="A77:H77"/>
    <mergeCell ref="A78:H78"/>
    <mergeCell ref="A79:H79"/>
    <mergeCell ref="A80:H80"/>
    <mergeCell ref="A81:H81"/>
    <mergeCell ref="A82:H8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K15" sqref="K15"/>
    </sheetView>
  </sheetViews>
  <sheetFormatPr defaultRowHeight="15"/>
  <cols>
    <col min="1" max="1" width="31.5703125" bestFit="1" customWidth="1"/>
    <col min="2" max="2" width="21.85546875" bestFit="1" customWidth="1"/>
    <col min="3" max="3" width="12.140625" bestFit="1" customWidth="1"/>
    <col min="4" max="4" width="13.85546875" bestFit="1" customWidth="1"/>
    <col min="5" max="5" width="16.42578125" customWidth="1"/>
    <col min="6" max="6" width="14.42578125" customWidth="1"/>
    <col min="7" max="7" width="12.28515625" bestFit="1" customWidth="1"/>
    <col min="8" max="8" width="12.28515625" customWidth="1"/>
    <col min="9" max="9" width="12.42578125" customWidth="1"/>
    <col min="10" max="10" width="11.85546875" customWidth="1"/>
    <col min="11" max="11" width="12.7109375" customWidth="1"/>
    <col min="12" max="12" width="12.85546875" customWidth="1"/>
    <col min="13" max="13" width="13.28515625" customWidth="1"/>
    <col min="14" max="14" width="15.28515625" customWidth="1"/>
    <col min="15" max="15" width="13.28515625" customWidth="1"/>
    <col min="16" max="16" width="13" customWidth="1"/>
    <col min="17" max="17" width="11.5703125" bestFit="1" customWidth="1"/>
    <col min="18" max="18" width="13" customWidth="1"/>
    <col min="19" max="19" width="14.85546875" customWidth="1"/>
    <col min="20" max="29" width="11.28515625" bestFit="1" customWidth="1"/>
    <col min="30" max="30" width="12.5703125" bestFit="1" customWidth="1"/>
  </cols>
  <sheetData>
    <row r="1" spans="1:30">
      <c r="A1" s="3"/>
      <c r="B1" s="4" t="s">
        <v>17</v>
      </c>
      <c r="C1" s="4" t="s">
        <v>13</v>
      </c>
      <c r="D1" s="79" t="s">
        <v>18</v>
      </c>
      <c r="E1" s="80"/>
      <c r="F1" s="80"/>
      <c r="G1" s="80"/>
      <c r="H1" s="80"/>
      <c r="I1" s="80"/>
      <c r="J1" s="79" t="s">
        <v>19</v>
      </c>
      <c r="K1" s="80"/>
      <c r="L1" s="80"/>
      <c r="M1" s="81"/>
      <c r="N1" s="79" t="s">
        <v>20</v>
      </c>
      <c r="O1" s="80"/>
      <c r="P1" s="80"/>
      <c r="Q1" s="81"/>
      <c r="R1" s="78" t="s">
        <v>0</v>
      </c>
      <c r="S1" s="78"/>
      <c r="T1" s="78"/>
      <c r="U1" s="78"/>
      <c r="V1" s="78" t="s">
        <v>1</v>
      </c>
      <c r="W1" s="78"/>
      <c r="X1" s="78"/>
      <c r="Y1" s="78"/>
      <c r="Z1" s="78" t="s">
        <v>2</v>
      </c>
      <c r="AA1" s="78"/>
      <c r="AB1" s="78"/>
      <c r="AC1" s="78"/>
      <c r="AD1" s="12" t="s">
        <v>24</v>
      </c>
    </row>
    <row r="2" spans="1:30">
      <c r="A2" s="12" t="s">
        <v>3</v>
      </c>
      <c r="B2" s="12"/>
      <c r="C2" s="12"/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 t="s">
        <v>4</v>
      </c>
      <c r="K2" s="11" t="s">
        <v>5</v>
      </c>
      <c r="L2" s="11" t="s">
        <v>6</v>
      </c>
      <c r="M2" s="11" t="s">
        <v>7</v>
      </c>
      <c r="N2" s="11" t="s">
        <v>4</v>
      </c>
      <c r="O2" s="11" t="s">
        <v>5</v>
      </c>
      <c r="P2" s="11" t="s">
        <v>6</v>
      </c>
      <c r="Q2" s="11" t="s">
        <v>7</v>
      </c>
      <c r="R2" s="11" t="s">
        <v>4</v>
      </c>
      <c r="S2" s="11" t="s">
        <v>5</v>
      </c>
      <c r="T2" s="11" t="s">
        <v>6</v>
      </c>
      <c r="U2" s="11" t="s">
        <v>7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4</v>
      </c>
      <c r="AA2" s="11" t="s">
        <v>5</v>
      </c>
      <c r="AB2" s="11" t="s">
        <v>6</v>
      </c>
      <c r="AC2" s="11" t="s">
        <v>7</v>
      </c>
      <c r="AD2" s="11"/>
    </row>
    <row r="3" spans="1:30">
      <c r="A3" s="1" t="s">
        <v>9</v>
      </c>
      <c r="B3" s="5">
        <v>0</v>
      </c>
      <c r="C3" s="7">
        <f xml:space="preserve"> Assumptions!B21*Assumptions!B18</f>
        <v>12823915.9</v>
      </c>
      <c r="D3" s="7">
        <f xml:space="preserve"> (0.8 * (10 *Assumptions!C15))</f>
        <v>17769085.882352944</v>
      </c>
      <c r="E3" s="7">
        <f xml:space="preserve"> (0.8 * (10 *Assumptions!C15))</f>
        <v>17769085.882352944</v>
      </c>
      <c r="F3" s="7">
        <f xml:space="preserve"> (0.8 * (10 *Assumptions!C15))</f>
        <v>17769085.882352944</v>
      </c>
      <c r="G3" s="7">
        <f>(0.8*(4*Assumptions!C15))+(0.8*(10*(SUM(Assumptions!C16:C17))))</f>
        <v>21166446.086274512</v>
      </c>
      <c r="H3" s="7">
        <f xml:space="preserve"> (0.8*(10*(SUM(Assumptions!C16:C17))))</f>
        <v>14058811.733333334</v>
      </c>
      <c r="I3" s="7">
        <f xml:space="preserve"> (0.8*(10*(SUM(Assumptions!C16:C17))))</f>
        <v>14058811.733333334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f xml:space="preserve"> 0.1 * Assumptions!B18</f>
        <v>12823915.9</v>
      </c>
      <c r="R3" s="7">
        <f>961793.75</f>
        <v>961793.75</v>
      </c>
      <c r="S3" s="7">
        <f>961793.75</f>
        <v>961793.75</v>
      </c>
      <c r="T3" s="7">
        <f>961793.75</f>
        <v>961793.75</v>
      </c>
      <c r="U3" s="7">
        <f>961793.75</f>
        <v>961793.75</v>
      </c>
      <c r="V3" s="7">
        <f>1175525.75</f>
        <v>1175525.75</v>
      </c>
      <c r="W3" s="7">
        <f>1175525.75</f>
        <v>1175525.75</v>
      </c>
      <c r="X3" s="7">
        <f>1175525.75</f>
        <v>1175525.75</v>
      </c>
      <c r="Y3" s="7">
        <f>1175525.75</f>
        <v>1175525.75</v>
      </c>
      <c r="Z3" s="7">
        <f>1424879.5</f>
        <v>1424879.5</v>
      </c>
      <c r="AA3" s="7">
        <f>1424879.5</f>
        <v>1424879.5</v>
      </c>
      <c r="AB3" s="7">
        <f>1424879.5</f>
        <v>1424879.5</v>
      </c>
      <c r="AC3" s="7">
        <f>1424879.5</f>
        <v>1424879.5</v>
      </c>
      <c r="AD3" s="8">
        <f xml:space="preserve"> SUM(B3:AC3)</f>
        <v>142487955.00000003</v>
      </c>
    </row>
    <row r="4" spans="1:30">
      <c r="A4" s="2" t="s">
        <v>8</v>
      </c>
      <c r="B4" s="6">
        <f xml:space="preserve"> Assumptions!B8+Assumptions!B10+Assumptions!B12</f>
        <v>141656</v>
      </c>
      <c r="C4" s="9">
        <f xml:space="preserve"> Assumptions!B28+Assumptions!B25</f>
        <v>13122448</v>
      </c>
      <c r="D4" s="7">
        <f xml:space="preserve"> (0.9 * (10 *Assumptions!C30)) +  Assumptions!B25</f>
        <v>12973786.170588234</v>
      </c>
      <c r="E4" s="7">
        <f xml:space="preserve"> (0.9 * (10 *Assumptions!C30)) +  Assumptions!B25</f>
        <v>12973786.170588234</v>
      </c>
      <c r="F4" s="7">
        <f xml:space="preserve"> (0.9 * (10 *Assumptions!C30)) +  Assumptions!B25</f>
        <v>12973786.170588234</v>
      </c>
      <c r="G4" s="7">
        <f>0.9*Assumptions!B34+(0.9*(4*Assumptions!C30)+(0.9*(10*(SUM(Assumptions!C31:C32))))) + Assumptions!B25</f>
        <v>27584152.908235293</v>
      </c>
      <c r="H4" s="7">
        <f>(0.9*(10*(SUM(Assumptions!C31:C32)))+Assumptions!B25)</f>
        <v>9814638.4399999995</v>
      </c>
      <c r="I4" s="7">
        <f>(0.9*(10*(SUM(Assumptions!C31:C32)))+Assumptions!B25)</f>
        <v>9814638.4399999995</v>
      </c>
      <c r="J4" s="7">
        <f xml:space="preserve"> 600000 + (Assumptions!B26* 3)</f>
        <v>636000</v>
      </c>
      <c r="K4" s="7">
        <f xml:space="preserve"> 600000 + (Assumptions!B26* 3)</f>
        <v>636000</v>
      </c>
      <c r="L4" s="7">
        <f xml:space="preserve"> 600000 + (Assumptions!B26* 3)</f>
        <v>636000</v>
      </c>
      <c r="M4" s="7">
        <f xml:space="preserve"> 600000 + (Assumptions!B26* 3)</f>
        <v>636000</v>
      </c>
      <c r="N4" s="7">
        <f xml:space="preserve"> 600000 + (Assumptions!B26* 3)</f>
        <v>636000</v>
      </c>
      <c r="O4" s="7">
        <f xml:space="preserve"> 600000 + (Assumptions!B26* 3)</f>
        <v>636000</v>
      </c>
      <c r="P4" s="7">
        <f xml:space="preserve"> 600000 + (Assumptions!B26* 3)</f>
        <v>636000</v>
      </c>
      <c r="Q4" s="7">
        <f xml:space="preserve"> 600000 + (0.1 * Assumptions!B29) + (0.1 * Assumptions!B34) + (3*Assumptions!B26)</f>
        <v>10173198.699999999</v>
      </c>
      <c r="R4" s="7">
        <f xml:space="preserve"> 750000 +(3* Assumptions!$B$26)</f>
        <v>786000</v>
      </c>
      <c r="S4" s="7">
        <f xml:space="preserve"> 750000 +(3* Assumptions!$B$26)</f>
        <v>786000</v>
      </c>
      <c r="T4" s="7">
        <f xml:space="preserve"> 750000 +(3* Assumptions!$B$26)</f>
        <v>786000</v>
      </c>
      <c r="U4" s="7">
        <f xml:space="preserve"> 750000 +(3* Assumptions!$B$26)</f>
        <v>786000</v>
      </c>
      <c r="V4" s="7">
        <f xml:space="preserve"> 750000 +(3* Assumptions!$B$26)</f>
        <v>786000</v>
      </c>
      <c r="W4" s="7">
        <f xml:space="preserve"> 750000 +(3* Assumptions!$B$26)</f>
        <v>786000</v>
      </c>
      <c r="X4" s="7">
        <f xml:space="preserve"> 750000 +(3* Assumptions!$B$26)</f>
        <v>786000</v>
      </c>
      <c r="Y4" s="7">
        <f xml:space="preserve"> 750000 +(3* Assumptions!$B$26)</f>
        <v>786000</v>
      </c>
      <c r="Z4" s="7">
        <f xml:space="preserve"> 750000 +(3* Assumptions!$B$26)</f>
        <v>786000</v>
      </c>
      <c r="AA4" s="7">
        <f xml:space="preserve"> 750000 +(3* Assumptions!$B$26)</f>
        <v>786000</v>
      </c>
      <c r="AB4" s="7">
        <f xml:space="preserve"> 750000 +(3* Assumptions!$B$26)</f>
        <v>786000</v>
      </c>
      <c r="AC4" s="7">
        <f xml:space="preserve"> 750000 +(3* Assumptions!$B$26)</f>
        <v>786000</v>
      </c>
      <c r="AD4" s="8">
        <f xml:space="preserve"> SUM(B4:AC4)</f>
        <v>123456090.99999999</v>
      </c>
    </row>
    <row r="5" spans="1:30">
      <c r="A5" s="1" t="s">
        <v>10</v>
      </c>
      <c r="B5" s="5">
        <f xml:space="preserve"> B3-B4</f>
        <v>-141656</v>
      </c>
      <c r="C5" s="5">
        <f t="shared" ref="C5:AC5" si="0" xml:space="preserve"> C3-C4</f>
        <v>-298532.09999999963</v>
      </c>
      <c r="D5" s="5">
        <f t="shared" si="0"/>
        <v>4795299.71176471</v>
      </c>
      <c r="E5" s="5">
        <f t="shared" si="0"/>
        <v>4795299.71176471</v>
      </c>
      <c r="F5" s="5">
        <f t="shared" si="0"/>
        <v>4795299.71176471</v>
      </c>
      <c r="G5" s="5">
        <f t="shared" si="0"/>
        <v>-6417706.8219607808</v>
      </c>
      <c r="H5" s="5">
        <f t="shared" si="0"/>
        <v>4244173.2933333348</v>
      </c>
      <c r="I5" s="5">
        <f t="shared" si="0"/>
        <v>4244173.2933333348</v>
      </c>
      <c r="J5" s="5">
        <f t="shared" si="0"/>
        <v>-636000</v>
      </c>
      <c r="K5" s="5">
        <f t="shared" si="0"/>
        <v>-636000</v>
      </c>
      <c r="L5" s="5">
        <f t="shared" si="0"/>
        <v>-636000</v>
      </c>
      <c r="M5" s="5">
        <f t="shared" si="0"/>
        <v>-636000</v>
      </c>
      <c r="N5" s="5">
        <f t="shared" si="0"/>
        <v>-636000</v>
      </c>
      <c r="O5" s="5">
        <f t="shared" si="0"/>
        <v>-636000</v>
      </c>
      <c r="P5" s="5">
        <f t="shared" si="0"/>
        <v>-636000</v>
      </c>
      <c r="Q5" s="5">
        <f t="shared" si="0"/>
        <v>2650717.2000000011</v>
      </c>
      <c r="R5" s="5">
        <f t="shared" si="0"/>
        <v>175793.75</v>
      </c>
      <c r="S5" s="5">
        <f t="shared" si="0"/>
        <v>175793.75</v>
      </c>
      <c r="T5" s="5">
        <f t="shared" si="0"/>
        <v>175793.75</v>
      </c>
      <c r="U5" s="5">
        <f t="shared" si="0"/>
        <v>175793.75</v>
      </c>
      <c r="V5" s="5">
        <f t="shared" si="0"/>
        <v>389525.75</v>
      </c>
      <c r="W5" s="5">
        <f t="shared" si="0"/>
        <v>389525.75</v>
      </c>
      <c r="X5" s="5">
        <f t="shared" si="0"/>
        <v>389525.75</v>
      </c>
      <c r="Y5" s="5">
        <f t="shared" si="0"/>
        <v>389525.75</v>
      </c>
      <c r="Z5" s="5">
        <f t="shared" si="0"/>
        <v>638879.5</v>
      </c>
      <c r="AA5" s="5">
        <f t="shared" si="0"/>
        <v>638879.5</v>
      </c>
      <c r="AB5" s="5">
        <f t="shared" si="0"/>
        <v>638879.5</v>
      </c>
      <c r="AC5" s="5">
        <f t="shared" si="0"/>
        <v>638879.5</v>
      </c>
      <c r="AD5" s="8">
        <f xml:space="preserve"> SUM(B5:AC5)</f>
        <v>19031864.000000022</v>
      </c>
    </row>
    <row r="6" spans="1:30">
      <c r="A6" s="1" t="s">
        <v>29</v>
      </c>
      <c r="B6" s="7">
        <f xml:space="preserve"> B5*Assumptions!$B$4</f>
        <v>-11332.48</v>
      </c>
      <c r="C6" s="7">
        <f xml:space="preserve"> C5*Assumptions!$B$4</f>
        <v>-23882.56799999997</v>
      </c>
      <c r="D6" s="7">
        <f xml:space="preserve"> -(0.00667 * 0.7 *10 *Assumptions!$C$30)</f>
        <v>-67045.730700529399</v>
      </c>
      <c r="E6" s="7">
        <f xml:space="preserve"> -(0.00667 * 0.7 *10 *Assumptions!$C$30)</f>
        <v>-67045.730700529399</v>
      </c>
      <c r="F6" s="7">
        <f xml:space="preserve"> -(0.00667 * 0.7 *10 *Assumptions!$C$30)</f>
        <v>-67045.730700529399</v>
      </c>
      <c r="G6" s="7">
        <f>(-(0.00667*0.7*4*Assumptions!C30))+(-(0.00667*0.7*10*SUM(Assumptions!C31:C32))) + Assumptions!B4*G5</f>
        <v>-590891.61234414089</v>
      </c>
      <c r="H6" s="7">
        <f>(-(0.00667*0.7*10*SUM(Assumptions!C31:C32)))</f>
        <v>-50656.774307066662</v>
      </c>
      <c r="I6" s="7">
        <f>(-(0.00667*0.7*10*SUM(Assumptions!C31:C32)))</f>
        <v>-50656.774307066662</v>
      </c>
      <c r="J6" s="7">
        <f xml:space="preserve"> J5*Assumptions!$B$4</f>
        <v>-50880</v>
      </c>
      <c r="K6" s="7">
        <f xml:space="preserve"> K5*Assumptions!$B$4</f>
        <v>-50880</v>
      </c>
      <c r="L6" s="7">
        <f xml:space="preserve"> L5*Assumptions!$B$4</f>
        <v>-50880</v>
      </c>
      <c r="M6" s="7">
        <f xml:space="preserve"> M5*Assumptions!$B$4</f>
        <v>-50880</v>
      </c>
      <c r="N6" s="7">
        <f xml:space="preserve"> N5*Assumptions!$B$4</f>
        <v>-50880</v>
      </c>
      <c r="O6" s="7">
        <f xml:space="preserve"> O5*Assumptions!$B$4</f>
        <v>-50880</v>
      </c>
      <c r="P6" s="7">
        <f xml:space="preserve"> P5*Assumptions!$B$4</f>
        <v>-50880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10"/>
    </row>
    <row r="7" spans="1:30">
      <c r="A7" s="1" t="s">
        <v>11</v>
      </c>
      <c r="B7" s="5">
        <f xml:space="preserve"> SUM(B5:B6)</f>
        <v>-152988.48000000001</v>
      </c>
      <c r="C7" s="5">
        <f t="shared" ref="C7:AC7" si="1" xml:space="preserve"> SUM(C5:C6)</f>
        <v>-322414.6679999996</v>
      </c>
      <c r="D7" s="5">
        <f t="shared" si="1"/>
        <v>4728253.9810641808</v>
      </c>
      <c r="E7" s="5">
        <f t="shared" si="1"/>
        <v>4728253.9810641808</v>
      </c>
      <c r="F7" s="5">
        <f t="shared" si="1"/>
        <v>4728253.9810641808</v>
      </c>
      <c r="G7" s="5">
        <f t="shared" si="1"/>
        <v>-7008598.4343049219</v>
      </c>
      <c r="H7" s="5">
        <f t="shared" si="1"/>
        <v>4193516.5190262683</v>
      </c>
      <c r="I7" s="5">
        <f t="shared" si="1"/>
        <v>4193516.5190262683</v>
      </c>
      <c r="J7" s="5">
        <f t="shared" si="1"/>
        <v>-686880</v>
      </c>
      <c r="K7" s="5">
        <f t="shared" si="1"/>
        <v>-686880</v>
      </c>
      <c r="L7" s="5">
        <f t="shared" si="1"/>
        <v>-686880</v>
      </c>
      <c r="M7" s="5">
        <f t="shared" si="1"/>
        <v>-686880</v>
      </c>
      <c r="N7" s="5">
        <f t="shared" si="1"/>
        <v>-686880</v>
      </c>
      <c r="O7" s="5">
        <f t="shared" si="1"/>
        <v>-686880</v>
      </c>
      <c r="P7" s="5">
        <f t="shared" si="1"/>
        <v>-686880</v>
      </c>
      <c r="Q7" s="5">
        <f t="shared" si="1"/>
        <v>2650717.2000000011</v>
      </c>
      <c r="R7" s="5">
        <f t="shared" si="1"/>
        <v>175793.75</v>
      </c>
      <c r="S7" s="5">
        <f t="shared" si="1"/>
        <v>175793.75</v>
      </c>
      <c r="T7" s="5">
        <f t="shared" si="1"/>
        <v>175793.75</v>
      </c>
      <c r="U7" s="5">
        <f t="shared" si="1"/>
        <v>175793.75</v>
      </c>
      <c r="V7" s="5">
        <f t="shared" si="1"/>
        <v>389525.75</v>
      </c>
      <c r="W7" s="5">
        <f t="shared" si="1"/>
        <v>389525.75</v>
      </c>
      <c r="X7" s="5">
        <f t="shared" si="1"/>
        <v>389525.75</v>
      </c>
      <c r="Y7" s="5">
        <f t="shared" si="1"/>
        <v>389525.75</v>
      </c>
      <c r="Z7" s="5">
        <f t="shared" si="1"/>
        <v>638879.5</v>
      </c>
      <c r="AA7" s="5">
        <f t="shared" si="1"/>
        <v>638879.5</v>
      </c>
      <c r="AB7" s="5">
        <f t="shared" si="1"/>
        <v>638879.5</v>
      </c>
      <c r="AC7" s="5">
        <f t="shared" si="1"/>
        <v>638879.5</v>
      </c>
      <c r="AD7" s="8">
        <f xml:space="preserve"> SUM(B7:AC7)</f>
        <v>17747146.598940156</v>
      </c>
    </row>
    <row r="8" spans="1:30">
      <c r="A8" s="1" t="s">
        <v>52</v>
      </c>
      <c r="B8" s="5">
        <f xml:space="preserve"> B7</f>
        <v>-152988.48000000001</v>
      </c>
      <c r="C8" s="5">
        <f xml:space="preserve"> B8+C7</f>
        <v>-475403.14799999958</v>
      </c>
      <c r="D8" s="5">
        <f t="shared" ref="D8:AC8" si="2" xml:space="preserve"> C8+D7</f>
        <v>4252850.8330641817</v>
      </c>
      <c r="E8" s="5">
        <f t="shared" si="2"/>
        <v>8981104.8141283616</v>
      </c>
      <c r="F8" s="5">
        <f t="shared" si="2"/>
        <v>13709358.795192543</v>
      </c>
      <c r="G8" s="5">
        <f t="shared" si="2"/>
        <v>6700760.3608876215</v>
      </c>
      <c r="H8" s="5">
        <f t="shared" si="2"/>
        <v>10894276.879913889</v>
      </c>
      <c r="I8" s="5">
        <f t="shared" si="2"/>
        <v>15087793.398940157</v>
      </c>
      <c r="J8" s="5">
        <f t="shared" si="2"/>
        <v>14400913.398940157</v>
      </c>
      <c r="K8" s="5">
        <f t="shared" si="2"/>
        <v>13714033.398940157</v>
      </c>
      <c r="L8" s="5">
        <f t="shared" si="2"/>
        <v>13027153.398940157</v>
      </c>
      <c r="M8" s="5">
        <f t="shared" si="2"/>
        <v>12340273.398940157</v>
      </c>
      <c r="N8" s="5">
        <f t="shared" si="2"/>
        <v>11653393.398940157</v>
      </c>
      <c r="O8" s="5">
        <f t="shared" si="2"/>
        <v>10966513.398940157</v>
      </c>
      <c r="P8" s="5">
        <f t="shared" si="2"/>
        <v>10279633.398940157</v>
      </c>
      <c r="Q8" s="5">
        <f t="shared" si="2"/>
        <v>12930350.598940158</v>
      </c>
      <c r="R8" s="5">
        <f t="shared" si="2"/>
        <v>13106144.348940158</v>
      </c>
      <c r="S8" s="5">
        <f t="shared" si="2"/>
        <v>13281938.098940158</v>
      </c>
      <c r="T8" s="5">
        <f t="shared" si="2"/>
        <v>13457731.848940158</v>
      </c>
      <c r="U8" s="5">
        <f t="shared" si="2"/>
        <v>13633525.598940158</v>
      </c>
      <c r="V8" s="5">
        <f t="shared" si="2"/>
        <v>14023051.348940158</v>
      </c>
      <c r="W8" s="5">
        <f t="shared" si="2"/>
        <v>14412577.098940158</v>
      </c>
      <c r="X8" s="5">
        <f t="shared" si="2"/>
        <v>14802102.848940158</v>
      </c>
      <c r="Y8" s="5">
        <f t="shared" si="2"/>
        <v>15191628.598940158</v>
      </c>
      <c r="Z8" s="5">
        <f t="shared" si="2"/>
        <v>15830508.098940158</v>
      </c>
      <c r="AA8" s="5">
        <f t="shared" si="2"/>
        <v>16469387.598940158</v>
      </c>
      <c r="AB8" s="5">
        <f t="shared" si="2"/>
        <v>17108267.098940156</v>
      </c>
      <c r="AC8" s="5">
        <f t="shared" si="2"/>
        <v>17747146.598940156</v>
      </c>
      <c r="AD8" s="5">
        <f xml:space="preserve"> AC8</f>
        <v>17747146.598940156</v>
      </c>
    </row>
    <row r="9" spans="1:30" ht="15.75" thickBot="1"/>
    <row r="10" spans="1:30">
      <c r="D10" s="36" t="s">
        <v>94</v>
      </c>
      <c r="E10" s="37">
        <f xml:space="preserve"> MIN(B7:AC7)</f>
        <v>-7008598.4343049219</v>
      </c>
    </row>
    <row r="11" spans="1:30" ht="15.75" thickBot="1">
      <c r="D11" s="38" t="s">
        <v>95</v>
      </c>
      <c r="E11" s="39">
        <f xml:space="preserve"> MAX(B7:AC7)</f>
        <v>4728253.9810641808</v>
      </c>
    </row>
  </sheetData>
  <mergeCells count="6">
    <mergeCell ref="Z1:AC1"/>
    <mergeCell ref="D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workbookViewId="0">
      <selection activeCell="J5" sqref="J5"/>
    </sheetView>
  </sheetViews>
  <sheetFormatPr defaultRowHeight="15"/>
  <cols>
    <col min="3" max="3" width="46" customWidth="1"/>
    <col min="4" max="4" width="13.85546875" customWidth="1"/>
    <col min="5" max="5" width="16.85546875" customWidth="1"/>
    <col min="6" max="6" width="24.85546875" customWidth="1"/>
    <col min="7" max="7" width="18.5703125" customWidth="1"/>
  </cols>
  <sheetData>
    <row r="1" spans="2:8" ht="15.75" thickBot="1">
      <c r="B1" s="82" t="s">
        <v>100</v>
      </c>
      <c r="C1" s="82"/>
      <c r="D1" s="82"/>
      <c r="E1" s="83"/>
      <c r="F1" s="84"/>
      <c r="G1" s="84"/>
    </row>
    <row r="2" spans="2:8">
      <c r="B2" s="85" t="s">
        <v>101</v>
      </c>
      <c r="C2" s="86" t="s">
        <v>102</v>
      </c>
      <c r="D2" s="87" t="s">
        <v>103</v>
      </c>
      <c r="E2" s="88" t="s">
        <v>104</v>
      </c>
      <c r="F2" s="88" t="s">
        <v>105</v>
      </c>
    </row>
    <row r="3" spans="2:8" ht="15.75" thickBot="1">
      <c r="B3" s="89"/>
      <c r="C3" s="90"/>
      <c r="D3" s="91"/>
      <c r="E3" s="92"/>
      <c r="F3" s="92"/>
    </row>
    <row r="4" spans="2:8" ht="45.75" thickBot="1">
      <c r="B4" s="93">
        <v>1</v>
      </c>
      <c r="C4" s="94" t="s">
        <v>106</v>
      </c>
      <c r="D4" s="95">
        <f>G45</f>
        <v>94444435</v>
      </c>
      <c r="E4" s="95">
        <v>107843386</v>
      </c>
      <c r="F4" s="96">
        <f>(E4-D4)/D4</f>
        <v>0.14187126006947895</v>
      </c>
    </row>
    <row r="5" spans="2:8" ht="60.75" thickBot="1">
      <c r="B5" s="97">
        <v>2</v>
      </c>
      <c r="C5" s="98" t="s">
        <v>107</v>
      </c>
      <c r="D5" s="99">
        <v>14000000</v>
      </c>
      <c r="E5" s="100">
        <v>16343808</v>
      </c>
      <c r="F5" s="101">
        <f>(E5-D5)/D5</f>
        <v>0.16741485714285714</v>
      </c>
    </row>
    <row r="6" spans="2:8" ht="15.75" thickBot="1">
      <c r="B6" s="93">
        <v>3</v>
      </c>
      <c r="C6" s="102" t="s">
        <v>108</v>
      </c>
      <c r="D6" s="103">
        <v>10575000</v>
      </c>
      <c r="E6" s="104">
        <v>12601243</v>
      </c>
      <c r="F6" s="96">
        <f>(E6-D6)/D6</f>
        <v>0.19160690307328604</v>
      </c>
    </row>
    <row r="7" spans="2:8" ht="15.75" thickBot="1">
      <c r="B7" s="105" t="s">
        <v>109</v>
      </c>
      <c r="C7" s="106"/>
      <c r="D7" s="107">
        <f>SUM(D4:D6)</f>
        <v>119019435</v>
      </c>
      <c r="E7" s="108">
        <f>SUM(E4:E6)</f>
        <v>136788437</v>
      </c>
      <c r="F7" s="109">
        <f>(F6+F5+F4)/3</f>
        <v>0.16696434009520736</v>
      </c>
    </row>
    <row r="8" spans="2:8" ht="15.75" thickBot="1">
      <c r="B8" s="110" t="s">
        <v>110</v>
      </c>
      <c r="C8" s="111"/>
      <c r="D8" s="112"/>
      <c r="E8" s="113">
        <v>142487955</v>
      </c>
      <c r="F8" s="114"/>
    </row>
    <row r="9" spans="2:8" ht="15.75" thickBot="1">
      <c r="B9" s="115" t="s">
        <v>111</v>
      </c>
      <c r="C9" s="115"/>
      <c r="D9" s="115"/>
      <c r="E9" s="115"/>
      <c r="F9" s="115"/>
    </row>
    <row r="10" spans="2:8">
      <c r="B10" s="85" t="s">
        <v>101</v>
      </c>
      <c r="C10" s="86" t="s">
        <v>112</v>
      </c>
      <c r="D10" s="87" t="s">
        <v>113</v>
      </c>
      <c r="E10" s="88" t="s">
        <v>114</v>
      </c>
      <c r="F10" s="116" t="s">
        <v>115</v>
      </c>
      <c r="G10" s="117"/>
    </row>
    <row r="11" spans="2:8" ht="15.75" thickBot="1">
      <c r="B11" s="89"/>
      <c r="C11" s="90"/>
      <c r="D11" s="118"/>
      <c r="E11" s="119"/>
      <c r="F11" s="120"/>
      <c r="G11" s="117"/>
    </row>
    <row r="12" spans="2:8" ht="15.75" thickBot="1">
      <c r="B12" s="121" t="s">
        <v>116</v>
      </c>
      <c r="C12" s="122"/>
      <c r="D12" s="122"/>
      <c r="E12" s="122"/>
      <c r="F12" s="123"/>
      <c r="G12" s="124"/>
    </row>
    <row r="13" spans="2:8">
      <c r="B13" s="125">
        <v>1</v>
      </c>
      <c r="C13" s="126" t="s">
        <v>117</v>
      </c>
      <c r="D13" s="127">
        <v>64</v>
      </c>
      <c r="E13" s="128">
        <v>80250</v>
      </c>
      <c r="F13" s="129">
        <f>E13*D13</f>
        <v>5136000</v>
      </c>
      <c r="G13" s="130"/>
    </row>
    <row r="14" spans="2:8">
      <c r="B14" s="131">
        <v>2</v>
      </c>
      <c r="C14" s="132" t="s">
        <v>118</v>
      </c>
      <c r="D14" s="133">
        <v>64</v>
      </c>
      <c r="E14" s="134">
        <v>15000</v>
      </c>
      <c r="F14" s="135">
        <f>E14*D14</f>
        <v>960000</v>
      </c>
      <c r="G14" s="130"/>
    </row>
    <row r="15" spans="2:8">
      <c r="B15" s="136">
        <v>3</v>
      </c>
      <c r="C15" s="137" t="s">
        <v>119</v>
      </c>
      <c r="D15" s="138">
        <v>223</v>
      </c>
      <c r="E15" s="139">
        <v>160165</v>
      </c>
      <c r="F15" s="140">
        <f>E15*D15</f>
        <v>35716795</v>
      </c>
      <c r="G15" s="141"/>
      <c r="H15" s="142"/>
    </row>
    <row r="16" spans="2:8">
      <c r="B16" s="143">
        <f t="shared" ref="B16" si="0">B15+1</f>
        <v>4</v>
      </c>
      <c r="C16" s="144" t="s">
        <v>120</v>
      </c>
      <c r="D16" s="145">
        <v>2837</v>
      </c>
      <c r="E16" s="146">
        <v>3317</v>
      </c>
      <c r="F16" s="147">
        <f>E16*D16</f>
        <v>9410329</v>
      </c>
      <c r="G16" s="148"/>
    </row>
    <row r="17" spans="2:7">
      <c r="B17" s="149"/>
      <c r="C17" s="144" t="s">
        <v>121</v>
      </c>
      <c r="D17" s="150"/>
      <c r="E17" s="146"/>
      <c r="F17" s="147"/>
      <c r="G17" s="151"/>
    </row>
    <row r="18" spans="2:7">
      <c r="B18" s="149"/>
      <c r="C18" s="144" t="s">
        <v>122</v>
      </c>
      <c r="D18" s="150"/>
      <c r="E18" s="146"/>
      <c r="F18" s="147"/>
      <c r="G18" s="151"/>
    </row>
    <row r="19" spans="2:7">
      <c r="B19" s="149"/>
      <c r="C19" s="144" t="s">
        <v>123</v>
      </c>
      <c r="D19" s="150"/>
      <c r="E19" s="146"/>
      <c r="F19" s="147"/>
      <c r="G19" s="151"/>
    </row>
    <row r="20" spans="2:7">
      <c r="B20" s="149"/>
      <c r="C20" s="144" t="s">
        <v>124</v>
      </c>
      <c r="D20" s="152"/>
      <c r="E20" s="146"/>
      <c r="F20" s="147"/>
      <c r="G20" s="151"/>
    </row>
    <row r="21" spans="2:7">
      <c r="B21" s="153">
        <f>B16+1</f>
        <v>5</v>
      </c>
      <c r="C21" s="144" t="s">
        <v>125</v>
      </c>
      <c r="D21" s="154">
        <v>117</v>
      </c>
      <c r="E21" s="155">
        <v>8964</v>
      </c>
      <c r="F21" s="156">
        <f t="shared" ref="F21:F35" si="1">E21*D21</f>
        <v>1048788</v>
      </c>
      <c r="G21" s="157"/>
    </row>
    <row r="22" spans="2:7">
      <c r="B22" s="153">
        <f>B21+1</f>
        <v>6</v>
      </c>
      <c r="C22" s="158" t="s">
        <v>126</v>
      </c>
      <c r="D22" s="154">
        <v>2380</v>
      </c>
      <c r="E22" s="155">
        <v>81</v>
      </c>
      <c r="F22" s="156">
        <f t="shared" si="1"/>
        <v>192780</v>
      </c>
      <c r="G22" s="130"/>
    </row>
    <row r="23" spans="2:7">
      <c r="B23" s="153">
        <f t="shared" ref="B23:B41" si="2">B22+1</f>
        <v>7</v>
      </c>
      <c r="C23" s="158" t="s">
        <v>127</v>
      </c>
      <c r="D23" s="154">
        <v>23050</v>
      </c>
      <c r="E23" s="155">
        <v>98</v>
      </c>
      <c r="F23" s="156">
        <f t="shared" si="1"/>
        <v>2258900</v>
      </c>
      <c r="G23" s="130"/>
    </row>
    <row r="24" spans="2:7">
      <c r="B24" s="153">
        <f t="shared" si="2"/>
        <v>8</v>
      </c>
      <c r="C24" s="158" t="s">
        <v>128</v>
      </c>
      <c r="D24" s="154">
        <v>8440</v>
      </c>
      <c r="E24" s="155">
        <v>49</v>
      </c>
      <c r="F24" s="156">
        <f t="shared" si="1"/>
        <v>413560</v>
      </c>
      <c r="G24" s="130"/>
    </row>
    <row r="25" spans="2:7">
      <c r="B25" s="153">
        <f t="shared" si="2"/>
        <v>9</v>
      </c>
      <c r="C25" s="158" t="s">
        <v>129</v>
      </c>
      <c r="D25" s="154">
        <v>9840</v>
      </c>
      <c r="E25" s="155">
        <v>166</v>
      </c>
      <c r="F25" s="156">
        <f t="shared" si="1"/>
        <v>1633440</v>
      </c>
      <c r="G25" s="130"/>
    </row>
    <row r="26" spans="2:7">
      <c r="B26" s="153">
        <f t="shared" si="2"/>
        <v>10</v>
      </c>
      <c r="C26" s="158" t="s">
        <v>130</v>
      </c>
      <c r="D26" s="154">
        <v>64</v>
      </c>
      <c r="E26" s="155">
        <v>16050</v>
      </c>
      <c r="F26" s="156">
        <f t="shared" si="1"/>
        <v>1027200</v>
      </c>
      <c r="G26" s="130"/>
    </row>
    <row r="27" spans="2:7">
      <c r="B27" s="153">
        <f t="shared" si="2"/>
        <v>11</v>
      </c>
      <c r="C27" s="158" t="s">
        <v>131</v>
      </c>
      <c r="D27" s="154">
        <v>617</v>
      </c>
      <c r="E27" s="155">
        <v>535</v>
      </c>
      <c r="F27" s="156">
        <f t="shared" si="1"/>
        <v>330095</v>
      </c>
      <c r="G27" s="130"/>
    </row>
    <row r="28" spans="2:7">
      <c r="B28" s="153">
        <f t="shared" si="2"/>
        <v>12</v>
      </c>
      <c r="C28" s="158" t="s">
        <v>132</v>
      </c>
      <c r="D28" s="154">
        <v>223</v>
      </c>
      <c r="E28" s="155">
        <f>15000*1.07</f>
        <v>16050.000000000002</v>
      </c>
      <c r="F28" s="156">
        <f t="shared" si="1"/>
        <v>3579150.0000000005</v>
      </c>
      <c r="G28" s="130"/>
    </row>
    <row r="29" spans="2:7">
      <c r="B29" s="153">
        <f t="shared" si="2"/>
        <v>13</v>
      </c>
      <c r="C29" s="158" t="s">
        <v>133</v>
      </c>
      <c r="D29" s="154">
        <v>373</v>
      </c>
      <c r="E29" s="155">
        <v>4280</v>
      </c>
      <c r="F29" s="156">
        <f t="shared" si="1"/>
        <v>1596440</v>
      </c>
      <c r="G29" s="130"/>
    </row>
    <row r="30" spans="2:7">
      <c r="B30" s="153">
        <f t="shared" si="2"/>
        <v>14</v>
      </c>
      <c r="C30" s="158" t="s">
        <v>134</v>
      </c>
      <c r="D30" s="154">
        <v>21</v>
      </c>
      <c r="E30" s="155">
        <v>6420</v>
      </c>
      <c r="F30" s="156">
        <f t="shared" si="1"/>
        <v>134820</v>
      </c>
      <c r="G30" s="130"/>
    </row>
    <row r="31" spans="2:7">
      <c r="B31" s="153">
        <f t="shared" si="2"/>
        <v>15</v>
      </c>
      <c r="C31" s="158" t="s">
        <v>135</v>
      </c>
      <c r="D31" s="154">
        <v>128</v>
      </c>
      <c r="E31" s="155">
        <v>2140</v>
      </c>
      <c r="F31" s="156">
        <f t="shared" si="1"/>
        <v>273920</v>
      </c>
      <c r="G31" s="130"/>
    </row>
    <row r="32" spans="2:7">
      <c r="B32" s="153">
        <f t="shared" si="2"/>
        <v>16</v>
      </c>
      <c r="C32" s="158" t="s">
        <v>136</v>
      </c>
      <c r="D32" s="154">
        <v>64</v>
      </c>
      <c r="E32" s="155">
        <v>1605</v>
      </c>
      <c r="F32" s="156">
        <f t="shared" si="1"/>
        <v>102720</v>
      </c>
      <c r="G32" s="130"/>
    </row>
    <row r="33" spans="2:8">
      <c r="B33" s="153">
        <f t="shared" si="2"/>
        <v>17</v>
      </c>
      <c r="C33" s="158" t="s">
        <v>137</v>
      </c>
      <c r="D33" s="154">
        <v>64</v>
      </c>
      <c r="E33" s="155">
        <v>5350</v>
      </c>
      <c r="F33" s="156">
        <f t="shared" si="1"/>
        <v>342400</v>
      </c>
      <c r="G33" s="130"/>
    </row>
    <row r="34" spans="2:8">
      <c r="B34" s="153">
        <f>B33+1</f>
        <v>18</v>
      </c>
      <c r="C34" s="158" t="s">
        <v>138</v>
      </c>
      <c r="D34" s="154">
        <v>34</v>
      </c>
      <c r="E34" s="155">
        <v>78110</v>
      </c>
      <c r="F34" s="156">
        <f t="shared" si="1"/>
        <v>2655740</v>
      </c>
      <c r="G34" s="83" t="s">
        <v>139</v>
      </c>
    </row>
    <row r="35" spans="2:8" ht="15.75" thickBot="1">
      <c r="B35" s="159">
        <f>B34+1</f>
        <v>19</v>
      </c>
      <c r="C35" s="160" t="s">
        <v>140</v>
      </c>
      <c r="D35" s="161">
        <v>34</v>
      </c>
      <c r="E35" s="162">
        <v>78993</v>
      </c>
      <c r="F35" s="163">
        <f t="shared" si="1"/>
        <v>2685762</v>
      </c>
      <c r="G35" s="164">
        <f>SUM(F13:F35)</f>
        <v>69498839</v>
      </c>
      <c r="H35" s="142"/>
    </row>
    <row r="36" spans="2:8" ht="15.75" thickBot="1">
      <c r="B36" s="165" t="s">
        <v>141</v>
      </c>
      <c r="C36" s="166"/>
      <c r="D36" s="166"/>
      <c r="E36" s="166"/>
      <c r="F36" s="167"/>
    </row>
    <row r="37" spans="2:8">
      <c r="B37" s="168">
        <v>20</v>
      </c>
      <c r="C37" s="126" t="s">
        <v>142</v>
      </c>
      <c r="D37" s="169">
        <v>9090</v>
      </c>
      <c r="E37" s="170">
        <v>428</v>
      </c>
      <c r="F37" s="171">
        <f>D37*E37</f>
        <v>3890520</v>
      </c>
      <c r="G37" s="130"/>
    </row>
    <row r="38" spans="2:8">
      <c r="B38" s="172">
        <v>21</v>
      </c>
      <c r="C38" s="173" t="s">
        <v>143</v>
      </c>
      <c r="D38" s="174">
        <v>64</v>
      </c>
      <c r="E38" s="175">
        <v>4280</v>
      </c>
      <c r="F38" s="176">
        <f t="shared" ref="F38:F43" si="3">D38*E38</f>
        <v>273920</v>
      </c>
      <c r="G38" s="130"/>
    </row>
    <row r="39" spans="2:8">
      <c r="B39" s="172">
        <v>22</v>
      </c>
      <c r="C39" s="173" t="s">
        <v>144</v>
      </c>
      <c r="D39" s="174">
        <v>223</v>
      </c>
      <c r="E39" s="175">
        <v>12840</v>
      </c>
      <c r="F39" s="176">
        <f t="shared" si="3"/>
        <v>2863320</v>
      </c>
      <c r="G39" s="130"/>
    </row>
    <row r="40" spans="2:8">
      <c r="B40" s="172">
        <f t="shared" si="2"/>
        <v>23</v>
      </c>
      <c r="C40" s="173" t="s">
        <v>145</v>
      </c>
      <c r="D40" s="174">
        <v>394</v>
      </c>
      <c r="E40" s="175">
        <v>4280</v>
      </c>
      <c r="F40" s="176">
        <f t="shared" si="3"/>
        <v>1686320</v>
      </c>
      <c r="G40" s="83" t="s">
        <v>146</v>
      </c>
    </row>
    <row r="41" spans="2:8" ht="15.75" thickBot="1">
      <c r="B41" s="177">
        <f t="shared" si="2"/>
        <v>24</v>
      </c>
      <c r="C41" s="158" t="s">
        <v>147</v>
      </c>
      <c r="D41" s="178">
        <v>94</v>
      </c>
      <c r="E41" s="179">
        <v>16050</v>
      </c>
      <c r="F41" s="180">
        <f t="shared" si="3"/>
        <v>1508700</v>
      </c>
      <c r="G41" s="181">
        <f>SUM(F37:F41)</f>
        <v>10222780</v>
      </c>
    </row>
    <row r="42" spans="2:8" ht="15.75" thickBot="1">
      <c r="B42" s="182" t="s">
        <v>148</v>
      </c>
      <c r="C42" s="183"/>
      <c r="D42" s="183"/>
      <c r="E42" s="183"/>
      <c r="F42" s="184"/>
      <c r="G42" s="130"/>
    </row>
    <row r="43" spans="2:8">
      <c r="B43" s="185">
        <v>25</v>
      </c>
      <c r="C43" s="186" t="s">
        <v>149</v>
      </c>
      <c r="D43" s="133">
        <v>64</v>
      </c>
      <c r="E43" s="187">
        <v>25787</v>
      </c>
      <c r="F43" s="188">
        <f t="shared" si="3"/>
        <v>1650368</v>
      </c>
      <c r="G43" s="189" t="s">
        <v>150</v>
      </c>
    </row>
    <row r="44" spans="2:8" ht="15.75" thickBot="1">
      <c r="B44" s="190">
        <v>26</v>
      </c>
      <c r="C44" s="191" t="s">
        <v>151</v>
      </c>
      <c r="D44" s="161">
        <v>64</v>
      </c>
      <c r="E44" s="192">
        <v>204257</v>
      </c>
      <c r="F44" s="193">
        <f>D44*E44</f>
        <v>13072448</v>
      </c>
      <c r="G44" s="181">
        <f>SUM(F43:F44)</f>
        <v>14722816</v>
      </c>
    </row>
    <row r="45" spans="2:8" ht="15.75" thickBot="1">
      <c r="F45" s="194" t="s">
        <v>152</v>
      </c>
      <c r="G45" s="195">
        <f>SUM(G44,G41,G35)</f>
        <v>94444435</v>
      </c>
    </row>
    <row r="46" spans="2:8">
      <c r="F46" s="194"/>
      <c r="G46" s="181"/>
    </row>
  </sheetData>
  <mergeCells count="21">
    <mergeCell ref="B42:F42"/>
    <mergeCell ref="B12:F12"/>
    <mergeCell ref="B16:B20"/>
    <mergeCell ref="D16:D20"/>
    <mergeCell ref="E16:E20"/>
    <mergeCell ref="F16:F20"/>
    <mergeCell ref="B36:F36"/>
    <mergeCell ref="B8:D8"/>
    <mergeCell ref="E8:F8"/>
    <mergeCell ref="B9:F9"/>
    <mergeCell ref="B10:B11"/>
    <mergeCell ref="C10:C11"/>
    <mergeCell ref="D10:D11"/>
    <mergeCell ref="E10:E11"/>
    <mergeCell ref="F10:F11"/>
    <mergeCell ref="F1:G1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Cash Flow</vt:lpstr>
      <vt:lpstr>Graph Cash Flow</vt:lpstr>
      <vt:lpstr>BOQ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Puranik</dc:creator>
  <cp:lastModifiedBy>Shailesh Upadhyay</cp:lastModifiedBy>
  <cp:lastPrinted>2017-03-01T09:33:14Z</cp:lastPrinted>
  <dcterms:created xsi:type="dcterms:W3CDTF">2016-11-30T06:27:12Z</dcterms:created>
  <dcterms:modified xsi:type="dcterms:W3CDTF">2017-03-14T10:51:39Z</dcterms:modified>
</cp:coreProperties>
</file>