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0" yWindow="0" windowWidth="25600" windowHeight="15540"/>
  </bookViews>
  <sheets>
    <sheet name="Stage 0.8" sheetId="5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5" i="5" l="1"/>
  <c r="O75" i="5"/>
  <c r="J75" i="5"/>
  <c r="I75" i="5"/>
  <c r="G75" i="5"/>
  <c r="F75" i="5"/>
  <c r="L35" i="5"/>
  <c r="L42" i="5"/>
  <c r="L70" i="5"/>
  <c r="L7" i="5"/>
  <c r="O24" i="5"/>
  <c r="P4" i="5"/>
  <c r="P5" i="5"/>
  <c r="P35" i="5"/>
  <c r="P36" i="5"/>
  <c r="P37" i="5"/>
  <c r="P63" i="5"/>
  <c r="P77" i="5"/>
  <c r="O5" i="5"/>
  <c r="O35" i="5"/>
  <c r="O36" i="5"/>
  <c r="O37" i="5"/>
  <c r="O63" i="5"/>
  <c r="O77" i="5"/>
  <c r="P25" i="5"/>
  <c r="P24" i="5"/>
  <c r="P76" i="5"/>
  <c r="O25" i="5"/>
  <c r="O76" i="5"/>
  <c r="P70" i="5"/>
  <c r="P72" i="5"/>
  <c r="P73" i="5"/>
  <c r="O70" i="5"/>
  <c r="O72" i="5"/>
  <c r="O73" i="5"/>
  <c r="P71" i="5"/>
  <c r="P74" i="5"/>
  <c r="O71" i="5"/>
  <c r="O74" i="5"/>
  <c r="P64" i="5"/>
  <c r="P65" i="5"/>
  <c r="O64" i="5"/>
  <c r="O65" i="5"/>
  <c r="P57" i="5"/>
  <c r="O57" i="5"/>
  <c r="P55" i="5"/>
  <c r="O55" i="5"/>
  <c r="P47" i="5"/>
  <c r="P48" i="5"/>
  <c r="P50" i="5"/>
  <c r="P28" i="5"/>
  <c r="P51" i="5"/>
  <c r="O47" i="5"/>
  <c r="O48" i="5"/>
  <c r="O50" i="5"/>
  <c r="O28" i="5"/>
  <c r="O51" i="5"/>
  <c r="P42" i="5"/>
  <c r="P43" i="5"/>
  <c r="O42" i="5"/>
  <c r="O43" i="5"/>
  <c r="P41" i="5"/>
  <c r="O41" i="5"/>
  <c r="P34" i="5"/>
  <c r="P40" i="5"/>
  <c r="O34" i="5"/>
  <c r="O40" i="5"/>
  <c r="P39" i="5"/>
  <c r="O39" i="5"/>
  <c r="P29" i="5"/>
  <c r="P38" i="5"/>
  <c r="O29" i="5"/>
  <c r="O38" i="5"/>
  <c r="P27" i="5"/>
  <c r="P31" i="5"/>
  <c r="O27" i="5"/>
  <c r="O31" i="5"/>
  <c r="P30" i="5"/>
  <c r="O30" i="5"/>
  <c r="P20" i="5"/>
  <c r="O20" i="5"/>
  <c r="P18" i="5"/>
  <c r="O18" i="5"/>
  <c r="P14" i="5"/>
  <c r="O14" i="5"/>
  <c r="P13" i="5"/>
  <c r="O13" i="5"/>
  <c r="P12" i="5"/>
  <c r="O12" i="5"/>
  <c r="M5" i="5"/>
  <c r="M35" i="5"/>
  <c r="M42" i="5"/>
  <c r="M70" i="5"/>
  <c r="M72" i="5"/>
  <c r="M73" i="5"/>
  <c r="M75" i="5"/>
  <c r="L5" i="5"/>
  <c r="L72" i="5"/>
  <c r="L73" i="5"/>
  <c r="L75" i="5"/>
  <c r="M7" i="5"/>
  <c r="J28" i="5"/>
  <c r="J72" i="5"/>
  <c r="I72" i="5"/>
  <c r="G72" i="5"/>
  <c r="F72" i="5"/>
  <c r="J5" i="5"/>
  <c r="J35" i="5"/>
  <c r="J36" i="5"/>
  <c r="J37" i="5"/>
  <c r="I5" i="5"/>
  <c r="I35" i="5"/>
  <c r="I36" i="5"/>
  <c r="I37" i="5"/>
  <c r="G5" i="5"/>
  <c r="G35" i="5"/>
  <c r="G36" i="5"/>
  <c r="G37" i="5"/>
  <c r="F5" i="5"/>
  <c r="F35" i="5"/>
  <c r="F36" i="5"/>
  <c r="F37" i="5"/>
  <c r="J48" i="5"/>
  <c r="I48" i="5"/>
  <c r="G48" i="5"/>
  <c r="F48" i="5"/>
  <c r="J70" i="5"/>
  <c r="J73" i="5"/>
  <c r="J47" i="5"/>
  <c r="I70" i="5"/>
  <c r="I73" i="5"/>
  <c r="I47" i="5"/>
  <c r="G70" i="5"/>
  <c r="G73" i="5"/>
  <c r="G47" i="5"/>
  <c r="F70" i="5"/>
  <c r="F73" i="5"/>
  <c r="F47" i="5"/>
  <c r="M36" i="5"/>
  <c r="M34" i="5"/>
  <c r="M48" i="5"/>
  <c r="M47" i="5"/>
  <c r="M50" i="5"/>
  <c r="M51" i="5"/>
  <c r="L34" i="5"/>
  <c r="L47" i="5"/>
  <c r="L36" i="5"/>
  <c r="L48" i="5"/>
  <c r="L50" i="5"/>
  <c r="L51" i="5"/>
  <c r="J50" i="5"/>
  <c r="J51" i="5"/>
  <c r="I50" i="5"/>
  <c r="I28" i="5"/>
  <c r="I51" i="5"/>
  <c r="G50" i="5"/>
  <c r="G28" i="5"/>
  <c r="G51" i="5"/>
  <c r="F50" i="5"/>
  <c r="F28" i="5"/>
  <c r="F51" i="5"/>
  <c r="M43" i="5"/>
  <c r="L43" i="5"/>
  <c r="J42" i="5"/>
  <c r="J43" i="5"/>
  <c r="I42" i="5"/>
  <c r="I43" i="5"/>
  <c r="J41" i="5"/>
  <c r="I41" i="5"/>
  <c r="G42" i="5"/>
  <c r="G43" i="5"/>
  <c r="G41" i="5"/>
  <c r="F42" i="5"/>
  <c r="F43" i="5"/>
  <c r="F41" i="5"/>
  <c r="M63" i="5"/>
  <c r="L63" i="5"/>
  <c r="M25" i="5"/>
  <c r="M24" i="5"/>
  <c r="L25" i="5"/>
  <c r="L24" i="5"/>
  <c r="M71" i="5"/>
  <c r="M74" i="5"/>
  <c r="L71" i="5"/>
  <c r="L74" i="5"/>
  <c r="M64" i="5"/>
  <c r="M65" i="5"/>
  <c r="L64" i="5"/>
  <c r="L65" i="5"/>
  <c r="M57" i="5"/>
  <c r="L57" i="5"/>
  <c r="M55" i="5"/>
  <c r="L55" i="5"/>
  <c r="M40" i="5"/>
  <c r="L40" i="5"/>
  <c r="M39" i="5"/>
  <c r="L39" i="5"/>
  <c r="M27" i="5"/>
  <c r="L27" i="5"/>
  <c r="M20" i="5"/>
  <c r="L20" i="5"/>
  <c r="M18" i="5"/>
  <c r="L18" i="5"/>
  <c r="M14" i="5"/>
  <c r="L14" i="5"/>
  <c r="M13" i="5"/>
  <c r="L13" i="5"/>
  <c r="M12" i="5"/>
  <c r="L12" i="5"/>
  <c r="J34" i="5"/>
  <c r="J40" i="5"/>
  <c r="G64" i="5"/>
  <c r="G65" i="5"/>
  <c r="G55" i="5"/>
  <c r="F64" i="5"/>
  <c r="F65" i="5"/>
  <c r="F55" i="5"/>
  <c r="G71" i="5"/>
  <c r="F71" i="5"/>
  <c r="G57" i="5"/>
  <c r="F57" i="5"/>
  <c r="J71" i="5"/>
  <c r="I71" i="5"/>
  <c r="F34" i="5"/>
  <c r="G34" i="5"/>
  <c r="I34" i="5"/>
  <c r="J63" i="5"/>
  <c r="J77" i="5"/>
  <c r="J25" i="5"/>
  <c r="J24" i="5"/>
  <c r="J76" i="5"/>
  <c r="I63" i="5"/>
  <c r="I77" i="5"/>
  <c r="I25" i="5"/>
  <c r="I24" i="5"/>
  <c r="I76" i="5"/>
  <c r="J14" i="5"/>
  <c r="I14" i="5"/>
  <c r="G14" i="5"/>
  <c r="F14" i="5"/>
  <c r="J13" i="5"/>
  <c r="I13" i="5"/>
  <c r="G13" i="5"/>
  <c r="F13" i="5"/>
  <c r="J12" i="5"/>
  <c r="I12" i="5"/>
  <c r="G12" i="5"/>
  <c r="F12" i="5"/>
  <c r="J64" i="5"/>
  <c r="J65" i="5"/>
  <c r="J55" i="5"/>
  <c r="I64" i="5"/>
  <c r="I65" i="5"/>
  <c r="I55" i="5"/>
  <c r="J57" i="5"/>
  <c r="I57" i="5"/>
  <c r="G18" i="5"/>
  <c r="I18" i="5"/>
  <c r="J18" i="5"/>
  <c r="F18" i="5"/>
  <c r="G63" i="5"/>
  <c r="G25" i="5"/>
  <c r="J27" i="5"/>
  <c r="J31" i="5"/>
  <c r="I27" i="5"/>
  <c r="G27" i="5"/>
  <c r="F27" i="5"/>
  <c r="F31" i="5"/>
  <c r="G24" i="5"/>
  <c r="J20" i="5"/>
  <c r="J30" i="5"/>
  <c r="I20" i="5"/>
  <c r="I31" i="5"/>
  <c r="G30" i="5"/>
  <c r="G20" i="5"/>
  <c r="G31" i="5"/>
  <c r="F40" i="5"/>
  <c r="I29" i="5"/>
  <c r="I30" i="5"/>
  <c r="J29" i="5"/>
  <c r="F20" i="5"/>
  <c r="G29" i="5"/>
  <c r="F39" i="5"/>
  <c r="I40" i="5"/>
  <c r="F74" i="5"/>
  <c r="G39" i="5"/>
  <c r="G40" i="5"/>
  <c r="G74" i="5"/>
  <c r="J39" i="5"/>
  <c r="G38" i="5"/>
  <c r="I39" i="5"/>
  <c r="I74" i="5"/>
  <c r="J74" i="5"/>
  <c r="G77" i="5"/>
  <c r="G76" i="5"/>
  <c r="I38" i="5"/>
  <c r="J38" i="5"/>
  <c r="F24" i="5"/>
  <c r="F63" i="5"/>
  <c r="F77" i="5"/>
  <c r="F25" i="5"/>
  <c r="F76" i="5"/>
  <c r="F30" i="5"/>
  <c r="F29" i="5"/>
  <c r="F38" i="5"/>
</calcChain>
</file>

<file path=xl/comments1.xml><?xml version="1.0" encoding="utf-8"?>
<comments xmlns="http://schemas.openxmlformats.org/spreadsheetml/2006/main">
  <authors>
    <author>derwent paul</author>
  </authors>
  <commentList>
    <comment ref="O4" authorId="0">
      <text>
        <r>
          <rPr>
            <b/>
            <sz val="9"/>
            <color indexed="81"/>
            <rFont val="Calibri"/>
            <family val="2"/>
          </rPr>
          <t>derwent paul:</t>
        </r>
        <r>
          <rPr>
            <sz val="9"/>
            <color indexed="81"/>
            <rFont val="Calibri"/>
            <family val="2"/>
          </rPr>
          <t xml:space="preserve">
1.2 sec ramp
6 injections at 20 Hz (0.25 seconds)
changes if differnet harmonic relations</t>
        </r>
      </text>
    </comment>
  </commentList>
</comments>
</file>

<file path=xl/sharedStrings.xml><?xml version="1.0" encoding="utf-8"?>
<sst xmlns="http://schemas.openxmlformats.org/spreadsheetml/2006/main" count="171" uniqueCount="113">
  <si>
    <t>ppp</t>
  </si>
  <si>
    <t>mA</t>
  </si>
  <si>
    <t xml:space="preserve"> </t>
  </si>
  <si>
    <t>GeV</t>
  </si>
  <si>
    <t>Circumference</t>
  </si>
  <si>
    <t>m</t>
  </si>
  <si>
    <t>Injection Time</t>
  </si>
  <si>
    <t>ms</t>
  </si>
  <si>
    <t>Injected Turns</t>
  </si>
  <si>
    <t>Bunching Factor</t>
  </si>
  <si>
    <t>GeV/c</t>
  </si>
  <si>
    <t>Hz</t>
  </si>
  <si>
    <t>%</t>
  </si>
  <si>
    <t>Injection Energy (Kinetic)</t>
  </si>
  <si>
    <t>Injection Momentum</t>
  </si>
  <si>
    <t>Extraction Energy (Kinetic)</t>
  </si>
  <si>
    <t>Extraction Momentum</t>
  </si>
  <si>
    <t>Beam loss at injection</t>
  </si>
  <si>
    <t>Beam Power lost at injection</t>
  </si>
  <si>
    <t>kW</t>
  </si>
  <si>
    <t>Cycles to Recycler</t>
  </si>
  <si>
    <t>Revolution Period (Injection)</t>
  </si>
  <si>
    <t>Beam Energy</t>
  </si>
  <si>
    <t>Beam Momentum</t>
  </si>
  <si>
    <t>Normalized Beam Emittance (95%)</t>
  </si>
  <si>
    <t>Beam Power to Booster</t>
  </si>
  <si>
    <t>MeV</t>
  </si>
  <si>
    <t>Repetition Rate</t>
  </si>
  <si>
    <t>MeV/c</t>
  </si>
  <si>
    <t>Full Energy Deviation over Injection Time</t>
  </si>
  <si>
    <t>Full Momentum Deviation over Injection Time</t>
  </si>
  <si>
    <t>Slip Stacking Efficiency</t>
  </si>
  <si>
    <t>MI/Recycler</t>
  </si>
  <si>
    <t>Laslett Tune Shift (injection)</t>
  </si>
  <si>
    <t>Cycle Time</t>
  </si>
  <si>
    <t>sec</t>
  </si>
  <si>
    <t>Beam Power</t>
  </si>
  <si>
    <t>MW</t>
  </si>
  <si>
    <t>Beam Energy (Kinetic)</t>
  </si>
  <si>
    <t>Beam Power to 8 GeV Program</t>
  </si>
  <si>
    <t>Beam Power to Recycler/MI</t>
  </si>
  <si>
    <r>
      <rPr>
        <sz val="11"/>
        <rFont val="Symbol"/>
        <family val="1"/>
        <charset val="2"/>
      </rPr>
      <t>p</t>
    </r>
    <r>
      <rPr>
        <sz val="11"/>
        <rFont val="Calibri"/>
        <family val="2"/>
        <scheme val="minor"/>
      </rPr>
      <t xml:space="preserve"> mm-mr</t>
    </r>
  </si>
  <si>
    <r>
      <rPr>
        <sz val="11"/>
        <rFont val="Symbol"/>
        <family val="1"/>
        <charset val="2"/>
      </rPr>
      <t>m</t>
    </r>
    <r>
      <rPr>
        <sz val="11"/>
        <rFont val="Calibri"/>
        <family val="2"/>
        <scheme val="minor"/>
      </rPr>
      <t>sec</t>
    </r>
  </si>
  <si>
    <t>Beam Cycle Rate to MI</t>
  </si>
  <si>
    <t>Laslett Tune Shift (injection, gaussian)</t>
  </si>
  <si>
    <t>Laslett Tune Shift (injection, K-V)</t>
  </si>
  <si>
    <t>Normalized Beam Emittance (rms)</t>
  </si>
  <si>
    <t>Beam loss during acceleration</t>
  </si>
  <si>
    <t>RF Frequency (injection)</t>
  </si>
  <si>
    <t>MHz</t>
  </si>
  <si>
    <t>Note: Cannot run MI cycle time below 0.8 seconds with 12 batches stacked</t>
  </si>
  <si>
    <t>Calculated quantities</t>
  </si>
  <si>
    <t>Beam Pulse Length</t>
  </si>
  <si>
    <t>RF Pulse length</t>
  </si>
  <si>
    <t>Linac RF Duty Factor</t>
  </si>
  <si>
    <t>eV-sec (per bunch)</t>
  </si>
  <si>
    <r>
      <rPr>
        <sz val="11"/>
        <rFont val="Symbol"/>
        <family val="1"/>
        <charset val="2"/>
      </rPr>
      <t>p</t>
    </r>
    <r>
      <rPr>
        <sz val="11"/>
        <rFont val="Calibri"/>
        <family val="2"/>
        <scheme val="minor"/>
      </rPr>
      <t xml:space="preserve"> mm-mr (defined as 6*rms)</t>
    </r>
  </si>
  <si>
    <t>Updated:</t>
  </si>
  <si>
    <t>Protons per pulse (extracted)</t>
  </si>
  <si>
    <t>Protons per Pulse (extracted)</t>
  </si>
  <si>
    <t>Protons per Pulse (injected)</t>
  </si>
  <si>
    <t>Longitudinal Emittance (97%) at extaction (pi*dE*dT)</t>
  </si>
  <si>
    <t>Bunch height (0.5*full height)</t>
  </si>
  <si>
    <t>Bunch length (0.5*full length)</t>
  </si>
  <si>
    <t>nsec</t>
  </si>
  <si>
    <t>Longitudinal Emmittance (rms, dE*dT)</t>
  </si>
  <si>
    <t>Beam beta</t>
  </si>
  <si>
    <t>Beam gamma</t>
  </si>
  <si>
    <t>Controlled 8 GeV Loss to Abort</t>
  </si>
  <si>
    <t>Controlled 8 GeV Loss to Collimators</t>
  </si>
  <si>
    <t>Uncontrolled 8 GeV Losses</t>
  </si>
  <si>
    <t>Transition Losses (Upper Bound)</t>
  </si>
  <si>
    <t>Power Deposited in Abort</t>
  </si>
  <si>
    <t>W</t>
  </si>
  <si>
    <t>Power Deposited in Collimators</t>
  </si>
  <si>
    <t>Distributed Uncontrolled Loss</t>
  </si>
  <si>
    <t>W/m</t>
  </si>
  <si>
    <t>Beam Power lost during acceleration (at what energy does loss occur?)</t>
  </si>
  <si>
    <t>Average Energy for beam lost during acceleration</t>
  </si>
  <si>
    <t>Assume average particle energy loss is 5 GeV (reasonable based on current loss vs energy)</t>
  </si>
  <si>
    <t>Total Beam Power Loss</t>
  </si>
  <si>
    <t>eV-usec</t>
  </si>
  <si>
    <t>PIP-II</t>
  </si>
  <si>
    <t>Includes ramping up and down (to reduce the cryo loss)</t>
  </si>
  <si>
    <t>PIP-III (RCS)</t>
  </si>
  <si>
    <t>PIP-III (Linac)</t>
  </si>
  <si>
    <t>Proton Source</t>
  </si>
  <si>
    <t>Injection Turns</t>
  </si>
  <si>
    <t>Note:  Linac assume direct injection into MI</t>
  </si>
  <si>
    <t>Note: Linac is length, not circumference</t>
  </si>
  <si>
    <t>NA</t>
  </si>
  <si>
    <t>RF Frequency (extraction)</t>
  </si>
  <si>
    <t>Note: Linac injects into MI</t>
  </si>
  <si>
    <t>Cycle Rate</t>
  </si>
  <si>
    <t>Pulse Length</t>
  </si>
  <si>
    <t>Duty Factor</t>
  </si>
  <si>
    <t>msec</t>
  </si>
  <si>
    <t>Beam Current (Peak)</t>
  </si>
  <si>
    <t>Total Beam Power Loss/m</t>
  </si>
  <si>
    <t>Estimate K-V distribution can reduce tune spread by factor of three</t>
  </si>
  <si>
    <t>Beam Current (Chopped)</t>
  </si>
  <si>
    <t>SCLinac</t>
  </si>
  <si>
    <t>Linac Beam Duty Factor to Proton Source</t>
  </si>
  <si>
    <t>PIP-III (RCS, no Recycler)</t>
  </si>
  <si>
    <t xml:space="preserve">this should have beam current chopped (67) not beam current peak (66) in power to Booster, so 8 GeV power is ~4x 2 GeV power </t>
  </si>
  <si>
    <t>no slip stacking, no controlled 8 GeV loss to abort</t>
  </si>
  <si>
    <t>not sure if there is a controlled 8 GeV loss to collimators -- for uncaptured beam?  with direct injection and box car stacking, MI is 99.8% at 2.5e13</t>
  </si>
  <si>
    <t>this probably won't change</t>
  </si>
  <si>
    <t>can run in this situation with low chromaticity so lifetime loss may be less but need KV for space charge tune shift</t>
  </si>
  <si>
    <t>Note: No slip stacking in PIP-III.  RCS assumes accumulation via box-car stacking in Recycler so 1% loss is from other factors</t>
  </si>
  <si>
    <t>this is definitely creeping up to a scale that might be worrisome</t>
  </si>
  <si>
    <t>Look at intensities necessary to match power!</t>
  </si>
  <si>
    <t>PFD 11/25/14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</si>
</sst>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E+00"/>
    <numFmt numFmtId="165" formatCode="0.0"/>
    <numFmt numFmtId="166" formatCode="0.0000"/>
    <numFmt numFmtId="167" formatCode="0.0%"/>
    <numFmt numFmtId="168" formatCode="0.000"/>
    <numFmt numFmtId="169" formatCode="0.00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Symbol"/>
      <family val="1"/>
      <charset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Fill="1" applyBorder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3" fillId="0" borderId="0" xfId="0" applyFont="1"/>
    <xf numFmtId="1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2" fontId="3" fillId="0" borderId="0" xfId="0" applyNumberFormat="1" applyFont="1"/>
    <xf numFmtId="0" fontId="1" fillId="0" borderId="0" xfId="0" applyFont="1" applyBorder="1"/>
    <xf numFmtId="0" fontId="3" fillId="0" borderId="0" xfId="0" applyFont="1" applyFill="1" applyBorder="1"/>
    <xf numFmtId="0" fontId="3" fillId="0" borderId="0" xfId="0" applyFont="1" applyBorder="1"/>
    <xf numFmtId="0" fontId="4" fillId="0" borderId="0" xfId="0" applyFont="1"/>
    <xf numFmtId="2" fontId="4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0" borderId="0" xfId="0" applyFont="1" applyBorder="1"/>
    <xf numFmtId="165" fontId="4" fillId="0" borderId="0" xfId="0" applyNumberFormat="1" applyFont="1"/>
    <xf numFmtId="0" fontId="4" fillId="0" borderId="0" xfId="0" applyFont="1" applyFill="1" applyBorder="1"/>
    <xf numFmtId="0" fontId="5" fillId="0" borderId="0" xfId="0" applyFont="1" applyBorder="1" applyAlignment="1">
      <alignment horizontal="center"/>
    </xf>
    <xf numFmtId="2" fontId="4" fillId="0" borderId="0" xfId="0" applyNumberFormat="1" applyFont="1" applyBorder="1"/>
    <xf numFmtId="165" fontId="4" fillId="0" borderId="0" xfId="0" applyNumberFormat="1" applyFont="1" applyAlignment="1">
      <alignment horizontal="right"/>
    </xf>
    <xf numFmtId="0" fontId="6" fillId="0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7" fillId="0" borderId="0" xfId="0" applyFont="1" applyFill="1" applyBorder="1"/>
    <xf numFmtId="165" fontId="7" fillId="0" borderId="0" xfId="0" applyNumberFormat="1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Border="1"/>
    <xf numFmtId="0" fontId="0" fillId="2" borderId="0" xfId="0" applyFill="1"/>
    <xf numFmtId="0" fontId="5" fillId="2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left"/>
    </xf>
    <xf numFmtId="2" fontId="4" fillId="2" borderId="2" xfId="0" applyNumberFormat="1" applyFont="1" applyFill="1" applyBorder="1"/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/>
    <xf numFmtId="165" fontId="4" fillId="2" borderId="2" xfId="0" applyNumberFormat="1" applyFont="1" applyFill="1" applyBorder="1"/>
    <xf numFmtId="1" fontId="4" fillId="2" borderId="2" xfId="0" applyNumberFormat="1" applyFont="1" applyFill="1" applyBorder="1"/>
    <xf numFmtId="1" fontId="4" fillId="0" borderId="2" xfId="0" applyNumberFormat="1" applyFont="1" applyBorder="1"/>
    <xf numFmtId="2" fontId="4" fillId="0" borderId="2" xfId="0" applyNumberFormat="1" applyFont="1" applyBorder="1"/>
    <xf numFmtId="0" fontId="4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4" fillId="2" borderId="2" xfId="0" applyNumberFormat="1" applyFont="1" applyFill="1" applyBorder="1" applyAlignment="1">
      <alignment horizontal="right"/>
    </xf>
    <xf numFmtId="166" fontId="4" fillId="2" borderId="2" xfId="0" applyNumberFormat="1" applyFont="1" applyFill="1" applyBorder="1"/>
    <xf numFmtId="0" fontId="0" fillId="2" borderId="2" xfId="0" applyFill="1" applyBorder="1"/>
    <xf numFmtId="10" fontId="4" fillId="0" borderId="2" xfId="0" applyNumberFormat="1" applyFont="1" applyFill="1" applyBorder="1"/>
    <xf numFmtId="1" fontId="0" fillId="2" borderId="2" xfId="0" applyNumberFormat="1" applyFill="1" applyBorder="1"/>
    <xf numFmtId="2" fontId="0" fillId="2" borderId="2" xfId="0" applyNumberFormat="1" applyFill="1" applyBorder="1"/>
    <xf numFmtId="2" fontId="4" fillId="0" borderId="2" xfId="0" applyNumberFormat="1" applyFont="1" applyFill="1" applyBorder="1"/>
    <xf numFmtId="168" fontId="0" fillId="0" borderId="0" xfId="0" applyNumberFormat="1"/>
    <xf numFmtId="0" fontId="0" fillId="0" borderId="0" xfId="0" applyFill="1"/>
    <xf numFmtId="0" fontId="0" fillId="0" borderId="2" xfId="0" applyFill="1" applyBorder="1"/>
    <xf numFmtId="1" fontId="4" fillId="0" borderId="2" xfId="0" applyNumberFormat="1" applyFont="1" applyFill="1" applyBorder="1"/>
    <xf numFmtId="10" fontId="4" fillId="2" borderId="2" xfId="1" applyNumberFormat="1" applyFont="1" applyFill="1" applyBorder="1"/>
    <xf numFmtId="0" fontId="4" fillId="0" borderId="0" xfId="0" applyFont="1" applyBorder="1" applyAlignment="1">
      <alignment horizontal="center"/>
    </xf>
    <xf numFmtId="164" fontId="0" fillId="0" borderId="2" xfId="0" applyNumberFormat="1" applyFill="1" applyBorder="1"/>
    <xf numFmtId="164" fontId="4" fillId="0" borderId="2" xfId="0" applyNumberFormat="1" applyFont="1" applyFill="1" applyBorder="1"/>
    <xf numFmtId="167" fontId="0" fillId="0" borderId="2" xfId="0" applyNumberFormat="1" applyFill="1" applyBorder="1"/>
    <xf numFmtId="165" fontId="4" fillId="0" borderId="2" xfId="0" applyNumberFormat="1" applyFont="1" applyFill="1" applyBorder="1"/>
    <xf numFmtId="165" fontId="4" fillId="0" borderId="2" xfId="0" applyNumberFormat="1" applyFont="1" applyFill="1" applyBorder="1" applyAlignment="1">
      <alignment horizontal="right"/>
    </xf>
    <xf numFmtId="168" fontId="9" fillId="2" borderId="2" xfId="0" applyNumberFormat="1" applyFont="1" applyFill="1" applyBorder="1" applyAlignment="1">
      <alignment horizontal="right"/>
    </xf>
    <xf numFmtId="0" fontId="0" fillId="0" borderId="1" xfId="0" applyBorder="1"/>
    <xf numFmtId="0" fontId="4" fillId="2" borderId="2" xfId="0" applyFont="1" applyFill="1" applyBorder="1"/>
    <xf numFmtId="1" fontId="4" fillId="0" borderId="2" xfId="0" applyNumberFormat="1" applyFont="1" applyFill="1" applyBorder="1" applyAlignment="1">
      <alignment horizontal="right"/>
    </xf>
    <xf numFmtId="169" fontId="4" fillId="2" borderId="2" xfId="0" applyNumberFormat="1" applyFont="1" applyFill="1" applyBorder="1"/>
    <xf numFmtId="167" fontId="4" fillId="2" borderId="2" xfId="0" applyNumberFormat="1" applyFont="1" applyFill="1" applyBorder="1"/>
    <xf numFmtId="166" fontId="4" fillId="0" borderId="2" xfId="0" applyNumberFormat="1" applyFont="1" applyFill="1" applyBorder="1" applyAlignment="1">
      <alignment horizontal="right"/>
    </xf>
    <xf numFmtId="165" fontId="4" fillId="0" borderId="0" xfId="0" applyNumberFormat="1" applyFont="1" applyFill="1" applyAlignment="1">
      <alignment horizontal="right"/>
    </xf>
    <xf numFmtId="0" fontId="0" fillId="0" borderId="0" xfId="0" applyAlignment="1">
      <alignment wrapText="1"/>
    </xf>
    <xf numFmtId="11" fontId="4" fillId="2" borderId="2" xfId="0" applyNumberFormat="1" applyFont="1" applyFill="1" applyBorder="1"/>
    <xf numFmtId="11" fontId="4" fillId="0" borderId="0" xfId="0" applyNumberFormat="1" applyFont="1"/>
    <xf numFmtId="0" fontId="1" fillId="0" borderId="2" xfId="0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4" fillId="0" borderId="0" xfId="0" applyNumberFormat="1" applyFont="1" applyFill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82"/>
  <sheetViews>
    <sheetView tabSelected="1" zoomScale="110" zoomScaleNormal="110" zoomScalePageLayoutView="110" workbookViewId="0">
      <pane ySplit="3" topLeftCell="A22" activePane="bottomLeft" state="frozen"/>
      <selection pane="bottomLeft" activeCell="R45" sqref="R45"/>
    </sheetView>
  </sheetViews>
  <sheetFormatPr baseColWidth="10" defaultColWidth="8.83203125" defaultRowHeight="14" x14ac:dyDescent="0"/>
  <cols>
    <col min="1" max="1" width="8.83203125" customWidth="1"/>
    <col min="4" max="4" width="16.33203125" customWidth="1"/>
    <col min="5" max="5" width="16" customWidth="1"/>
    <col min="6" max="7" width="12.6640625" customWidth="1"/>
    <col min="8" max="8" width="4.6640625" customWidth="1"/>
    <col min="9" max="10" width="12.6640625" style="68" customWidth="1"/>
    <col min="11" max="11" width="1.83203125" customWidth="1"/>
    <col min="12" max="13" width="10.5" hidden="1" customWidth="1"/>
    <col min="14" max="14" width="2.83203125" hidden="1" customWidth="1"/>
    <col min="15" max="16" width="12.6640625" style="68" customWidth="1"/>
    <col min="18" max="18" width="12.33203125" bestFit="1" customWidth="1"/>
    <col min="20" max="20" width="12" bestFit="1" customWidth="1"/>
    <col min="28" max="28" width="32.1640625" customWidth="1"/>
  </cols>
  <sheetData>
    <row r="1" spans="1:28" s="1" customFormat="1">
      <c r="A1" s="79" t="s">
        <v>57</v>
      </c>
      <c r="B1" s="79" t="s">
        <v>112</v>
      </c>
      <c r="C1" s="79"/>
      <c r="D1" s="2"/>
      <c r="E1" s="2"/>
      <c r="F1" s="89" t="s">
        <v>82</v>
      </c>
      <c r="G1" s="89"/>
      <c r="H1" s="44"/>
      <c r="I1" s="90" t="s">
        <v>84</v>
      </c>
      <c r="J1" s="90"/>
      <c r="K1" s="14"/>
      <c r="L1" s="91" t="s">
        <v>85</v>
      </c>
      <c r="M1" s="91"/>
      <c r="N1" s="14"/>
      <c r="O1" s="90" t="s">
        <v>103</v>
      </c>
      <c r="P1" s="90"/>
      <c r="Q1" s="2"/>
      <c r="R1" s="2"/>
      <c r="S1" s="2"/>
      <c r="T1" s="2"/>
      <c r="U1" s="2"/>
      <c r="V1" s="2"/>
      <c r="W1" s="2"/>
      <c r="X1" s="2"/>
      <c r="Y1" s="3"/>
    </row>
    <row r="2" spans="1:28">
      <c r="A2" s="1" t="s">
        <v>32</v>
      </c>
      <c r="F2" s="45"/>
      <c r="G2" s="45"/>
      <c r="H2" s="45"/>
      <c r="I2" s="73"/>
      <c r="J2" s="73"/>
      <c r="K2" s="4"/>
      <c r="L2" s="4"/>
      <c r="M2" s="4"/>
      <c r="N2" s="4"/>
      <c r="O2" s="73"/>
      <c r="P2" s="73"/>
      <c r="S2" s="42" t="s">
        <v>51</v>
      </c>
      <c r="T2" s="42"/>
      <c r="U2" s="42"/>
      <c r="Y2" s="4"/>
    </row>
    <row r="3" spans="1:28" s="15" customFormat="1">
      <c r="B3" s="35" t="s">
        <v>22</v>
      </c>
      <c r="C3" s="35"/>
      <c r="D3" s="35"/>
      <c r="E3" s="35"/>
      <c r="F3" s="46">
        <v>120</v>
      </c>
      <c r="G3" s="46">
        <v>60</v>
      </c>
      <c r="H3" s="46"/>
      <c r="I3" s="46">
        <v>120</v>
      </c>
      <c r="J3" s="46">
        <v>60</v>
      </c>
      <c r="K3" s="25"/>
      <c r="L3" s="46">
        <v>120</v>
      </c>
      <c r="M3" s="46">
        <v>60</v>
      </c>
      <c r="N3" s="25"/>
      <c r="O3" s="46">
        <v>120</v>
      </c>
      <c r="P3" s="46">
        <v>60</v>
      </c>
      <c r="Q3" s="23" t="s">
        <v>3</v>
      </c>
      <c r="Y3" s="17"/>
    </row>
    <row r="4" spans="1:28">
      <c r="A4" s="1"/>
      <c r="B4" s="35" t="s">
        <v>34</v>
      </c>
      <c r="C4" s="35"/>
      <c r="D4" s="35"/>
      <c r="E4" s="35"/>
      <c r="F4" s="46">
        <v>1.2</v>
      </c>
      <c r="G4" s="46">
        <v>0.8</v>
      </c>
      <c r="H4" s="46"/>
      <c r="I4" s="46">
        <v>1.2</v>
      </c>
      <c r="J4" s="46">
        <v>0.7</v>
      </c>
      <c r="K4" s="24"/>
      <c r="L4" s="46">
        <v>1.2</v>
      </c>
      <c r="M4" s="46">
        <v>0.7</v>
      </c>
      <c r="N4" s="24"/>
      <c r="O4" s="46">
        <v>1.45</v>
      </c>
      <c r="P4" s="46">
        <f>J4+(5/P33)</f>
        <v>0.95</v>
      </c>
      <c r="Q4" s="23" t="s">
        <v>35</v>
      </c>
      <c r="S4" t="s">
        <v>50</v>
      </c>
      <c r="Y4" s="4"/>
    </row>
    <row r="5" spans="1:28">
      <c r="A5" s="1"/>
      <c r="B5" s="39" t="s">
        <v>58</v>
      </c>
      <c r="C5" s="39"/>
      <c r="D5" s="39"/>
      <c r="E5" s="39"/>
      <c r="F5" s="87">
        <f>F15*F4*6250000000000000/F3</f>
        <v>75000000000000</v>
      </c>
      <c r="G5" s="87">
        <f>G15*G4*6250000000000000/G3</f>
        <v>75000000000000.016</v>
      </c>
      <c r="H5" s="87"/>
      <c r="I5" s="87">
        <f>I15*I4*6250000000000000/I3</f>
        <v>150000000000000</v>
      </c>
      <c r="J5" s="87">
        <f>J15*J4*6250000000000000/J3</f>
        <v>150208333333333.34</v>
      </c>
      <c r="K5" s="88"/>
      <c r="L5" s="87">
        <f>L15*L4*6250000000000000/L3</f>
        <v>150000000000000</v>
      </c>
      <c r="M5" s="87">
        <f>M15*M4*6250000000000000/M3</f>
        <v>150208333333333.34</v>
      </c>
      <c r="N5" s="88"/>
      <c r="O5" s="87">
        <f>O15*O4*6250000000000000/O3</f>
        <v>181250000000000</v>
      </c>
      <c r="P5" s="87">
        <f>P15*P4*6250000000000000/P3</f>
        <v>203854166666666.66</v>
      </c>
      <c r="Q5" s="23" t="s">
        <v>0</v>
      </c>
      <c r="S5" t="s">
        <v>111</v>
      </c>
      <c r="Y5" s="4"/>
    </row>
    <row r="6" spans="1:28">
      <c r="A6" s="1"/>
      <c r="B6" s="35" t="s">
        <v>31</v>
      </c>
      <c r="C6" s="35"/>
      <c r="D6" s="35"/>
      <c r="E6" s="35"/>
      <c r="F6" s="46">
        <v>97</v>
      </c>
      <c r="G6" s="46">
        <v>97</v>
      </c>
      <c r="H6" s="46"/>
      <c r="I6" s="46">
        <v>99</v>
      </c>
      <c r="J6" s="46">
        <v>99</v>
      </c>
      <c r="K6" s="27"/>
      <c r="L6" s="46">
        <v>99</v>
      </c>
      <c r="M6" s="46">
        <v>99</v>
      </c>
      <c r="N6" s="27"/>
      <c r="O6" s="46">
        <v>99</v>
      </c>
      <c r="P6" s="46">
        <v>99</v>
      </c>
      <c r="Q6" s="23" t="s">
        <v>12</v>
      </c>
      <c r="S6" t="s">
        <v>109</v>
      </c>
      <c r="T6" s="6"/>
      <c r="U6" s="6"/>
      <c r="V6" s="6"/>
      <c r="W6" s="6"/>
      <c r="X6" s="6"/>
      <c r="Y6" s="8"/>
      <c r="AB6" s="86"/>
    </row>
    <row r="7" spans="1:28">
      <c r="A7" s="1"/>
      <c r="B7" s="35" t="s">
        <v>87</v>
      </c>
      <c r="C7" s="35"/>
      <c r="D7" s="35"/>
      <c r="E7" s="35"/>
      <c r="F7" s="46">
        <v>1</v>
      </c>
      <c r="G7" s="46">
        <v>1</v>
      </c>
      <c r="H7" s="46"/>
      <c r="I7" s="46">
        <v>1</v>
      </c>
      <c r="J7" s="46">
        <v>1</v>
      </c>
      <c r="K7" s="27"/>
      <c r="L7" s="53">
        <f>L70/(3319/300)</f>
        <v>876.49620641485672</v>
      </c>
      <c r="M7" s="53">
        <f>M70/(3319/300)</f>
        <v>877.71356225709974</v>
      </c>
      <c r="N7" s="27"/>
      <c r="O7" s="46">
        <v>1</v>
      </c>
      <c r="P7" s="46">
        <v>1</v>
      </c>
      <c r="Q7" s="23"/>
      <c r="S7" t="s">
        <v>88</v>
      </c>
      <c r="T7" s="6"/>
      <c r="U7" s="6"/>
      <c r="V7" s="6"/>
      <c r="W7" s="6"/>
      <c r="X7" s="6"/>
      <c r="Y7" s="8"/>
      <c r="AB7" s="86"/>
    </row>
    <row r="8" spans="1:28">
      <c r="A8" s="1"/>
      <c r="B8" s="68" t="s">
        <v>68</v>
      </c>
      <c r="C8" s="68"/>
      <c r="D8" s="68"/>
      <c r="E8" s="68"/>
      <c r="F8" s="75">
        <v>7.7999999999999996E-3</v>
      </c>
      <c r="G8" s="75">
        <v>7.7999999999999996E-3</v>
      </c>
      <c r="H8" s="69"/>
      <c r="I8" s="75">
        <v>0</v>
      </c>
      <c r="J8" s="75">
        <v>0</v>
      </c>
      <c r="K8" s="27"/>
      <c r="L8" s="75">
        <v>0</v>
      </c>
      <c r="M8" s="75">
        <v>0</v>
      </c>
      <c r="N8" s="27"/>
      <c r="O8" s="75">
        <v>0</v>
      </c>
      <c r="P8" s="75">
        <v>0</v>
      </c>
      <c r="Q8" s="23" t="s">
        <v>12</v>
      </c>
      <c r="S8" t="s">
        <v>105</v>
      </c>
      <c r="T8" s="6"/>
      <c r="U8" s="6"/>
      <c r="V8" s="6"/>
      <c r="W8" s="6"/>
      <c r="X8" s="6"/>
      <c r="Y8" s="8"/>
    </row>
    <row r="9" spans="1:28">
      <c r="A9" s="1"/>
      <c r="B9" s="68" t="s">
        <v>69</v>
      </c>
      <c r="C9" s="68"/>
      <c r="D9" s="68"/>
      <c r="E9" s="68"/>
      <c r="F9" s="75">
        <v>1.6799999999999999E-2</v>
      </c>
      <c r="G9" s="75">
        <v>1.6799999999999999E-2</v>
      </c>
      <c r="H9" s="69"/>
      <c r="I9" s="75">
        <v>5.0000000000000001E-3</v>
      </c>
      <c r="J9" s="75">
        <v>5.0000000000000001E-3</v>
      </c>
      <c r="K9" s="27"/>
      <c r="L9" s="75">
        <v>5.0000000000000001E-3</v>
      </c>
      <c r="M9" s="75">
        <v>5.0000000000000001E-3</v>
      </c>
      <c r="N9" s="27"/>
      <c r="O9" s="75">
        <v>5.0000000000000001E-3</v>
      </c>
      <c r="P9" s="75">
        <v>5.0000000000000001E-3</v>
      </c>
      <c r="Q9" s="23" t="s">
        <v>12</v>
      </c>
      <c r="S9" t="s">
        <v>106</v>
      </c>
      <c r="T9" s="6"/>
      <c r="U9" s="6"/>
      <c r="V9" s="6"/>
      <c r="W9" s="6"/>
      <c r="X9" s="6"/>
      <c r="Y9" s="8"/>
    </row>
    <row r="10" spans="1:28">
      <c r="A10" s="1"/>
      <c r="B10" s="68" t="s">
        <v>70</v>
      </c>
      <c r="C10" s="68"/>
      <c r="D10" s="68"/>
      <c r="E10" s="68"/>
      <c r="F10" s="75">
        <v>5.4000000000000003E-3</v>
      </c>
      <c r="G10" s="75">
        <v>5.4000000000000003E-3</v>
      </c>
      <c r="H10" s="69"/>
      <c r="I10" s="75">
        <v>5.4000000000000003E-3</v>
      </c>
      <c r="J10" s="75">
        <v>5.4000000000000003E-3</v>
      </c>
      <c r="K10" s="27"/>
      <c r="L10" s="75">
        <v>5.4000000000000003E-3</v>
      </c>
      <c r="M10" s="75">
        <v>5.4000000000000003E-3</v>
      </c>
      <c r="N10" s="27"/>
      <c r="O10" s="75">
        <v>5.4000000000000003E-3</v>
      </c>
      <c r="P10" s="75">
        <v>5.4000000000000003E-3</v>
      </c>
      <c r="Q10" s="23" t="s">
        <v>12</v>
      </c>
      <c r="S10" t="s">
        <v>108</v>
      </c>
      <c r="T10" s="6"/>
      <c r="U10" s="6"/>
      <c r="V10" s="6"/>
      <c r="W10" s="6"/>
      <c r="X10" s="6"/>
      <c r="Y10" s="8"/>
    </row>
    <row r="11" spans="1:28">
      <c r="A11" s="1"/>
      <c r="B11" t="s">
        <v>71</v>
      </c>
      <c r="C11" s="35"/>
      <c r="D11" s="35"/>
      <c r="E11" s="35"/>
      <c r="F11" s="63">
        <v>2E-3</v>
      </c>
      <c r="G11" s="63">
        <v>2E-3</v>
      </c>
      <c r="H11" s="46"/>
      <c r="I11" s="63">
        <v>2E-3</v>
      </c>
      <c r="J11" s="63">
        <v>2E-3</v>
      </c>
      <c r="K11" s="27"/>
      <c r="L11" s="63">
        <v>2E-3</v>
      </c>
      <c r="M11" s="63">
        <v>2E-3</v>
      </c>
      <c r="N11" s="27"/>
      <c r="O11" s="63">
        <v>2E-3</v>
      </c>
      <c r="P11" s="63">
        <v>2E-3</v>
      </c>
      <c r="Q11" s="23" t="s">
        <v>12</v>
      </c>
      <c r="R11" s="4" t="s">
        <v>2</v>
      </c>
      <c r="S11" t="s">
        <v>107</v>
      </c>
      <c r="T11" s="6"/>
      <c r="U11" s="6"/>
      <c r="V11" s="6"/>
      <c r="W11" s="6"/>
      <c r="X11" s="6"/>
      <c r="Y11" s="8"/>
    </row>
    <row r="12" spans="1:28">
      <c r="A12" s="1"/>
      <c r="B12" s="42" t="s">
        <v>72</v>
      </c>
      <c r="C12" s="42"/>
      <c r="D12" s="42"/>
      <c r="E12" s="42"/>
      <c r="F12" s="64">
        <f>F$5*8*1.602E-19*1000000000*F8/F$4</f>
        <v>624.78</v>
      </c>
      <c r="G12" s="64">
        <f>G5*8*1.602E-19*1000000000*G8/G4</f>
        <v>937.17000000000007</v>
      </c>
      <c r="H12" s="62"/>
      <c r="I12" s="64">
        <f>I5*8*1.602E-19*1000000000*I8/I4</f>
        <v>0</v>
      </c>
      <c r="J12" s="64">
        <f>J5*8*1.602E-19*1000000000*J8/J4</f>
        <v>0</v>
      </c>
      <c r="K12" s="27"/>
      <c r="L12" s="64">
        <f>L5*8*1.602E-19*1000000000*L8/L4</f>
        <v>0</v>
      </c>
      <c r="M12" s="64">
        <f>M5*8*1.602E-19*1000000000*M8/M4</f>
        <v>0</v>
      </c>
      <c r="N12" s="27"/>
      <c r="O12" s="64">
        <f>O5*8*1.602E-19*1000000000*O8/O4</f>
        <v>0</v>
      </c>
      <c r="P12" s="64">
        <f>P5*8*1.602E-19*1000000000*P8/P4</f>
        <v>0</v>
      </c>
      <c r="Q12" s="23" t="s">
        <v>73</v>
      </c>
      <c r="T12" s="6"/>
      <c r="U12" s="6"/>
      <c r="V12" s="6"/>
      <c r="W12" s="6"/>
      <c r="X12" s="6"/>
      <c r="Y12" s="8"/>
    </row>
    <row r="13" spans="1:28">
      <c r="A13" s="1"/>
      <c r="B13" s="42" t="s">
        <v>74</v>
      </c>
      <c r="C13" s="42"/>
      <c r="D13" s="42"/>
      <c r="E13" s="42"/>
      <c r="F13" s="64">
        <f>F$5*8*1.602E-19*1000000000*F9/F$4</f>
        <v>1345.6799999999998</v>
      </c>
      <c r="G13" s="64">
        <f>G$5*8*1.602E-19*1000000000*G9/G$4</f>
        <v>2018.5200000000002</v>
      </c>
      <c r="H13" s="62"/>
      <c r="I13" s="64">
        <f>I$5*8*1.602E-19*1000000000*I9/I$4</f>
        <v>801.00000000000011</v>
      </c>
      <c r="J13" s="64">
        <f>J$5*8*1.602E-19*1000000000*J9/J$4</f>
        <v>1375.0500000000004</v>
      </c>
      <c r="K13" s="27"/>
      <c r="L13" s="64">
        <f>L$5*8*1.602E-19*1000000000*L9/L$4</f>
        <v>801.00000000000011</v>
      </c>
      <c r="M13" s="64">
        <f>M$5*8*1.602E-19*1000000000*M9/M$4</f>
        <v>1375.0500000000004</v>
      </c>
      <c r="N13" s="27"/>
      <c r="O13" s="64">
        <f>O$5*8*1.602E-19*1000000000*O9/O$4</f>
        <v>801</v>
      </c>
      <c r="P13" s="64">
        <f>P$5*8*1.602E-19*1000000000*P9/P$4</f>
        <v>1375.05</v>
      </c>
      <c r="Q13" s="23" t="s">
        <v>73</v>
      </c>
      <c r="T13" s="6"/>
      <c r="U13" s="6"/>
      <c r="V13" s="6"/>
      <c r="W13" s="6"/>
      <c r="X13" s="6"/>
      <c r="Y13" s="8"/>
    </row>
    <row r="14" spans="1:28">
      <c r="A14" s="1"/>
      <c r="B14" s="42" t="s">
        <v>75</v>
      </c>
      <c r="C14" s="42"/>
      <c r="D14" s="42"/>
      <c r="E14" s="42"/>
      <c r="F14" s="65">
        <f>(F10*F5*8+20.3*F5*F11)*1000000000*1.602E-19/3319/F$4</f>
        <v>0.25280129557095515</v>
      </c>
      <c r="G14" s="65">
        <f>(G10*G5*8+20.3*G5*G11)*1000000000*1.602E-19/3319/G$4</f>
        <v>0.3792019433564327</v>
      </c>
      <c r="H14" s="62"/>
      <c r="I14" s="65">
        <f>(I10*I5*8+20.3*I5*I11)*1000000000*1.602E-19/3319/I$4</f>
        <v>0.50560259114191031</v>
      </c>
      <c r="J14" s="65">
        <f>(J10*J5*8+20.3*J5*J11)*1000000000*1.602E-19/3319/J$4</f>
        <v>0.86795111479361275</v>
      </c>
      <c r="K14" s="27"/>
      <c r="L14" s="65">
        <f>(L10*L5*8+20.3*L5*L11)*1000000000*1.602E-19/3319/L$4</f>
        <v>0.50560259114191031</v>
      </c>
      <c r="M14" s="65">
        <f>(M10*M5*8+20.3*M5*M11)*1000000000*1.602E-19/3319/M$4</f>
        <v>0.86795111479361275</v>
      </c>
      <c r="N14" s="27"/>
      <c r="O14" s="65">
        <f>(O10*O5*8+20.3*O5*O11)*1000000000*1.602E-19/3319/O$4</f>
        <v>0.5056025911419102</v>
      </c>
      <c r="P14" s="65">
        <f>(P10*P5*8+20.3*P5*P11)*1000000000*1.602E-19/3319/P$4</f>
        <v>0.86795111479361253</v>
      </c>
      <c r="Q14" s="23" t="s">
        <v>76</v>
      </c>
      <c r="S14" t="s">
        <v>110</v>
      </c>
      <c r="T14" s="6"/>
      <c r="U14" s="6"/>
      <c r="V14" s="6"/>
      <c r="W14" s="6"/>
      <c r="X14" s="6"/>
      <c r="Y14" s="8"/>
    </row>
    <row r="15" spans="1:28" s="15" customFormat="1">
      <c r="B15" s="35" t="s">
        <v>36</v>
      </c>
      <c r="C15" s="35"/>
      <c r="D15" s="35"/>
      <c r="E15" s="35"/>
      <c r="F15" s="46">
        <v>1.2</v>
      </c>
      <c r="G15" s="46">
        <v>0.9</v>
      </c>
      <c r="H15" s="46"/>
      <c r="I15" s="46">
        <v>2.4</v>
      </c>
      <c r="J15" s="46">
        <v>2.06</v>
      </c>
      <c r="K15" s="29"/>
      <c r="L15" s="46">
        <v>2.4</v>
      </c>
      <c r="M15" s="46">
        <v>2.06</v>
      </c>
      <c r="N15" s="29"/>
      <c r="O15" s="46">
        <v>2.4</v>
      </c>
      <c r="P15" s="46">
        <v>2.06</v>
      </c>
      <c r="Q15" s="23" t="s">
        <v>37</v>
      </c>
      <c r="T15" s="18"/>
      <c r="U15" s="18"/>
      <c r="V15" s="18"/>
      <c r="W15" s="18"/>
      <c r="X15" s="18"/>
      <c r="Y15" s="16"/>
    </row>
    <row r="16" spans="1:28" ht="15" customHeight="1">
      <c r="A16" s="1"/>
      <c r="B16" s="36"/>
      <c r="C16" s="36"/>
      <c r="D16" s="36"/>
      <c r="E16" s="36"/>
      <c r="F16" s="47"/>
      <c r="G16" s="47"/>
      <c r="H16" s="47"/>
      <c r="I16" s="70"/>
      <c r="J16" s="70"/>
      <c r="K16" s="27"/>
      <c r="L16" s="70"/>
      <c r="M16" s="70"/>
      <c r="N16" s="27"/>
      <c r="O16" s="70"/>
      <c r="P16" s="70"/>
      <c r="Q16" s="23"/>
      <c r="T16" s="6"/>
      <c r="U16" s="6"/>
      <c r="V16" s="6"/>
      <c r="W16" s="6"/>
      <c r="X16" s="6"/>
      <c r="Y16" s="8"/>
    </row>
    <row r="17" spans="1:25">
      <c r="A17" s="1"/>
      <c r="B17" s="35" t="s">
        <v>24</v>
      </c>
      <c r="C17" s="35"/>
      <c r="D17" s="35"/>
      <c r="E17" s="35"/>
      <c r="F17" s="46">
        <v>20</v>
      </c>
      <c r="G17" s="46">
        <v>20</v>
      </c>
      <c r="H17" s="46"/>
      <c r="I17" s="46">
        <v>20</v>
      </c>
      <c r="J17" s="46">
        <v>20</v>
      </c>
      <c r="K17" s="23"/>
      <c r="L17" s="46">
        <v>20</v>
      </c>
      <c r="M17" s="46">
        <v>20</v>
      </c>
      <c r="N17" s="23"/>
      <c r="O17" s="46">
        <v>20</v>
      </c>
      <c r="P17" s="46">
        <v>20</v>
      </c>
      <c r="Q17" s="23" t="s">
        <v>56</v>
      </c>
      <c r="T17" s="6"/>
      <c r="U17" s="6"/>
      <c r="V17" s="6"/>
      <c r="W17" s="6"/>
      <c r="X17" s="6"/>
    </row>
    <row r="18" spans="1:25">
      <c r="A18" s="1"/>
      <c r="B18" s="39" t="s">
        <v>46</v>
      </c>
      <c r="C18" s="39"/>
      <c r="D18" s="39"/>
      <c r="E18" s="39"/>
      <c r="F18" s="53">
        <f>F17/6</f>
        <v>3.3333333333333335</v>
      </c>
      <c r="G18" s="53">
        <f t="shared" ref="G18:J18" si="0">G17/6</f>
        <v>3.3333333333333335</v>
      </c>
      <c r="H18" s="53"/>
      <c r="I18" s="53">
        <f t="shared" si="0"/>
        <v>3.3333333333333335</v>
      </c>
      <c r="J18" s="53">
        <f t="shared" si="0"/>
        <v>3.3333333333333335</v>
      </c>
      <c r="K18" s="23"/>
      <c r="L18" s="53">
        <f t="shared" ref="L18:M18" si="1">L17/6</f>
        <v>3.3333333333333335</v>
      </c>
      <c r="M18" s="53">
        <f t="shared" si="1"/>
        <v>3.3333333333333335</v>
      </c>
      <c r="N18" s="23"/>
      <c r="O18" s="53">
        <f t="shared" ref="O18:P18" si="2">O17/6</f>
        <v>3.3333333333333335</v>
      </c>
      <c r="P18" s="53">
        <f t="shared" si="2"/>
        <v>3.3333333333333335</v>
      </c>
      <c r="Q18" s="23"/>
      <c r="T18" s="6"/>
      <c r="U18" s="6"/>
      <c r="V18" s="6"/>
      <c r="W18" s="6"/>
      <c r="X18" s="6"/>
    </row>
    <row r="19" spans="1:25" ht="15" customHeight="1">
      <c r="A19" s="1"/>
      <c r="B19" s="35" t="s">
        <v>9</v>
      </c>
      <c r="C19" s="35"/>
      <c r="D19" s="35"/>
      <c r="E19" s="35"/>
      <c r="F19" s="46">
        <v>0.5</v>
      </c>
      <c r="G19" s="46">
        <v>0.5</v>
      </c>
      <c r="H19" s="46"/>
      <c r="I19" s="46">
        <v>0.5</v>
      </c>
      <c r="J19" s="46">
        <v>0.5</v>
      </c>
      <c r="K19" s="24"/>
      <c r="L19" s="46">
        <v>0.5</v>
      </c>
      <c r="M19" s="46">
        <v>0.5</v>
      </c>
      <c r="N19" s="24"/>
      <c r="O19" s="46">
        <v>0.5</v>
      </c>
      <c r="P19" s="46">
        <v>0.5</v>
      </c>
      <c r="Q19" s="23"/>
      <c r="T19" s="6"/>
      <c r="U19" s="6"/>
      <c r="V19" s="6"/>
      <c r="W19" s="6"/>
      <c r="X19" s="6"/>
      <c r="Y19" s="9"/>
    </row>
    <row r="20" spans="1:25">
      <c r="A20" s="1"/>
      <c r="B20" s="40" t="s">
        <v>33</v>
      </c>
      <c r="C20" s="40"/>
      <c r="D20" s="40"/>
      <c r="E20" s="40"/>
      <c r="F20" s="48">
        <f>-3*1.54E-18*F5/(2*F17*PI()*0.000001*(F26+0.938)*F27/0.938^2)/F19</f>
        <v>-6.1073549731516873E-2</v>
      </c>
      <c r="G20" s="48">
        <f>-3*1.54E-18*G5/(2*G17*PI()*0.000001*(G26+0.938)*G27/0.938^2)/G19</f>
        <v>-6.107354973151688E-2</v>
      </c>
      <c r="H20" s="48"/>
      <c r="I20" s="48">
        <f>-3*1.54E-18*I5/(2*I17*PI()*0.000001*(I26+0.938)*I27/0.938^2)/I19</f>
        <v>-0.12214709946303375</v>
      </c>
      <c r="J20" s="48">
        <f>-3*1.54E-18*J5/(2*J17*PI()*0.000001*(J26+0.938)*J27/0.938^2)/J19</f>
        <v>-0.12231674821228797</v>
      </c>
      <c r="K20" s="24"/>
      <c r="L20" s="48">
        <f>-3*1.54E-18*L5/(2*L17*PI()*0.000001*(L26+0.938)*L27/0.938^2)/L19</f>
        <v>-0.12214709946303375</v>
      </c>
      <c r="M20" s="48">
        <f>-3*1.54E-18*M5/(2*M17*PI()*0.000001*(M26+0.938)*M27/0.938^2)/M19</f>
        <v>-0.12231674821228797</v>
      </c>
      <c r="N20" s="24"/>
      <c r="O20" s="48">
        <f>-3*1.54E-18*O5/(2*O17*PI()*0.000001*(O26+0.938)*O27/0.938^2)/O19</f>
        <v>-0.14759441185116576</v>
      </c>
      <c r="P20" s="48">
        <f>-3*1.54E-18*P5/(2*P17*PI()*0.000001*(P26+0.938)*P27/0.938^2)/P19</f>
        <v>-0.16600130114524794</v>
      </c>
      <c r="Q20" s="23"/>
      <c r="R20" s="9" t="s">
        <v>2</v>
      </c>
      <c r="T20" s="6"/>
      <c r="U20" s="6"/>
      <c r="V20" s="6"/>
      <c r="W20" s="6"/>
      <c r="X20" s="6"/>
      <c r="Y20" s="9"/>
    </row>
    <row r="21" spans="1:25" ht="15" customHeight="1">
      <c r="A21" s="1"/>
      <c r="B21" s="26"/>
      <c r="C21" s="26"/>
      <c r="D21" s="26"/>
      <c r="E21" s="26"/>
      <c r="F21" s="49"/>
      <c r="G21" s="49"/>
      <c r="H21" s="49"/>
      <c r="I21" s="70"/>
      <c r="J21" s="70"/>
      <c r="K21" s="27"/>
      <c r="L21" s="70"/>
      <c r="M21" s="70"/>
      <c r="N21" s="27"/>
      <c r="O21" s="70"/>
      <c r="P21" s="70"/>
      <c r="Q21" s="23"/>
      <c r="T21" s="6"/>
      <c r="U21" s="6"/>
      <c r="V21" s="6"/>
      <c r="W21" s="6"/>
      <c r="X21" s="6"/>
      <c r="Y21" s="8"/>
    </row>
    <row r="22" spans="1:25">
      <c r="A22" s="1"/>
      <c r="B22" s="23"/>
      <c r="C22" s="23"/>
      <c r="D22" s="23"/>
      <c r="E22" s="23"/>
      <c r="F22" s="50"/>
      <c r="G22" s="50"/>
      <c r="H22" s="50"/>
      <c r="I22" s="74"/>
      <c r="J22" s="74"/>
      <c r="K22" s="25"/>
      <c r="L22" s="74"/>
      <c r="M22" s="74"/>
      <c r="N22" s="25"/>
      <c r="O22" s="74"/>
      <c r="P22" s="74"/>
      <c r="Q22" s="23"/>
    </row>
    <row r="23" spans="1:25">
      <c r="A23" s="20" t="s">
        <v>86</v>
      </c>
      <c r="B23" s="72"/>
      <c r="C23" s="72"/>
      <c r="D23" s="28"/>
      <c r="E23" s="28"/>
      <c r="F23" s="51"/>
      <c r="G23" s="51"/>
      <c r="H23" s="51"/>
      <c r="I23" s="46"/>
      <c r="J23" s="46" t="s">
        <v>2</v>
      </c>
      <c r="K23" s="28"/>
      <c r="L23" s="46"/>
      <c r="M23" s="46" t="s">
        <v>2</v>
      </c>
      <c r="N23" s="28"/>
      <c r="O23" s="46"/>
      <c r="P23" s="46" t="s">
        <v>2</v>
      </c>
      <c r="Q23" s="23"/>
      <c r="S23" s="5"/>
      <c r="U23" s="12"/>
      <c r="V23" s="12"/>
      <c r="W23" s="12"/>
      <c r="X23" s="12"/>
      <c r="Y23" s="12"/>
    </row>
    <row r="24" spans="1:25">
      <c r="A24" s="1"/>
      <c r="B24" s="41" t="s">
        <v>13</v>
      </c>
      <c r="C24" s="41"/>
      <c r="D24" s="41"/>
      <c r="E24" s="41"/>
      <c r="F24" s="53">
        <f t="shared" ref="F24:J25" si="3">F62</f>
        <v>0.8</v>
      </c>
      <c r="G24" s="53">
        <f t="shared" si="3"/>
        <v>0.8</v>
      </c>
      <c r="H24" s="53"/>
      <c r="I24" s="53">
        <f t="shared" si="3"/>
        <v>2</v>
      </c>
      <c r="J24" s="53">
        <f t="shared" si="3"/>
        <v>2</v>
      </c>
      <c r="K24" s="29"/>
      <c r="L24" s="53">
        <f t="shared" ref="L24:M24" si="4">L62</f>
        <v>3</v>
      </c>
      <c r="M24" s="53">
        <f t="shared" si="4"/>
        <v>3</v>
      </c>
      <c r="N24" s="29"/>
      <c r="O24" s="53">
        <f t="shared" ref="O24:P24" si="5">O62</f>
        <v>2</v>
      </c>
      <c r="P24" s="53">
        <f t="shared" si="5"/>
        <v>2</v>
      </c>
      <c r="Q24" s="23" t="s">
        <v>3</v>
      </c>
      <c r="T24" s="5"/>
      <c r="U24" s="5"/>
      <c r="V24" s="5"/>
      <c r="W24" s="5"/>
      <c r="X24" s="5"/>
      <c r="Y24" s="10"/>
    </row>
    <row r="25" spans="1:25">
      <c r="A25" s="1"/>
      <c r="B25" s="41" t="s">
        <v>14</v>
      </c>
      <c r="C25" s="41"/>
      <c r="D25" s="41"/>
      <c r="E25" s="41"/>
      <c r="F25" s="53">
        <f t="shared" si="3"/>
        <v>1.4631472926537505</v>
      </c>
      <c r="G25" s="53">
        <f t="shared" si="3"/>
        <v>1.4631472926537505</v>
      </c>
      <c r="H25" s="53"/>
      <c r="I25" s="53">
        <f t="shared" si="3"/>
        <v>2.7842413688471765</v>
      </c>
      <c r="J25" s="53">
        <f t="shared" si="3"/>
        <v>2.7842413688471765</v>
      </c>
      <c r="K25" s="29"/>
      <c r="L25" s="53">
        <f t="shared" ref="L25:M25" si="6">L63</f>
        <v>3.8246568473524523</v>
      </c>
      <c r="M25" s="53">
        <f t="shared" si="6"/>
        <v>3.8246568473524523</v>
      </c>
      <c r="N25" s="29"/>
      <c r="O25" s="53">
        <f t="shared" ref="O25:P25" si="7">O63</f>
        <v>2.7842413688471765</v>
      </c>
      <c r="P25" s="53">
        <f t="shared" si="7"/>
        <v>2.7842413688471765</v>
      </c>
      <c r="Q25" s="23" t="s">
        <v>10</v>
      </c>
      <c r="T25" s="7"/>
      <c r="U25" s="5"/>
      <c r="V25" s="5"/>
      <c r="W25" s="5"/>
      <c r="X25" s="5"/>
      <c r="Y25" s="10"/>
    </row>
    <row r="26" spans="1:25">
      <c r="A26" s="1"/>
      <c r="B26" s="30" t="s">
        <v>15</v>
      </c>
      <c r="C26" s="28"/>
      <c r="D26" s="28"/>
      <c r="E26" s="28"/>
      <c r="F26" s="52">
        <v>8</v>
      </c>
      <c r="G26" s="52">
        <v>8</v>
      </c>
      <c r="H26" s="52"/>
      <c r="I26" s="76">
        <v>8</v>
      </c>
      <c r="J26" s="76">
        <v>8</v>
      </c>
      <c r="K26" s="29"/>
      <c r="L26" s="76">
        <v>8</v>
      </c>
      <c r="M26" s="76">
        <v>8</v>
      </c>
      <c r="N26" s="29"/>
      <c r="O26" s="76">
        <v>8</v>
      </c>
      <c r="P26" s="76">
        <v>8</v>
      </c>
      <c r="Q26" s="23" t="s">
        <v>3</v>
      </c>
      <c r="T26" s="7"/>
      <c r="U26" s="5"/>
      <c r="V26" s="5"/>
      <c r="W26" s="5"/>
      <c r="X26" s="5"/>
      <c r="Y26" s="10"/>
    </row>
    <row r="27" spans="1:25" ht="15" customHeight="1">
      <c r="A27" s="1"/>
      <c r="B27" s="41" t="s">
        <v>16</v>
      </c>
      <c r="C27" s="41"/>
      <c r="D27" s="41"/>
      <c r="E27" s="41"/>
      <c r="F27" s="53">
        <f>SQRT((F26+0.938)^2-0.938^2)</f>
        <v>8.8886444410832421</v>
      </c>
      <c r="G27" s="53">
        <f>SQRT((G26+0.938)^2-0.938^2)</f>
        <v>8.8886444410832421</v>
      </c>
      <c r="H27" s="53"/>
      <c r="I27" s="53">
        <f>SQRT((I26+0.938)^2-0.938^2)</f>
        <v>8.8886444410832421</v>
      </c>
      <c r="J27" s="53">
        <f>SQRT((J26+0.938)^2-0.938^2)</f>
        <v>8.8886444410832421</v>
      </c>
      <c r="K27" s="29"/>
      <c r="L27" s="53">
        <f>SQRT((L26+0.938)^2-0.938^2)</f>
        <v>8.8886444410832421</v>
      </c>
      <c r="M27" s="53">
        <f>SQRT((M26+0.938)^2-0.938^2)</f>
        <v>8.8886444410832421</v>
      </c>
      <c r="N27" s="29"/>
      <c r="O27" s="53">
        <f>SQRT((O26+0.938)^2-0.938^2)</f>
        <v>8.8886444410832421</v>
      </c>
      <c r="P27" s="53">
        <f>SQRT((P26+0.938)^2-0.938^2)</f>
        <v>8.8886444410832421</v>
      </c>
      <c r="Q27" s="23" t="s">
        <v>10</v>
      </c>
      <c r="T27" s="5"/>
      <c r="U27" s="5"/>
      <c r="V27" s="5"/>
      <c r="W27" s="5"/>
      <c r="X27" s="5"/>
      <c r="Y27" s="10"/>
    </row>
    <row r="28" spans="1:25" ht="15" customHeight="1">
      <c r="A28" s="1"/>
      <c r="B28" s="30" t="s">
        <v>4</v>
      </c>
      <c r="C28" s="30"/>
      <c r="D28" s="30"/>
      <c r="E28" s="30"/>
      <c r="F28" s="70">
        <f>3319/7</f>
        <v>474.14285714285717</v>
      </c>
      <c r="G28" s="70">
        <f>3319/7</f>
        <v>474.14285714285717</v>
      </c>
      <c r="H28" s="70"/>
      <c r="I28" s="70">
        <f>3319/7</f>
        <v>474.14285714285717</v>
      </c>
      <c r="J28" s="70">
        <f>3319/7</f>
        <v>474.14285714285717</v>
      </c>
      <c r="K28" s="27"/>
      <c r="L28" s="70">
        <v>390</v>
      </c>
      <c r="M28" s="70">
        <v>390</v>
      </c>
      <c r="N28" s="27"/>
      <c r="O28" s="70">
        <f>3319/7</f>
        <v>474.14285714285717</v>
      </c>
      <c r="P28" s="70">
        <f>3319/7</f>
        <v>474.14285714285717</v>
      </c>
      <c r="Q28" s="23" t="s">
        <v>5</v>
      </c>
      <c r="S28" t="s">
        <v>89</v>
      </c>
      <c r="T28" s="5"/>
      <c r="U28" s="5"/>
      <c r="V28" s="5"/>
      <c r="W28" s="5"/>
      <c r="X28" s="5"/>
      <c r="Y28" s="8"/>
    </row>
    <row r="29" spans="1:25">
      <c r="A29" s="1"/>
      <c r="B29" s="41" t="s">
        <v>21</v>
      </c>
      <c r="C29" s="41"/>
      <c r="D29" s="41"/>
      <c r="E29" s="41"/>
      <c r="F29" s="53">
        <f>F28/300/(F25/(F24+0.938))</f>
        <v>1.8773691704445898</v>
      </c>
      <c r="G29" s="53">
        <f>G28/300/(G25/(G24+0.938))</f>
        <v>1.8773691704445898</v>
      </c>
      <c r="H29" s="53"/>
      <c r="I29" s="53">
        <f>I28/300/(I25/(I24+0.938))</f>
        <v>1.6677573645641497</v>
      </c>
      <c r="J29" s="53">
        <f>J28/300/(J25/(J24+0.938))</f>
        <v>1.6677573645641497</v>
      </c>
      <c r="K29" s="29"/>
      <c r="L29" s="77" t="s">
        <v>90</v>
      </c>
      <c r="M29" s="77" t="s">
        <v>90</v>
      </c>
      <c r="N29" s="29"/>
      <c r="O29" s="53">
        <f>O28/300/(O25/(O24+0.938))</f>
        <v>1.6677573645641497</v>
      </c>
      <c r="P29" s="53">
        <f>P28/300/(P25/(P24+0.938))</f>
        <v>1.6677573645641497</v>
      </c>
      <c r="Q29" s="23" t="s">
        <v>42</v>
      </c>
      <c r="T29" s="7"/>
      <c r="U29" s="5"/>
      <c r="V29" s="5"/>
      <c r="W29" s="5"/>
      <c r="X29" s="5"/>
      <c r="Y29" s="10"/>
    </row>
    <row r="30" spans="1:25">
      <c r="A30" s="1"/>
      <c r="B30" s="41" t="s">
        <v>48</v>
      </c>
      <c r="C30" s="41"/>
      <c r="D30" s="41"/>
      <c r="E30" s="41"/>
      <c r="F30" s="53">
        <f>53.105*F25/(0.938+F24)</f>
        <v>44.706810688364449</v>
      </c>
      <c r="G30" s="53">
        <f>53.105*G25/(0.938+G24)</f>
        <v>44.706810688364449</v>
      </c>
      <c r="H30" s="53"/>
      <c r="I30" s="53">
        <f>53.105*I25/(0.938+I24)</f>
        <v>50.325778724516447</v>
      </c>
      <c r="J30" s="53">
        <f>53.105*J25/(0.938+J24)</f>
        <v>50.325778724516447</v>
      </c>
      <c r="K30" s="29"/>
      <c r="L30" s="76">
        <v>1300</v>
      </c>
      <c r="M30" s="76">
        <v>1300</v>
      </c>
      <c r="N30" s="29"/>
      <c r="O30" s="53">
        <f>53.105*O25/(0.938+O24)</f>
        <v>50.325778724516447</v>
      </c>
      <c r="P30" s="53">
        <f>53.105*P25/(0.938+P24)</f>
        <v>50.325778724516447</v>
      </c>
      <c r="Q30" s="23" t="s">
        <v>49</v>
      </c>
      <c r="T30" s="7"/>
      <c r="U30" s="5"/>
      <c r="V30" s="5"/>
      <c r="W30" s="5"/>
      <c r="X30" s="5"/>
      <c r="Y30" s="10"/>
    </row>
    <row r="31" spans="1:25">
      <c r="A31" s="1"/>
      <c r="B31" s="41" t="s">
        <v>91</v>
      </c>
      <c r="C31" s="41"/>
      <c r="D31" s="41"/>
      <c r="E31" s="41"/>
      <c r="F31" s="53">
        <f>53.105*F27/(0.938+F26)</f>
        <v>52.811754647988977</v>
      </c>
      <c r="G31" s="53">
        <f>53.105*G27/(0.938+G26)</f>
        <v>52.811754647988977</v>
      </c>
      <c r="H31" s="53"/>
      <c r="I31" s="53">
        <f>53.105*I27/(0.938+I26)</f>
        <v>52.811754647988977</v>
      </c>
      <c r="J31" s="53">
        <f>53.105*J27/(0.938+J26)</f>
        <v>52.811754647988977</v>
      </c>
      <c r="K31" s="29" t="s">
        <v>2</v>
      </c>
      <c r="L31" s="76">
        <v>1300</v>
      </c>
      <c r="M31" s="76">
        <v>1300</v>
      </c>
      <c r="N31" s="29"/>
      <c r="O31" s="53">
        <f>53.105*O27/(0.938+O26)</f>
        <v>52.811754647988977</v>
      </c>
      <c r="P31" s="53">
        <f>53.105*P27/(0.938+P26)</f>
        <v>52.811754647988977</v>
      </c>
      <c r="Q31" s="23" t="s">
        <v>49</v>
      </c>
      <c r="T31" s="7"/>
      <c r="U31" s="5"/>
      <c r="V31" s="5"/>
      <c r="W31" s="5"/>
      <c r="X31" s="5"/>
      <c r="Y31" s="10"/>
    </row>
    <row r="32" spans="1:25">
      <c r="A32" s="1"/>
      <c r="B32" s="26" t="s">
        <v>20</v>
      </c>
      <c r="C32" s="26"/>
      <c r="D32" s="26"/>
      <c r="E32" s="26"/>
      <c r="F32" s="55">
        <v>12</v>
      </c>
      <c r="G32" s="55">
        <v>12</v>
      </c>
      <c r="H32" s="55"/>
      <c r="I32" s="70">
        <v>6</v>
      </c>
      <c r="J32" s="70">
        <v>6</v>
      </c>
      <c r="K32" s="27"/>
      <c r="L32" s="70">
        <v>1</v>
      </c>
      <c r="M32" s="70">
        <v>1</v>
      </c>
      <c r="N32" s="27"/>
      <c r="O32" s="70">
        <v>6</v>
      </c>
      <c r="P32" s="70">
        <v>6</v>
      </c>
      <c r="Q32" s="23"/>
      <c r="S32" t="s">
        <v>92</v>
      </c>
      <c r="T32" s="6"/>
      <c r="U32" s="6"/>
      <c r="V32" s="6"/>
      <c r="W32" s="6"/>
      <c r="X32" s="6"/>
      <c r="Y32" s="8"/>
    </row>
    <row r="33" spans="1:25">
      <c r="A33" s="1"/>
      <c r="B33" s="26" t="s">
        <v>93</v>
      </c>
      <c r="C33" s="26"/>
      <c r="D33" s="26"/>
      <c r="E33" s="26"/>
      <c r="F33" s="55">
        <v>20</v>
      </c>
      <c r="G33" s="55">
        <v>20</v>
      </c>
      <c r="H33" s="55"/>
      <c r="I33" s="70">
        <v>20</v>
      </c>
      <c r="J33" s="70">
        <v>20</v>
      </c>
      <c r="K33" s="27"/>
      <c r="L33" s="70">
        <v>20</v>
      </c>
      <c r="M33" s="70">
        <v>20</v>
      </c>
      <c r="N33" s="27"/>
      <c r="O33" s="70">
        <v>20</v>
      </c>
      <c r="P33" s="70">
        <v>20</v>
      </c>
      <c r="Q33" s="23" t="s">
        <v>11</v>
      </c>
      <c r="T33" s="6"/>
      <c r="U33" s="6"/>
      <c r="V33" s="6"/>
      <c r="W33" s="6"/>
      <c r="X33" s="6"/>
      <c r="Y33" s="8"/>
    </row>
    <row r="34" spans="1:25" s="15" customFormat="1">
      <c r="B34" s="41" t="s">
        <v>43</v>
      </c>
      <c r="C34" s="41"/>
      <c r="D34" s="41"/>
      <c r="E34" s="41"/>
      <c r="F34" s="54">
        <f>F32/F4</f>
        <v>10</v>
      </c>
      <c r="G34" s="54">
        <f>G32/G4</f>
        <v>15</v>
      </c>
      <c r="H34" s="54"/>
      <c r="I34" s="48">
        <f>I32/I4</f>
        <v>5</v>
      </c>
      <c r="J34" s="48">
        <f>J32/J4</f>
        <v>8.5714285714285712</v>
      </c>
      <c r="K34" s="27"/>
      <c r="L34" s="48">
        <f>L32/L4</f>
        <v>0.83333333333333337</v>
      </c>
      <c r="M34" s="48">
        <f>M32/M4</f>
        <v>1.4285714285714286</v>
      </c>
      <c r="N34" s="27"/>
      <c r="O34" s="48">
        <f>O32/O4</f>
        <v>4.1379310344827589</v>
      </c>
      <c r="P34" s="48">
        <f>P32/P4</f>
        <v>6.3157894736842106</v>
      </c>
      <c r="Q34" s="23" t="s">
        <v>11</v>
      </c>
      <c r="T34" s="21"/>
      <c r="U34" s="22"/>
      <c r="V34" s="22"/>
      <c r="W34" s="22"/>
      <c r="X34" s="22"/>
      <c r="Y34" s="16"/>
    </row>
    <row r="35" spans="1:25">
      <c r="A35" s="1"/>
      <c r="B35" s="40" t="s">
        <v>59</v>
      </c>
      <c r="C35" s="40"/>
      <c r="D35" s="40"/>
      <c r="E35" s="40"/>
      <c r="F35" s="87">
        <f>F5/F32/(0.01*F6)</f>
        <v>6443298969072.165</v>
      </c>
      <c r="G35" s="87">
        <f>G5/G32/(0.01*G6)</f>
        <v>6443298969072.166</v>
      </c>
      <c r="H35" s="87"/>
      <c r="I35" s="87">
        <f>I5/I32/(0.01*I6)</f>
        <v>25252525252525.254</v>
      </c>
      <c r="J35" s="87">
        <f>J5/J32/(0.01*J6)</f>
        <v>25287598204264.871</v>
      </c>
      <c r="K35" s="88"/>
      <c r="L35" s="87">
        <f>L5/L32/(0.01*L6)</f>
        <v>151515151515151.53</v>
      </c>
      <c r="M35" s="87">
        <f>M5/M32/(0.01*M6)</f>
        <v>151725589225589.25</v>
      </c>
      <c r="N35" s="88"/>
      <c r="O35" s="87">
        <f>O5/O32/(0.01*O6)</f>
        <v>30513468013468.012</v>
      </c>
      <c r="P35" s="87">
        <f>P5/P32/(0.01*P6)</f>
        <v>34318883277216.609</v>
      </c>
      <c r="Q35" s="23"/>
      <c r="R35" s="4" t="s">
        <v>2</v>
      </c>
      <c r="T35" s="6"/>
      <c r="U35" s="6"/>
      <c r="V35" s="6"/>
      <c r="W35" s="6"/>
      <c r="X35" s="6"/>
      <c r="Y35" s="4"/>
    </row>
    <row r="36" spans="1:25">
      <c r="A36" s="1"/>
      <c r="B36" s="40" t="s">
        <v>60</v>
      </c>
      <c r="C36" s="40"/>
      <c r="D36" s="40"/>
      <c r="E36" s="40"/>
      <c r="F36" s="87">
        <f>F35/(1-0.01*(F45+F46))</f>
        <v>6625500225267.0078</v>
      </c>
      <c r="G36" s="87">
        <f>G35/(1-0.01*(G45+G46))</f>
        <v>6625500225267.0088</v>
      </c>
      <c r="H36" s="87"/>
      <c r="I36" s="87">
        <f>I35/(1-0.01*(I45+I46))</f>
        <v>25559236085551.875</v>
      </c>
      <c r="J36" s="87">
        <f>J35/(1-0.01*(J45+J46))</f>
        <v>25594735024559.586</v>
      </c>
      <c r="K36" s="88"/>
      <c r="L36" s="87">
        <f>L35/(1-0.01*(L45+L46))</f>
        <v>151515151515151.53</v>
      </c>
      <c r="M36" s="87">
        <f>M35/(1-0.01*(M45+M46))</f>
        <v>151725589225589.25</v>
      </c>
      <c r="N36" s="88"/>
      <c r="O36" s="87">
        <f>O35/(1-0.01*(O45+O46))</f>
        <v>30884076936708.516</v>
      </c>
      <c r="P36" s="87">
        <f>P35/(1-0.01*(P45+P46))</f>
        <v>34735711819045.152</v>
      </c>
      <c r="Q36" s="23"/>
      <c r="R36" s="4" t="s">
        <v>2</v>
      </c>
      <c r="T36" s="6"/>
      <c r="U36" s="6"/>
      <c r="V36" s="6"/>
      <c r="W36" s="6"/>
      <c r="X36" s="6"/>
      <c r="Y36" s="4"/>
    </row>
    <row r="37" spans="1:25">
      <c r="A37" s="1"/>
      <c r="B37" s="41" t="s">
        <v>6</v>
      </c>
      <c r="C37" s="41"/>
      <c r="D37" s="41"/>
      <c r="E37" s="41"/>
      <c r="F37" s="48">
        <f>0.00000000000016*F36/F67</f>
        <v>0.53004001802136058</v>
      </c>
      <c r="G37" s="48">
        <f>0.00000000000016*G36/G67</f>
        <v>0.53004001802136069</v>
      </c>
      <c r="H37" s="48"/>
      <c r="I37" s="48">
        <f>0.00000000000016*I36/I67</f>
        <v>1.6357911094753199</v>
      </c>
      <c r="J37" s="48">
        <f>0.00000000000016*J36/J67</f>
        <v>1.6380630415718134</v>
      </c>
      <c r="K37" s="24"/>
      <c r="L37" s="81" t="s">
        <v>90</v>
      </c>
      <c r="M37" s="81" t="s">
        <v>90</v>
      </c>
      <c r="N37" s="24"/>
      <c r="O37" s="48">
        <f>0.00000000000016*O36/O67</f>
        <v>1.976580923949345</v>
      </c>
      <c r="P37" s="48">
        <f>0.00000000000016*P36/P67</f>
        <v>2.2230855564188898</v>
      </c>
      <c r="Q37" s="23" t="s">
        <v>7</v>
      </c>
      <c r="R37" s="4" t="s">
        <v>2</v>
      </c>
      <c r="T37" s="7"/>
      <c r="U37" s="7"/>
      <c r="V37" s="7"/>
      <c r="W37" s="7"/>
      <c r="X37" s="7"/>
      <c r="Y37" s="9"/>
    </row>
    <row r="38" spans="1:25" s="15" customFormat="1">
      <c r="B38" s="41" t="s">
        <v>8</v>
      </c>
      <c r="C38" s="41"/>
      <c r="D38" s="41"/>
      <c r="E38" s="41"/>
      <c r="F38" s="54">
        <f>1000*F37/F29/(1-0.01*F45)</f>
        <v>288.09313040876401</v>
      </c>
      <c r="G38" s="54">
        <f>1000*G37/G29/(1-0.01*G45)</f>
        <v>288.09313040876407</v>
      </c>
      <c r="H38" s="54"/>
      <c r="I38" s="54">
        <f>1000*I37/I29/(1-0.01*I45)</f>
        <v>990.74019225038001</v>
      </c>
      <c r="J38" s="54">
        <f>1000*J37/J29/(1-0.01*J45)</f>
        <v>992.11622029517207</v>
      </c>
      <c r="K38" s="27"/>
      <c r="L38" s="81" t="s">
        <v>90</v>
      </c>
      <c r="M38" s="81" t="s">
        <v>90</v>
      </c>
      <c r="N38" s="27"/>
      <c r="O38" s="54">
        <f>1000*O37/O29/(1-0.01*O45)</f>
        <v>1197.1443989692091</v>
      </c>
      <c r="P38" s="54">
        <f>1000*P37/P29/(1-0.01*P45)</f>
        <v>1346.4434418291621</v>
      </c>
      <c r="Q38" s="23"/>
      <c r="T38" s="21"/>
      <c r="U38" s="21"/>
      <c r="V38" s="21"/>
      <c r="W38" s="21"/>
      <c r="X38" s="21"/>
      <c r="Y38" s="16"/>
    </row>
    <row r="39" spans="1:25">
      <c r="A39" s="1"/>
      <c r="B39" s="41" t="s">
        <v>40</v>
      </c>
      <c r="C39" s="41"/>
      <c r="D39" s="41"/>
      <c r="E39" s="41"/>
      <c r="F39" s="54">
        <f>F35*F26*F34*0.00000000000016</f>
        <v>82.474226804123717</v>
      </c>
      <c r="G39" s="54">
        <f>G35*G26*G34*0.00000000000016</f>
        <v>123.71134020618558</v>
      </c>
      <c r="H39" s="54"/>
      <c r="I39" s="54">
        <f>I35*I26*I34*0.00000000000016</f>
        <v>161.61616161616163</v>
      </c>
      <c r="J39" s="54">
        <f>J35*J26*J34*0.00000000000016</f>
        <v>277.44107744107743</v>
      </c>
      <c r="K39" s="27"/>
      <c r="L39" s="54">
        <f>L35*L26*L34*0.00000000000016</f>
        <v>161.61616161616163</v>
      </c>
      <c r="M39" s="54">
        <f>M35*M26*M34*0.00000000000016</f>
        <v>277.44107744107748</v>
      </c>
      <c r="N39" s="27"/>
      <c r="O39" s="54">
        <f>O35*O26*O34*0.00000000000016</f>
        <v>161.61616161616163</v>
      </c>
      <c r="P39" s="54">
        <f>P35*P26*P34*0.00000000000016</f>
        <v>277.44107744107743</v>
      </c>
      <c r="Q39" s="23" t="s">
        <v>19</v>
      </c>
      <c r="T39" s="7" t="s">
        <v>2</v>
      </c>
      <c r="U39" s="7"/>
      <c r="V39" s="7"/>
      <c r="W39" s="7"/>
      <c r="X39" s="7"/>
      <c r="Y39" s="8"/>
    </row>
    <row r="40" spans="1:25">
      <c r="A40" s="1"/>
      <c r="B40" s="41" t="s">
        <v>39</v>
      </c>
      <c r="C40" s="41"/>
      <c r="D40" s="41"/>
      <c r="E40" s="41"/>
      <c r="F40" s="54">
        <f>F35*F26*(F33-F34)*0.00000000000016</f>
        <v>82.474226804123717</v>
      </c>
      <c r="G40" s="54">
        <f>G35*G26*(G33-G34)*0.00000000000016</f>
        <v>41.237113402061858</v>
      </c>
      <c r="H40" s="54"/>
      <c r="I40" s="54">
        <f>I35*I26*(I33-I34)*0.00000000000016</f>
        <v>484.84848484848487</v>
      </c>
      <c r="J40" s="54">
        <f>J35*J26*(J33-J34)*0.00000000000016</f>
        <v>369.92143658810329</v>
      </c>
      <c r="K40" s="27"/>
      <c r="L40" s="54">
        <f>L35*L26*(L33-L34)*0.00000000000016</f>
        <v>3717.1717171717178</v>
      </c>
      <c r="M40" s="54">
        <f>M35*M26*(M33-M34)*0.00000000000016</f>
        <v>3606.7340067340078</v>
      </c>
      <c r="N40" s="27"/>
      <c r="O40" s="54">
        <f>O35*O26*(O33-O34)*0.00000000000016</f>
        <v>619.52861952861952</v>
      </c>
      <c r="P40" s="54">
        <f>P35*P26*(P33-P34)*0.00000000000016</f>
        <v>601.12233445566778</v>
      </c>
      <c r="Q40" s="23" t="s">
        <v>19</v>
      </c>
      <c r="T40" s="7"/>
      <c r="U40" s="7"/>
      <c r="V40" s="7"/>
      <c r="W40" s="7"/>
      <c r="X40" s="7"/>
      <c r="Y40" s="8"/>
    </row>
    <row r="41" spans="1:25">
      <c r="A41" s="1"/>
      <c r="B41" s="41" t="s">
        <v>97</v>
      </c>
      <c r="C41" s="41"/>
      <c r="D41" s="41"/>
      <c r="E41" s="41"/>
      <c r="F41" s="54">
        <f>F35/F42*0.00000000000016</f>
        <v>651.83712644784941</v>
      </c>
      <c r="G41" s="54">
        <f>G35/G42*0.00000000000016</f>
        <v>651.83712644784953</v>
      </c>
      <c r="H41" s="54"/>
      <c r="I41" s="54">
        <f>I35/I42*0.00000000000016</f>
        <v>2554.6747986036926</v>
      </c>
      <c r="J41" s="54">
        <f>J35/J42*0.00000000000016</f>
        <v>2558.2229580461976</v>
      </c>
      <c r="K41" s="27"/>
      <c r="L41" s="48">
        <v>2.5</v>
      </c>
      <c r="M41" s="48">
        <v>2.5</v>
      </c>
      <c r="N41" s="27"/>
      <c r="O41" s="54">
        <f>O35/O42*0.00000000000016</f>
        <v>3086.8987149794616</v>
      </c>
      <c r="P41" s="54">
        <f>P35/P42*0.00000000000016</f>
        <v>3471.8740144912686</v>
      </c>
      <c r="Q41" s="23" t="s">
        <v>1</v>
      </c>
      <c r="T41" s="7"/>
      <c r="U41" s="7"/>
      <c r="V41" s="7"/>
      <c r="W41" s="7"/>
      <c r="X41" s="7"/>
      <c r="Y41" s="8"/>
    </row>
    <row r="42" spans="1:25">
      <c r="A42" s="1"/>
      <c r="B42" s="41" t="s">
        <v>94</v>
      </c>
      <c r="C42" s="41"/>
      <c r="D42" s="41"/>
      <c r="E42" s="41"/>
      <c r="F42" s="61">
        <f>F28/299792</f>
        <v>1.5815727475811802E-3</v>
      </c>
      <c r="G42" s="61">
        <f>G28/299792</f>
        <v>1.5815727475811802E-3</v>
      </c>
      <c r="H42" s="54"/>
      <c r="I42" s="61">
        <f>I28/299792</f>
        <v>1.5815727475811802E-3</v>
      </c>
      <c r="J42" s="61">
        <f>J28/299792</f>
        <v>1.5815727475811802E-3</v>
      </c>
      <c r="K42" s="27"/>
      <c r="L42" s="53">
        <f>L35/L41*0.00000000000016</f>
        <v>9.6969696969696972</v>
      </c>
      <c r="M42" s="53">
        <f>M35/M41*0.00000000000016</f>
        <v>9.7104377104377129</v>
      </c>
      <c r="N42" s="27"/>
      <c r="O42" s="61">
        <f>O28/299792</f>
        <v>1.5815727475811802E-3</v>
      </c>
      <c r="P42" s="61">
        <f>P28/299792</f>
        <v>1.5815727475811802E-3</v>
      </c>
      <c r="Q42" s="23" t="s">
        <v>96</v>
      </c>
      <c r="R42" t="s">
        <v>2</v>
      </c>
      <c r="T42" s="7"/>
      <c r="U42" s="7"/>
      <c r="V42" s="7"/>
      <c r="W42" s="7"/>
      <c r="X42" s="7"/>
      <c r="Y42" s="8"/>
    </row>
    <row r="43" spans="1:25">
      <c r="A43" s="1"/>
      <c r="B43" s="41" t="s">
        <v>95</v>
      </c>
      <c r="C43" s="41"/>
      <c r="D43" s="41"/>
      <c r="E43" s="41"/>
      <c r="F43" s="82">
        <f>F42*F33*0.001</f>
        <v>3.1631454951623604E-5</v>
      </c>
      <c r="G43" s="82">
        <f>G42*G33*0.001</f>
        <v>3.1631454951623604E-5</v>
      </c>
      <c r="H43" s="54"/>
      <c r="I43" s="82">
        <f>I42*I33*0.001</f>
        <v>3.1631454951623604E-5</v>
      </c>
      <c r="J43" s="82">
        <f>J42*J33*0.001</f>
        <v>3.1631454951623604E-5</v>
      </c>
      <c r="K43" s="27"/>
      <c r="L43" s="83">
        <f>L42*L33*0.001</f>
        <v>0.19393939393939394</v>
      </c>
      <c r="M43" s="83">
        <f>M42*M33*0.001</f>
        <v>0.19420875420875428</v>
      </c>
      <c r="N43" s="27"/>
      <c r="O43" s="82">
        <f>O42*O33*0.001</f>
        <v>3.1631454951623604E-5</v>
      </c>
      <c r="P43" s="82">
        <f>P42*P33*0.001</f>
        <v>3.1631454951623604E-5</v>
      </c>
      <c r="Q43" s="23"/>
      <c r="T43" s="7"/>
      <c r="U43" s="7"/>
      <c r="V43" s="7"/>
      <c r="W43" s="7"/>
      <c r="X43" s="7"/>
      <c r="Y43" s="8"/>
    </row>
    <row r="44" spans="1:25">
      <c r="A44" s="1"/>
      <c r="B44" s="30"/>
      <c r="C44" s="30"/>
      <c r="D44" s="30"/>
      <c r="E44" s="30"/>
      <c r="F44" s="70"/>
      <c r="G44" s="70"/>
      <c r="H44" s="70"/>
      <c r="I44" s="70"/>
      <c r="J44" s="70"/>
      <c r="K44" s="92"/>
      <c r="L44" s="70"/>
      <c r="M44" s="70"/>
      <c r="N44" s="92"/>
      <c r="O44" s="70"/>
      <c r="P44" s="70"/>
      <c r="Q44" s="23"/>
      <c r="T44" s="7"/>
      <c r="U44" s="7"/>
      <c r="V44" s="7"/>
      <c r="W44" s="7"/>
      <c r="X44" s="7"/>
      <c r="Y44" s="8"/>
    </row>
    <row r="45" spans="1:25" ht="15" customHeight="1">
      <c r="A45" s="1"/>
      <c r="B45" s="30" t="s">
        <v>17</v>
      </c>
      <c r="C45" s="30"/>
      <c r="D45" s="30"/>
      <c r="E45" s="30"/>
      <c r="F45" s="66">
        <v>2</v>
      </c>
      <c r="G45" s="66">
        <v>2</v>
      </c>
      <c r="H45" s="55"/>
      <c r="I45" s="66">
        <v>1</v>
      </c>
      <c r="J45" s="66">
        <v>1</v>
      </c>
      <c r="K45" s="27"/>
      <c r="L45" s="66">
        <v>0</v>
      </c>
      <c r="M45" s="66">
        <v>0</v>
      </c>
      <c r="N45" s="27"/>
      <c r="O45" s="66">
        <v>1</v>
      </c>
      <c r="P45" s="66">
        <v>1</v>
      </c>
      <c r="Q45" s="23" t="s">
        <v>12</v>
      </c>
      <c r="T45" s="7"/>
      <c r="U45" s="7"/>
      <c r="V45" s="7"/>
      <c r="W45" s="7"/>
      <c r="X45" s="7"/>
      <c r="Y45" s="8"/>
    </row>
    <row r="46" spans="1:25" ht="15" customHeight="1">
      <c r="A46" s="1"/>
      <c r="B46" s="30" t="s">
        <v>47</v>
      </c>
      <c r="C46" s="30"/>
      <c r="D46" s="30"/>
      <c r="E46" s="30"/>
      <c r="F46" s="66">
        <v>0.75</v>
      </c>
      <c r="G46" s="66">
        <v>0.75</v>
      </c>
      <c r="H46" s="55"/>
      <c r="I46" s="66">
        <v>0.2</v>
      </c>
      <c r="J46" s="66">
        <v>0.2</v>
      </c>
      <c r="K46" s="27"/>
      <c r="L46" s="66">
        <v>0</v>
      </c>
      <c r="M46" s="66">
        <v>0</v>
      </c>
      <c r="N46" s="27"/>
      <c r="O46" s="66">
        <v>0.2</v>
      </c>
      <c r="P46" s="66">
        <v>0.2</v>
      </c>
      <c r="Q46" s="23" t="s">
        <v>12</v>
      </c>
      <c r="T46" s="7"/>
      <c r="U46" s="7"/>
      <c r="V46" s="7"/>
      <c r="W46" s="7"/>
      <c r="X46" s="7"/>
      <c r="Y46" s="8"/>
    </row>
    <row r="47" spans="1:25" ht="15" customHeight="1">
      <c r="A47" s="1"/>
      <c r="B47" s="41" t="s">
        <v>18</v>
      </c>
      <c r="C47" s="41"/>
      <c r="D47" s="41"/>
      <c r="E47" s="41"/>
      <c r="F47" s="48">
        <f>F75*F45/100</f>
        <v>0.33922561153367076</v>
      </c>
      <c r="G47" s="48">
        <f>G75*G45/100</f>
        <v>0.33922561153367076</v>
      </c>
      <c r="H47" s="48"/>
      <c r="I47" s="48">
        <f>I75*I45/100</f>
        <v>1.6357911094753197</v>
      </c>
      <c r="J47" s="48">
        <f>J75*J45/100</f>
        <v>1.6380630415718134</v>
      </c>
      <c r="K47" s="27"/>
      <c r="L47" s="48">
        <f>L75*L45/100*L34/L33</f>
        <v>0</v>
      </c>
      <c r="M47" s="48">
        <f>M75*M45/100*M34/M33</f>
        <v>0</v>
      </c>
      <c r="N47" s="27"/>
      <c r="O47" s="48">
        <f>O75*O45/100</f>
        <v>1.976580923949345</v>
      </c>
      <c r="P47" s="48">
        <f>P75*P45/100</f>
        <v>2.2230855564188898</v>
      </c>
      <c r="Q47" s="23" t="s">
        <v>19</v>
      </c>
      <c r="R47" s="67"/>
      <c r="T47" s="7"/>
      <c r="U47" s="7"/>
      <c r="V47" s="7"/>
      <c r="W47" s="7"/>
      <c r="X47" s="7"/>
      <c r="Y47" s="8"/>
    </row>
    <row r="48" spans="1:25" ht="15" customHeight="1">
      <c r="A48" s="1"/>
      <c r="B48" s="41" t="s">
        <v>77</v>
      </c>
      <c r="C48" s="41"/>
      <c r="D48" s="41"/>
      <c r="E48" s="41"/>
      <c r="F48" s="48">
        <f>(100-F$45)/100*F$36*F$49*1.602E-19*1000000000*F46/100*15/1000</f>
        <v>0.58509958126838579</v>
      </c>
      <c r="G48" s="48">
        <f>(100-G$45)/100*G$36*G$49*1.602E-19*1000000000*G46/100*15/1000</f>
        <v>0.5850995812683859</v>
      </c>
      <c r="H48" s="48" t="s">
        <v>2</v>
      </c>
      <c r="I48" s="48">
        <f>(100-I$45)/100*I$36*I$49*1.602E-19*1000000000*I46/100*15/1000</f>
        <v>0.60804655870445345</v>
      </c>
      <c r="J48" s="48">
        <f>(100-J$45)/100*J$36*J$49*1.602E-19*1000000000*J46/100*15/1000</f>
        <v>0.60889106781376501</v>
      </c>
      <c r="K48" s="27"/>
      <c r="L48" s="48">
        <f>(100-L$45)/100*L$36*L$49*1.602E-19*1000000000*L46/100*15/1000*L34/L33</f>
        <v>0</v>
      </c>
      <c r="M48" s="48">
        <f>(100-M$45)/100*M$36*M$49*1.602E-19*1000000000*M46/100*15/1000*M34/M33</f>
        <v>0</v>
      </c>
      <c r="N48" s="27"/>
      <c r="O48" s="48">
        <f>(100-O$45)/100*O$36*O$49*1.602E-19*1000000000*O46/100*15/1000</f>
        <v>0.73472292510121462</v>
      </c>
      <c r="P48" s="48">
        <f>(100-P$45)/100*P$36*P$49*1.602E-19*1000000000*P46/100*15/1000</f>
        <v>0.82635216346153861</v>
      </c>
      <c r="Q48" s="23" t="s">
        <v>19</v>
      </c>
      <c r="T48" s="7"/>
      <c r="U48" s="7"/>
      <c r="V48" s="7"/>
      <c r="W48" s="7"/>
      <c r="X48" s="7"/>
      <c r="Y48" s="8"/>
    </row>
    <row r="49" spans="1:29" ht="15" customHeight="1">
      <c r="A49" s="1"/>
      <c r="B49" s="30" t="s">
        <v>78</v>
      </c>
      <c r="C49" s="30"/>
      <c r="D49" s="30"/>
      <c r="E49" s="30"/>
      <c r="F49" s="66">
        <v>5</v>
      </c>
      <c r="G49" s="66">
        <v>5</v>
      </c>
      <c r="H49" s="66"/>
      <c r="I49" s="66">
        <v>5</v>
      </c>
      <c r="J49" s="66">
        <v>5</v>
      </c>
      <c r="K49" s="27"/>
      <c r="L49" s="66">
        <v>5</v>
      </c>
      <c r="M49" s="66">
        <v>5</v>
      </c>
      <c r="N49" s="27"/>
      <c r="O49" s="66">
        <v>5</v>
      </c>
      <c r="P49" s="66">
        <v>5</v>
      </c>
      <c r="Q49" s="23" t="s">
        <v>3</v>
      </c>
      <c r="R49" s="4" t="s">
        <v>79</v>
      </c>
      <c r="T49" s="7"/>
      <c r="U49" s="7"/>
      <c r="V49" s="7"/>
      <c r="W49" s="7"/>
      <c r="X49" s="7"/>
      <c r="Y49" s="8"/>
    </row>
    <row r="50" spans="1:29" ht="15" customHeight="1">
      <c r="A50" s="1"/>
      <c r="B50" s="41" t="s">
        <v>80</v>
      </c>
      <c r="C50" s="41"/>
      <c r="D50" s="41"/>
      <c r="E50" s="41"/>
      <c r="F50" s="48">
        <f>F47+F48</f>
        <v>0.92432519280205661</v>
      </c>
      <c r="G50" s="48">
        <f>G47+G48</f>
        <v>0.92432519280205661</v>
      </c>
      <c r="H50" s="48"/>
      <c r="I50" s="48">
        <f>I47+I48</f>
        <v>2.2438376681797729</v>
      </c>
      <c r="J50" s="48">
        <f>J47+J48</f>
        <v>2.2469541093855785</v>
      </c>
      <c r="K50" s="27"/>
      <c r="L50" s="48">
        <f>L47+L48</f>
        <v>0</v>
      </c>
      <c r="M50" s="48">
        <f>M47+M48</f>
        <v>0</v>
      </c>
      <c r="N50" s="27"/>
      <c r="O50" s="48">
        <f>O47+O48</f>
        <v>2.7113038490505597</v>
      </c>
      <c r="P50" s="48">
        <f>P47+P48</f>
        <v>3.0494377198804283</v>
      </c>
      <c r="Q50" s="23" t="s">
        <v>19</v>
      </c>
      <c r="R50" s="4"/>
      <c r="T50" s="7"/>
      <c r="U50" s="7"/>
      <c r="V50" s="7"/>
      <c r="W50" s="7"/>
      <c r="X50" s="7"/>
      <c r="Y50" s="8"/>
    </row>
    <row r="51" spans="1:29" ht="15" customHeight="1">
      <c r="A51" s="1"/>
      <c r="B51" s="41" t="s">
        <v>98</v>
      </c>
      <c r="C51" s="41"/>
      <c r="D51" s="41"/>
      <c r="E51" s="41"/>
      <c r="F51" s="53">
        <f>F50/F28*1000</f>
        <v>1.9494656069943948</v>
      </c>
      <c r="G51" s="53">
        <f>G50/G28*1000</f>
        <v>1.9494656069943948</v>
      </c>
      <c r="H51" s="80"/>
      <c r="I51" s="53">
        <f>I50/I28*1000</f>
        <v>4.7324084595536027</v>
      </c>
      <c r="J51" s="53">
        <f>J50/J28*1000</f>
        <v>4.7389812490807621</v>
      </c>
      <c r="K51" s="39"/>
      <c r="L51" s="53">
        <f>L50/L28*1000</f>
        <v>0</v>
      </c>
      <c r="M51" s="53">
        <f>M50/M28*1000</f>
        <v>0</v>
      </c>
      <c r="N51" s="23"/>
      <c r="O51" s="53">
        <f>O50/O28*1000</f>
        <v>5.7183268886272725</v>
      </c>
      <c r="P51" s="53">
        <f>P50/P28*1000</f>
        <v>6.4314745523238921</v>
      </c>
      <c r="Q51" s="23" t="s">
        <v>76</v>
      </c>
      <c r="T51" s="7"/>
      <c r="U51" s="7"/>
      <c r="V51" s="7"/>
      <c r="W51" s="7"/>
      <c r="X51" s="7"/>
      <c r="AC51" t="s">
        <v>2</v>
      </c>
    </row>
    <row r="52" spans="1:29" ht="15" customHeight="1">
      <c r="A52" s="1"/>
      <c r="B52" s="30"/>
      <c r="C52" s="30"/>
      <c r="D52" s="30"/>
      <c r="E52" s="30"/>
      <c r="F52" s="50"/>
      <c r="G52" s="50"/>
      <c r="H52" s="50"/>
      <c r="I52" s="46"/>
      <c r="J52" s="46"/>
      <c r="K52" s="23"/>
      <c r="L52" s="46"/>
      <c r="M52" s="46"/>
      <c r="N52" s="23"/>
      <c r="O52" s="46"/>
      <c r="P52" s="46"/>
      <c r="Q52" s="23"/>
      <c r="T52" s="7"/>
      <c r="U52" s="7"/>
      <c r="V52" s="7"/>
      <c r="W52" s="7"/>
      <c r="X52" s="7"/>
      <c r="AC52" t="s">
        <v>2</v>
      </c>
    </row>
    <row r="53" spans="1:29">
      <c r="A53" s="1"/>
      <c r="B53" s="26" t="s">
        <v>24</v>
      </c>
      <c r="C53" s="26"/>
      <c r="D53" s="26"/>
      <c r="E53" s="26"/>
      <c r="F53" s="50">
        <v>15</v>
      </c>
      <c r="G53" s="50">
        <v>15</v>
      </c>
      <c r="H53" s="50"/>
      <c r="I53" s="46">
        <v>15</v>
      </c>
      <c r="J53" s="46">
        <v>15</v>
      </c>
      <c r="K53" s="23"/>
      <c r="L53" s="46">
        <v>15</v>
      </c>
      <c r="M53" s="46">
        <v>15</v>
      </c>
      <c r="N53" s="23"/>
      <c r="O53" s="46">
        <v>15</v>
      </c>
      <c r="P53" s="46">
        <v>15</v>
      </c>
      <c r="Q53" s="23" t="s">
        <v>41</v>
      </c>
      <c r="T53" s="6"/>
      <c r="U53" s="6"/>
      <c r="V53" s="6"/>
      <c r="W53" s="6"/>
      <c r="X53" s="6"/>
    </row>
    <row r="54" spans="1:29" ht="15" customHeight="1">
      <c r="A54" s="1"/>
      <c r="B54" s="26" t="s">
        <v>9</v>
      </c>
      <c r="C54" s="26"/>
      <c r="D54" s="26"/>
      <c r="E54" s="26"/>
      <c r="F54" s="56">
        <v>0.33</v>
      </c>
      <c r="G54" s="56">
        <v>0.33</v>
      </c>
      <c r="H54" s="56"/>
      <c r="I54" s="66">
        <v>0.5</v>
      </c>
      <c r="J54" s="66">
        <v>0.5</v>
      </c>
      <c r="K54" s="24"/>
      <c r="L54" s="66">
        <v>0.5</v>
      </c>
      <c r="M54" s="66">
        <v>0.5</v>
      </c>
      <c r="N54" s="24"/>
      <c r="O54" s="66">
        <v>0.5</v>
      </c>
      <c r="P54" s="66">
        <v>0.5</v>
      </c>
      <c r="Q54" s="23"/>
      <c r="T54" s="6"/>
      <c r="U54" s="6"/>
      <c r="V54" s="6"/>
      <c r="W54" s="6"/>
      <c r="X54" s="6"/>
      <c r="Y54" s="9"/>
    </row>
    <row r="55" spans="1:29" s="15" customFormat="1">
      <c r="B55" s="40" t="s">
        <v>44</v>
      </c>
      <c r="C55" s="40"/>
      <c r="D55" s="40"/>
      <c r="E55" s="40"/>
      <c r="F55" s="48">
        <f>-3*1.54E-18*F36/(2*PI()*F54*F53*0.000001*F65*F64^2)</f>
        <v>-0.34052063763166135</v>
      </c>
      <c r="G55" s="48">
        <f>-3*1.54E-18*G36/(2*PI()*G54*G53*0.000001*G65*G64^2)</f>
        <v>-0.34052063763166146</v>
      </c>
      <c r="H55" s="48"/>
      <c r="I55" s="48">
        <f>-3*1.54E-18*I36/(2*PI()*I54*I53*0.000001*I65*I64^2)</f>
        <v>-0.26952292834642433</v>
      </c>
      <c r="J55" s="48">
        <f>-3*1.54E-18*J36/(2*PI()*J54*J53*0.000001*J65*J64^2)</f>
        <v>-0.26989726574690548</v>
      </c>
      <c r="K55" s="24"/>
      <c r="L55" s="48">
        <f>-3*1.54E-18*L36/(2*PI()*L54*L53*0.000001*L65*L64^2)</f>
        <v>-0.86774955052271974</v>
      </c>
      <c r="M55" s="48">
        <f>-3*1.54E-18*M36/(2*PI()*M54*M53*0.000001*M65*M64^2)</f>
        <v>-0.86895475823177915</v>
      </c>
      <c r="N55" s="24"/>
      <c r="O55" s="48">
        <f>-3*1.54E-18*O36/(2*PI()*O54*O53*0.000001*O65*O64^2)</f>
        <v>-0.32567353841859609</v>
      </c>
      <c r="P55" s="48">
        <f>-3*1.54E-18*P36/(2*PI()*P54*P53*0.000001*P65*P64^2)</f>
        <v>-0.36628914637080029</v>
      </c>
      <c r="Q55" s="23"/>
      <c r="T55" s="18"/>
      <c r="U55" s="18"/>
      <c r="V55" s="18"/>
      <c r="W55" s="18"/>
      <c r="X55" s="18"/>
      <c r="Y55" s="19"/>
    </row>
    <row r="56" spans="1:29">
      <c r="A56" s="1"/>
      <c r="B56" s="40" t="s">
        <v>45</v>
      </c>
      <c r="C56" s="40"/>
      <c r="D56" s="40"/>
      <c r="E56" s="40"/>
      <c r="F56" s="57"/>
      <c r="G56" s="57"/>
      <c r="H56" s="57"/>
      <c r="I56" s="57"/>
      <c r="J56" s="57"/>
      <c r="K56" s="24"/>
      <c r="L56" s="57"/>
      <c r="M56" s="57"/>
      <c r="N56" s="24"/>
      <c r="O56" s="57"/>
      <c r="P56" s="57"/>
      <c r="Q56" s="23"/>
      <c r="R56" t="s">
        <v>99</v>
      </c>
      <c r="T56" s="6"/>
      <c r="U56" s="6"/>
      <c r="V56" s="6"/>
      <c r="W56" s="6"/>
      <c r="X56" s="6"/>
      <c r="Y56" s="9"/>
    </row>
    <row r="57" spans="1:29" ht="16.5" customHeight="1">
      <c r="A57" s="1"/>
      <c r="B57" s="40" t="s">
        <v>61</v>
      </c>
      <c r="C57" s="43"/>
      <c r="D57" s="43"/>
      <c r="E57" s="43"/>
      <c r="F57" s="78">
        <f>PI()*F58*F59*0.001</f>
        <v>7.8571232266280724E-2</v>
      </c>
      <c r="G57" s="78">
        <f>PI()*G58*G59*0.001</f>
        <v>7.8571232266280724E-2</v>
      </c>
      <c r="H57" s="58"/>
      <c r="I57" s="78">
        <f>PI()*I58*I59*0.001</f>
        <v>7.8571232266280724E-2</v>
      </c>
      <c r="J57" s="78">
        <f>PI()*J58*J59*0.001</f>
        <v>7.8571232266280724E-2</v>
      </c>
      <c r="K57" s="24"/>
      <c r="L57" s="78">
        <f>PI()*L58*L59*0.001</f>
        <v>7.8571232266280724E-2</v>
      </c>
      <c r="M57" s="78">
        <f>PI()*M58*M59*0.001</f>
        <v>7.8571232266280724E-2</v>
      </c>
      <c r="N57" s="24"/>
      <c r="O57" s="78">
        <f>PI()*O58*O59*0.001</f>
        <v>7.8571232266280724E-2</v>
      </c>
      <c r="P57" s="78">
        <f>PI()*P58*P59*0.001</f>
        <v>7.8571232266280724E-2</v>
      </c>
      <c r="Q57" s="23" t="s">
        <v>55</v>
      </c>
      <c r="T57" s="12"/>
      <c r="U57" s="12"/>
      <c r="V57" s="12"/>
      <c r="W57" s="12"/>
      <c r="X57" s="12"/>
      <c r="Y57" s="9"/>
    </row>
    <row r="58" spans="1:29" ht="16.5" customHeight="1">
      <c r="A58" s="1"/>
      <c r="B58" s="26" t="s">
        <v>62</v>
      </c>
      <c r="C58" s="31"/>
      <c r="D58" s="31"/>
      <c r="E58" s="31"/>
      <c r="F58" s="66">
        <v>6.1</v>
      </c>
      <c r="G58" s="66">
        <v>6.1</v>
      </c>
      <c r="H58" s="59"/>
      <c r="I58" s="66">
        <v>6.1</v>
      </c>
      <c r="J58" s="66">
        <v>6.1</v>
      </c>
      <c r="K58" s="24"/>
      <c r="L58" s="66">
        <v>6.1</v>
      </c>
      <c r="M58" s="66">
        <v>6.1</v>
      </c>
      <c r="N58" s="24"/>
      <c r="O58" s="66">
        <v>6.1</v>
      </c>
      <c r="P58" s="66">
        <v>6.1</v>
      </c>
      <c r="Q58" s="23" t="s">
        <v>26</v>
      </c>
      <c r="T58" s="12"/>
      <c r="U58" s="12"/>
      <c r="V58" s="12"/>
      <c r="W58" s="12"/>
      <c r="X58" s="12"/>
      <c r="Y58" s="9"/>
    </row>
    <row r="59" spans="1:29" ht="16.5" customHeight="1">
      <c r="A59" s="1"/>
      <c r="B59" s="26" t="s">
        <v>63</v>
      </c>
      <c r="C59" s="31"/>
      <c r="D59" s="31"/>
      <c r="E59" s="31"/>
      <c r="F59" s="66">
        <v>4.0999999999999996</v>
      </c>
      <c r="G59" s="66">
        <v>4.0999999999999996</v>
      </c>
      <c r="H59" s="59"/>
      <c r="I59" s="66">
        <v>4.0999999999999996</v>
      </c>
      <c r="J59" s="66">
        <v>4.0999999999999996</v>
      </c>
      <c r="K59" s="24"/>
      <c r="L59" s="66">
        <v>4.0999999999999996</v>
      </c>
      <c r="M59" s="66">
        <v>4.0999999999999996</v>
      </c>
      <c r="N59" s="24"/>
      <c r="O59" s="66">
        <v>4.0999999999999996</v>
      </c>
      <c r="P59" s="66">
        <v>4.0999999999999996</v>
      </c>
      <c r="Q59" s="23" t="s">
        <v>64</v>
      </c>
      <c r="T59" s="12"/>
      <c r="U59" s="12"/>
      <c r="V59" s="12"/>
      <c r="W59" s="12"/>
      <c r="X59" s="12"/>
      <c r="Y59" s="9"/>
    </row>
    <row r="60" spans="1:29" ht="15" customHeight="1">
      <c r="A60" s="1"/>
      <c r="B60" s="32"/>
      <c r="C60" s="32"/>
      <c r="D60" s="32"/>
      <c r="E60" s="32"/>
      <c r="F60" s="56"/>
      <c r="G60" s="56"/>
      <c r="H60" s="56"/>
      <c r="I60" s="46"/>
      <c r="J60" s="46"/>
      <c r="K60" s="23"/>
      <c r="L60" s="46"/>
      <c r="M60" s="46"/>
      <c r="N60" s="23"/>
      <c r="O60" s="46"/>
      <c r="P60" s="46"/>
      <c r="Q60" s="23"/>
      <c r="T60" s="9"/>
      <c r="U60" s="9"/>
      <c r="V60" s="9"/>
      <c r="W60" s="9"/>
      <c r="X60" s="9"/>
    </row>
    <row r="61" spans="1:29">
      <c r="A61" s="1" t="s">
        <v>101</v>
      </c>
      <c r="B61" s="23"/>
      <c r="C61" s="23"/>
      <c r="D61" s="23"/>
      <c r="E61" s="23"/>
      <c r="F61" s="50"/>
      <c r="G61" s="50"/>
      <c r="H61" s="50"/>
      <c r="I61" s="46"/>
      <c r="J61" s="46"/>
      <c r="K61" s="23"/>
      <c r="L61" s="46"/>
      <c r="M61" s="46"/>
      <c r="N61" s="23"/>
      <c r="O61" s="46"/>
      <c r="P61" s="46"/>
      <c r="Q61" s="23"/>
    </row>
    <row r="62" spans="1:29" s="15" customFormat="1">
      <c r="B62" s="30" t="s">
        <v>38</v>
      </c>
      <c r="C62" s="30"/>
      <c r="D62" s="30"/>
      <c r="E62" s="30"/>
      <c r="F62" s="66">
        <v>0.8</v>
      </c>
      <c r="G62" s="66">
        <v>0.8</v>
      </c>
      <c r="H62" s="56"/>
      <c r="I62" s="66">
        <v>2</v>
      </c>
      <c r="J62" s="66">
        <v>2</v>
      </c>
      <c r="K62" s="24"/>
      <c r="L62" s="66">
        <v>3</v>
      </c>
      <c r="M62" s="66">
        <v>3</v>
      </c>
      <c r="N62" s="24"/>
      <c r="O62" s="66">
        <v>2</v>
      </c>
      <c r="P62" s="66">
        <v>2</v>
      </c>
      <c r="Q62" s="23" t="s">
        <v>3</v>
      </c>
    </row>
    <row r="63" spans="1:29">
      <c r="B63" s="41" t="s">
        <v>23</v>
      </c>
      <c r="C63" s="41"/>
      <c r="D63" s="41"/>
      <c r="E63" s="41"/>
      <c r="F63" s="48">
        <f>SQRT((F62+0.938)^2-0.938^2)</f>
        <v>1.4631472926537505</v>
      </c>
      <c r="G63" s="48">
        <f>SQRT((G62+0.938)^2-0.938^2)</f>
        <v>1.4631472926537505</v>
      </c>
      <c r="H63" s="48"/>
      <c r="I63" s="48">
        <f>SQRT((I62+0.938)^2-0.938^2)</f>
        <v>2.7842413688471765</v>
      </c>
      <c r="J63" s="48">
        <f>SQRT((J62+0.938)^2-0.938^2)</f>
        <v>2.7842413688471765</v>
      </c>
      <c r="K63" s="24"/>
      <c r="L63" s="48">
        <f>SQRT((L62+0.938)^2-0.938^2)</f>
        <v>3.8246568473524523</v>
      </c>
      <c r="M63" s="48">
        <f>SQRT((M62+0.938)^2-0.938^2)</f>
        <v>3.8246568473524523</v>
      </c>
      <c r="N63" s="24"/>
      <c r="O63" s="48">
        <f>SQRT((O62+0.938)^2-0.938^2)</f>
        <v>2.7842413688471765</v>
      </c>
      <c r="P63" s="48">
        <f>SQRT((P62+0.938)^2-0.938^2)</f>
        <v>2.7842413688471765</v>
      </c>
      <c r="Q63" s="23" t="s">
        <v>10</v>
      </c>
      <c r="U63" s="10"/>
      <c r="Y63" s="10"/>
    </row>
    <row r="64" spans="1:29">
      <c r="B64" s="41" t="s">
        <v>67</v>
      </c>
      <c r="C64" s="41"/>
      <c r="D64" s="41"/>
      <c r="E64" s="41"/>
      <c r="F64" s="48">
        <f>(F62+0.938)/0.938</f>
        <v>1.8528784648187635</v>
      </c>
      <c r="G64" s="48">
        <f>(G62+0.938)/0.938</f>
        <v>1.8528784648187635</v>
      </c>
      <c r="H64" s="48"/>
      <c r="I64" s="48">
        <f t="shared" ref="I64:J64" si="8">(I62+0.938)/0.938</f>
        <v>3.1321961620469083</v>
      </c>
      <c r="J64" s="48">
        <f t="shared" si="8"/>
        <v>3.1321961620469083</v>
      </c>
      <c r="K64" s="24"/>
      <c r="L64" s="48">
        <f t="shared" ref="L64:M64" si="9">(L62+0.938)/0.938</f>
        <v>4.1982942430703627</v>
      </c>
      <c r="M64" s="48">
        <f t="shared" si="9"/>
        <v>4.1982942430703627</v>
      </c>
      <c r="N64" s="24"/>
      <c r="O64" s="48">
        <f t="shared" ref="O64:P64" si="10">(O62+0.938)/0.938</f>
        <v>3.1321961620469083</v>
      </c>
      <c r="P64" s="48">
        <f t="shared" si="10"/>
        <v>3.1321961620469083</v>
      </c>
      <c r="Q64" s="23"/>
      <c r="U64" s="10"/>
      <c r="Y64" s="10"/>
    </row>
    <row r="65" spans="1:28">
      <c r="B65" s="41" t="s">
        <v>66</v>
      </c>
      <c r="C65" s="41"/>
      <c r="D65" s="41"/>
      <c r="E65" s="41"/>
      <c r="F65" s="48">
        <f>SQRT(1-1/F64^2)</f>
        <v>0.84185690026107629</v>
      </c>
      <c r="G65" s="48">
        <f t="shared" ref="G65:J65" si="11">SQRT(1-1/G64^2)</f>
        <v>0.84185690026107629</v>
      </c>
      <c r="H65" s="48"/>
      <c r="I65" s="48">
        <f t="shared" si="11"/>
        <v>0.94766554419577154</v>
      </c>
      <c r="J65" s="48">
        <f t="shared" si="11"/>
        <v>0.94766554419577154</v>
      </c>
      <c r="K65" s="24"/>
      <c r="L65" s="48">
        <f t="shared" ref="L65:M65" si="12">SQRT(1-1/L64^2)</f>
        <v>0.97121809226827127</v>
      </c>
      <c r="M65" s="48">
        <f t="shared" si="12"/>
        <v>0.97121809226827127</v>
      </c>
      <c r="N65" s="24"/>
      <c r="O65" s="48">
        <f t="shared" ref="O65:P65" si="13">SQRT(1-1/O64^2)</f>
        <v>0.94766554419577154</v>
      </c>
      <c r="P65" s="48">
        <f t="shared" si="13"/>
        <v>0.94766554419577154</v>
      </c>
      <c r="Q65" s="23"/>
      <c r="U65" s="10"/>
      <c r="Y65" s="10"/>
    </row>
    <row r="66" spans="1:28">
      <c r="B66" s="30" t="s">
        <v>97</v>
      </c>
      <c r="C66" s="30"/>
      <c r="D66" s="30"/>
      <c r="E66" s="30"/>
      <c r="F66" s="76">
        <v>4</v>
      </c>
      <c r="G66" s="76">
        <v>4</v>
      </c>
      <c r="H66" s="52"/>
      <c r="I66" s="76">
        <v>5</v>
      </c>
      <c r="J66" s="76">
        <v>5</v>
      </c>
      <c r="K66" s="29"/>
      <c r="L66" s="76">
        <v>5</v>
      </c>
      <c r="M66" s="76">
        <v>5</v>
      </c>
      <c r="N66" s="29"/>
      <c r="O66" s="76">
        <v>5</v>
      </c>
      <c r="P66" s="76">
        <v>5</v>
      </c>
      <c r="Q66" s="23" t="s">
        <v>1</v>
      </c>
    </row>
    <row r="67" spans="1:28">
      <c r="B67" s="30" t="s">
        <v>100</v>
      </c>
      <c r="C67" s="30"/>
      <c r="D67" s="30"/>
      <c r="E67" s="30"/>
      <c r="F67" s="76">
        <v>2</v>
      </c>
      <c r="G67" s="76">
        <v>2</v>
      </c>
      <c r="H67" s="52"/>
      <c r="I67" s="76">
        <v>2.5</v>
      </c>
      <c r="J67" s="76">
        <v>2.5</v>
      </c>
      <c r="K67" s="29" t="s">
        <v>2</v>
      </c>
      <c r="L67" s="76">
        <v>2.5</v>
      </c>
      <c r="M67" s="76">
        <v>2.5</v>
      </c>
      <c r="N67" s="29"/>
      <c r="O67" s="76">
        <v>2.5</v>
      </c>
      <c r="P67" s="76">
        <v>2.5</v>
      </c>
      <c r="Q67" s="23"/>
    </row>
    <row r="68" spans="1:28">
      <c r="B68" s="30" t="s">
        <v>46</v>
      </c>
      <c r="C68" s="30"/>
      <c r="D68" s="30"/>
      <c r="E68" s="30"/>
      <c r="F68" s="76">
        <v>0.3</v>
      </c>
      <c r="G68" s="76">
        <v>0.3</v>
      </c>
      <c r="H68" s="52"/>
      <c r="I68" s="76">
        <v>0.3</v>
      </c>
      <c r="J68" s="76">
        <v>0.3</v>
      </c>
      <c r="K68" s="29"/>
      <c r="L68" s="76">
        <v>0.3</v>
      </c>
      <c r="M68" s="76">
        <v>0.3</v>
      </c>
      <c r="N68" s="29"/>
      <c r="O68" s="76">
        <v>0.3</v>
      </c>
      <c r="P68" s="76">
        <v>0.3</v>
      </c>
      <c r="Q68" s="23" t="s">
        <v>41</v>
      </c>
    </row>
    <row r="69" spans="1:28">
      <c r="B69" s="30" t="s">
        <v>65</v>
      </c>
      <c r="C69" s="30"/>
      <c r="D69" s="30"/>
      <c r="E69" s="30"/>
      <c r="F69" s="76">
        <v>1.1000000000000001</v>
      </c>
      <c r="G69" s="76">
        <v>1.1000000000000001</v>
      </c>
      <c r="H69" s="52"/>
      <c r="I69" s="76">
        <v>1.1000000000000001</v>
      </c>
      <c r="J69" s="76">
        <v>1.1000000000000001</v>
      </c>
      <c r="K69" s="29"/>
      <c r="L69" s="76">
        <v>1.1000000000000001</v>
      </c>
      <c r="M69" s="76">
        <v>1.1000000000000001</v>
      </c>
      <c r="N69" s="29"/>
      <c r="O69" s="76">
        <v>1.1000000000000001</v>
      </c>
      <c r="P69" s="76">
        <v>1.1000000000000001</v>
      </c>
      <c r="Q69" s="23" t="s">
        <v>81</v>
      </c>
    </row>
    <row r="70" spans="1:28" ht="15" customHeight="1">
      <c r="B70" s="41" t="s">
        <v>52</v>
      </c>
      <c r="C70" s="41"/>
      <c r="D70" s="41"/>
      <c r="E70" s="41"/>
      <c r="F70" s="60">
        <f>F37*1000</f>
        <v>530.04001802136054</v>
      </c>
      <c r="G70" s="60">
        <f>G37*1000</f>
        <v>530.04001802136065</v>
      </c>
      <c r="H70" s="60"/>
      <c r="I70" s="60">
        <f>I37*1000</f>
        <v>1635.7911094753199</v>
      </c>
      <c r="J70" s="60">
        <f>J37*1000</f>
        <v>1638.0630415718133</v>
      </c>
      <c r="K70" s="33"/>
      <c r="L70" s="60">
        <f>L42*1000</f>
        <v>9696.9696969696979</v>
      </c>
      <c r="M70" s="60">
        <f>M42*1000</f>
        <v>9710.4377104377127</v>
      </c>
      <c r="N70" s="33"/>
      <c r="O70" s="60">
        <f>O37*1000</f>
        <v>1976.5809239493451</v>
      </c>
      <c r="P70" s="60">
        <f>P37*1000</f>
        <v>2223.0855564188896</v>
      </c>
      <c r="Q70" s="23" t="s">
        <v>42</v>
      </c>
      <c r="U70" t="s">
        <v>2</v>
      </c>
    </row>
    <row r="71" spans="1:28" ht="15" customHeight="1">
      <c r="B71" s="41" t="s">
        <v>53</v>
      </c>
      <c r="C71" s="41"/>
      <c r="D71" s="41"/>
      <c r="E71" s="41"/>
      <c r="F71" s="60">
        <f>6000+F70</f>
        <v>6530.0400180213601</v>
      </c>
      <c r="G71" s="60">
        <f>6000+G70</f>
        <v>6530.040018021361</v>
      </c>
      <c r="H71" s="60"/>
      <c r="I71" s="60">
        <f>6000+I70</f>
        <v>7635.7911094753199</v>
      </c>
      <c r="J71" s="60">
        <f>6000+J70</f>
        <v>7638.0630415718133</v>
      </c>
      <c r="K71" s="33"/>
      <c r="L71" s="60">
        <f>6000+L70</f>
        <v>15696.969696969698</v>
      </c>
      <c r="M71" s="60">
        <f>6000+M70</f>
        <v>15710.437710437713</v>
      </c>
      <c r="N71" s="33"/>
      <c r="O71" s="60">
        <f>6000+O70</f>
        <v>7976.5809239493447</v>
      </c>
      <c r="P71" s="60">
        <f>6000+P70</f>
        <v>8223.0855564188896</v>
      </c>
      <c r="Q71" s="23" t="s">
        <v>42</v>
      </c>
      <c r="R71" t="s">
        <v>83</v>
      </c>
    </row>
    <row r="72" spans="1:28" ht="15" customHeight="1">
      <c r="B72" s="41" t="s">
        <v>27</v>
      </c>
      <c r="C72" s="41"/>
      <c r="D72" s="41"/>
      <c r="E72" s="41"/>
      <c r="F72" s="60">
        <f>F33</f>
        <v>20</v>
      </c>
      <c r="G72" s="60">
        <f>G33</f>
        <v>20</v>
      </c>
      <c r="H72" s="60"/>
      <c r="I72" s="60">
        <f>I33</f>
        <v>20</v>
      </c>
      <c r="J72" s="60">
        <f>J33</f>
        <v>20</v>
      </c>
      <c r="K72" s="85"/>
      <c r="L72" s="60">
        <f>L33</f>
        <v>20</v>
      </c>
      <c r="M72" s="60">
        <f>M33</f>
        <v>20</v>
      </c>
      <c r="N72" s="33"/>
      <c r="O72" s="60">
        <f>O33</f>
        <v>20</v>
      </c>
      <c r="P72" s="60">
        <f>P33</f>
        <v>20</v>
      </c>
      <c r="Q72" s="23" t="s">
        <v>11</v>
      </c>
    </row>
    <row r="73" spans="1:28" s="15" customFormat="1">
      <c r="B73" s="41" t="s">
        <v>102</v>
      </c>
      <c r="C73" s="41"/>
      <c r="D73" s="41"/>
      <c r="E73" s="41"/>
      <c r="F73" s="71">
        <f>F70*F72/1000000</f>
        <v>1.0600800360427211E-2</v>
      </c>
      <c r="G73" s="71">
        <f>G70*G72/1000000</f>
        <v>1.0600800360427213E-2</v>
      </c>
      <c r="H73" s="71"/>
      <c r="I73" s="71">
        <f>I70*I72/1000000</f>
        <v>3.2715822189506395E-2</v>
      </c>
      <c r="J73" s="71">
        <f>J70*J72/1000000</f>
        <v>3.2761260831436267E-2</v>
      </c>
      <c r="K73" s="25"/>
      <c r="L73" s="71">
        <f>L70*L72/1000000</f>
        <v>0.19393939393939394</v>
      </c>
      <c r="M73" s="71">
        <f>M70*M72/1000000</f>
        <v>0.19420875420875425</v>
      </c>
      <c r="N73" s="25"/>
      <c r="O73" s="71">
        <f>O70*O72/1000000</f>
        <v>3.9531618478986903E-2</v>
      </c>
      <c r="P73" s="71">
        <f>P70*P72/1000000</f>
        <v>4.4461711128377795E-2</v>
      </c>
      <c r="Q73" s="23"/>
      <c r="S73" s="17"/>
      <c r="Y73" s="17"/>
    </row>
    <row r="74" spans="1:28" s="15" customFormat="1">
      <c r="B74" s="41" t="s">
        <v>54</v>
      </c>
      <c r="C74" s="41"/>
      <c r="D74" s="41"/>
      <c r="E74" s="41"/>
      <c r="F74" s="71">
        <f>F71*F72/1000000</f>
        <v>0.1306008003604272</v>
      </c>
      <c r="G74" s="71">
        <f t="shared" ref="G74:J74" si="14">G71*G72/1000000</f>
        <v>0.13060080036042723</v>
      </c>
      <c r="H74" s="71"/>
      <c r="I74" s="71">
        <f t="shared" si="14"/>
        <v>0.15271582218950641</v>
      </c>
      <c r="J74" s="71">
        <f t="shared" si="14"/>
        <v>0.15276126083143626</v>
      </c>
      <c r="K74" s="25"/>
      <c r="L74" s="71">
        <f t="shared" ref="L74:M74" si="15">L71*L72/1000000</f>
        <v>0.31393939393939396</v>
      </c>
      <c r="M74" s="71">
        <f t="shared" si="15"/>
        <v>0.31420875420875427</v>
      </c>
      <c r="N74" s="25"/>
      <c r="O74" s="71">
        <f t="shared" ref="O74:P74" si="16">O71*O72/1000000</f>
        <v>0.15953161847898689</v>
      </c>
      <c r="P74" s="71">
        <f t="shared" si="16"/>
        <v>0.16446171112837779</v>
      </c>
      <c r="Q74" s="23"/>
      <c r="S74" s="17"/>
      <c r="Y74" s="17"/>
    </row>
    <row r="75" spans="1:28">
      <c r="B75" s="41" t="s">
        <v>25</v>
      </c>
      <c r="C75" s="39"/>
      <c r="D75" s="39"/>
      <c r="E75" s="39"/>
      <c r="F75" s="54">
        <f>F62*F67*F73*1000</f>
        <v>16.961280576683539</v>
      </c>
      <c r="G75" s="54">
        <f>G62*G67*G73*1000</f>
        <v>16.961280576683539</v>
      </c>
      <c r="H75" s="54"/>
      <c r="I75" s="54">
        <f>I62*I67*I73*1000</f>
        <v>163.57911094753197</v>
      </c>
      <c r="J75" s="54">
        <f>J62*J67*J73*1000</f>
        <v>163.80630415718133</v>
      </c>
      <c r="K75" s="27"/>
      <c r="L75" s="54">
        <f>L62*L67*L73*1000</f>
        <v>1454.5454545454545</v>
      </c>
      <c r="M75" s="54">
        <f>M62*M67*M73*1000</f>
        <v>1456.5656565656568</v>
      </c>
      <c r="N75" s="27"/>
      <c r="O75" s="54">
        <f>O62*O67*O73*1000</f>
        <v>197.6580923949345</v>
      </c>
      <c r="P75" s="54">
        <f>P62*P67*P73*1000</f>
        <v>222.30855564188897</v>
      </c>
      <c r="Q75" s="23" t="s">
        <v>19</v>
      </c>
      <c r="R75" t="s">
        <v>104</v>
      </c>
      <c r="Y75" s="8"/>
      <c r="AB75" t="s">
        <v>2</v>
      </c>
    </row>
    <row r="76" spans="1:28" ht="15" customHeight="1">
      <c r="B76" s="41" t="s">
        <v>29</v>
      </c>
      <c r="C76" s="39"/>
      <c r="D76" s="39"/>
      <c r="E76" s="39"/>
      <c r="F76" s="61">
        <f>F25/(F24+0.938)*F77</f>
        <v>2.7313214132446353</v>
      </c>
      <c r="G76" s="61">
        <f>G25/(G24+0.938)*G77</f>
        <v>2.7313214132446353</v>
      </c>
      <c r="H76" s="61"/>
      <c r="I76" s="61">
        <f>I25/(I24+0.938)*I77</f>
        <v>55.549173693486779</v>
      </c>
      <c r="J76" s="61">
        <f>J25/(J24+0.938)*J77</f>
        <v>55.703038500894053</v>
      </c>
      <c r="K76" s="29"/>
      <c r="L76" s="84" t="s">
        <v>90</v>
      </c>
      <c r="M76" s="84" t="s">
        <v>90</v>
      </c>
      <c r="N76" s="29"/>
      <c r="O76" s="61">
        <f>O25/(O24+0.938)*O77</f>
        <v>80.974251843853295</v>
      </c>
      <c r="P76" s="61">
        <f>P25/(P24+0.938)*P77</f>
        <v>102.29107946403516</v>
      </c>
      <c r="Q76" s="23" t="s">
        <v>26</v>
      </c>
      <c r="R76" s="9"/>
      <c r="X76" s="13"/>
      <c r="Y76" s="11"/>
    </row>
    <row r="77" spans="1:28">
      <c r="B77" s="41" t="s">
        <v>30</v>
      </c>
      <c r="C77" s="39"/>
      <c r="D77" s="39"/>
      <c r="E77" s="39"/>
      <c r="F77" s="53">
        <f>(1-COS(2*PI()*F33*F37/1000))*F63*1000</f>
        <v>3.2444010524800579</v>
      </c>
      <c r="G77" s="53">
        <f>(1-COS(2*PI()*G33*G37/1000))*G63*1000</f>
        <v>3.2444010524800579</v>
      </c>
      <c r="H77" s="53"/>
      <c r="I77" s="53">
        <f>(1-COS(2*PI()*I33*I37/1000))*I63*1000</f>
        <v>58.616854895392578</v>
      </c>
      <c r="J77" s="53">
        <f>(1-COS(2*PI()*J33*J37/1000))*J63*1000</f>
        <v>58.779216826086014</v>
      </c>
      <c r="K77" s="29"/>
      <c r="L77" s="84" t="s">
        <v>90</v>
      </c>
      <c r="M77" s="84" t="s">
        <v>90</v>
      </c>
      <c r="N77" s="29"/>
      <c r="O77" s="53">
        <f>(1-COS(2*PI()*O33*O37/1000))*O63*1000</f>
        <v>85.446022955885155</v>
      </c>
      <c r="P77" s="53">
        <f>(1-COS(2*PI()*P33*P37/1000))*P63*1000</f>
        <v>107.94006397145486</v>
      </c>
      <c r="Q77" s="23" t="s">
        <v>28</v>
      </c>
      <c r="R77" s="9"/>
      <c r="X77" s="13"/>
      <c r="Y77" s="11"/>
    </row>
    <row r="78" spans="1:28">
      <c r="A78" s="34"/>
      <c r="B78" s="37"/>
      <c r="F78" s="38"/>
      <c r="I78" s="38" t="s">
        <v>2</v>
      </c>
      <c r="O78" s="38" t="s">
        <v>2</v>
      </c>
    </row>
    <row r="82" spans="11:14">
      <c r="K82" s="9"/>
      <c r="L82" s="9"/>
      <c r="M82" s="9"/>
      <c r="N82" s="9"/>
    </row>
  </sheetData>
  <mergeCells count="4">
    <mergeCell ref="F1:G1"/>
    <mergeCell ref="I1:J1"/>
    <mergeCell ref="L1:M1"/>
    <mergeCell ref="O1:P1"/>
  </mergeCells>
  <pageMargins left="0.7" right="0.7" top="0.75" bottom="0.75" header="0.3" footer="0.3"/>
  <pageSetup scale="80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Stage 0.8</vt:lpstr>
    </vt:vector>
  </TitlesOfParts>
  <Company>Fermi National Accelerator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Holmes</dc:creator>
  <cp:lastModifiedBy>Paul Derwent</cp:lastModifiedBy>
  <cp:lastPrinted>2014-08-08T13:46:32Z</cp:lastPrinted>
  <dcterms:created xsi:type="dcterms:W3CDTF">2011-12-09T21:54:40Z</dcterms:created>
  <dcterms:modified xsi:type="dcterms:W3CDTF">2014-11-25T14:28:27Z</dcterms:modified>
</cp:coreProperties>
</file>