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880" windowHeight="8055"/>
  </bookViews>
  <sheets>
    <sheet name="Summary" sheetId="18" r:id="rId1"/>
    <sheet name="Material" sheetId="17" r:id="rId2"/>
    <sheet name="Labor" sheetId="13" r:id="rId3"/>
    <sheet name="FNALLaborRates" sheetId="16" r:id="rId4"/>
    <sheet name="CoilTechLaborfromP6" sheetId="15" r:id="rId5"/>
    <sheet name="M&amp;S Cost Estimate for MQXF" sheetId="9" r:id="rId6"/>
    <sheet name="Cable cost MQXF  " sheetId="25" r:id="rId7"/>
    <sheet name="Coil Parts" sheetId="10" r:id="rId8"/>
    <sheet name="Winding and Curing Tooling" sheetId="11" r:id="rId9"/>
    <sheet name="Reaction and Impre. Tooling" sheetId="12" r:id="rId10"/>
    <sheet name="Testing Summary" sheetId="6" r:id="rId11"/>
    <sheet name="Test Stand" sheetId="4" r:id="rId12"/>
    <sheet name="Test Stand Details" sheetId="1" r:id="rId13"/>
    <sheet name="Operations" sheetId="5" r:id="rId14"/>
    <sheet name="Operation Details" sheetId="2" r:id="rId15"/>
    <sheet name="Cryostat - half-length" sheetId="8" r:id="rId16"/>
    <sheet name="Cryostat-Full Length" sheetId="7" r:id="rId17"/>
    <sheet name="Overheads" sheetId="3" r:id="rId18"/>
    <sheet name="QX estimate WBS Final" sheetId="23" r:id="rId19"/>
    <sheet name="LQ" sheetId="20" r:id="rId20"/>
    <sheet name="HD3" sheetId="21" r:id="rId21"/>
    <sheet name="LR" sheetId="22" r:id="rId22"/>
  </sheets>
  <externalReferences>
    <externalReference r:id="rId23"/>
    <externalReference r:id="rId24"/>
  </externalReferences>
  <definedNames>
    <definedName name="_xlnm._FilterDatabase" localSheetId="3" hidden="1">FNALLaborRates!$A$1:$Q$640</definedName>
    <definedName name="BOE">[1]Lists!$E$3:$E$7</definedName>
    <definedName name="_xlnm.Print_Area" localSheetId="2">Labor!$C$1:$P$139</definedName>
    <definedName name="_xlnm.Print_Area" localSheetId="1">Material!$A$1:$Q$47</definedName>
    <definedName name="System">[1]Lists!$A$3:$A$8</definedName>
    <definedName name="Task">[1]Lists!$C$3:$C$10</definedName>
  </definedNames>
  <calcPr calcId="145621" concurrentCalc="0"/>
  <pivotCaches>
    <pivotCache cacheId="0" r:id="rId25"/>
    <pivotCache cacheId="1" r:id="rId26"/>
  </pivotCaches>
</workbook>
</file>

<file path=xl/calcChain.xml><?xml version="1.0" encoding="utf-8"?>
<calcChain xmlns="http://schemas.openxmlformats.org/spreadsheetml/2006/main">
  <c r="G26" i="13" l="1"/>
  <c r="G25" i="13"/>
  <c r="H22" i="13"/>
  <c r="H21" i="13"/>
  <c r="H20" i="13"/>
  <c r="H19" i="13"/>
  <c r="M53" i="13"/>
  <c r="I34" i="17"/>
  <c r="I44" i="17"/>
  <c r="D8" i="18"/>
  <c r="F96" i="13"/>
  <c r="F97" i="13"/>
  <c r="F98" i="13"/>
  <c r="F92" i="13"/>
  <c r="F93" i="13"/>
  <c r="F113" i="13"/>
  <c r="F112" i="13"/>
  <c r="F111" i="13"/>
  <c r="F139" i="13"/>
  <c r="D7" i="18"/>
  <c r="D10" i="18"/>
  <c r="E40" i="17"/>
  <c r="J40" i="17"/>
  <c r="J44" i="17"/>
  <c r="E8" i="18"/>
  <c r="E11" i="17"/>
  <c r="J11" i="17"/>
  <c r="E20" i="17"/>
  <c r="J20" i="17"/>
  <c r="E21" i="17"/>
  <c r="J21" i="17"/>
  <c r="E24" i="17"/>
  <c r="J24" i="17"/>
  <c r="E25" i="17"/>
  <c r="J25" i="17"/>
  <c r="J33" i="17"/>
  <c r="J32" i="17"/>
  <c r="J43" i="17"/>
  <c r="G106" i="13"/>
  <c r="G107" i="13"/>
  <c r="G97" i="13"/>
  <c r="G98" i="13"/>
  <c r="G111" i="13"/>
  <c r="G112" i="13"/>
  <c r="G113" i="13"/>
  <c r="G123" i="13"/>
  <c r="G124" i="13"/>
  <c r="G127" i="13"/>
  <c r="G128" i="13"/>
  <c r="G139" i="13"/>
  <c r="E7" i="18"/>
  <c r="E10" i="18"/>
  <c r="K32" i="17"/>
  <c r="K43" i="17"/>
  <c r="L29" i="17"/>
  <c r="K36" i="17"/>
  <c r="K44" i="17"/>
  <c r="F8" i="18"/>
  <c r="H100" i="13"/>
  <c r="H101" i="13"/>
  <c r="H102" i="13"/>
  <c r="H103" i="13"/>
  <c r="H96" i="13"/>
  <c r="H97" i="13"/>
  <c r="H98" i="13"/>
  <c r="H111" i="13"/>
  <c r="H112" i="13"/>
  <c r="H113" i="13"/>
  <c r="H124" i="13"/>
  <c r="H123" i="13"/>
  <c r="H129" i="13"/>
  <c r="H139" i="13"/>
  <c r="F7" i="18"/>
  <c r="F10" i="18"/>
  <c r="L27" i="17"/>
  <c r="L38" i="17"/>
  <c r="L43" i="17"/>
  <c r="L40" i="17"/>
  <c r="L44" i="17"/>
  <c r="G8" i="18"/>
  <c r="I36" i="13"/>
  <c r="I117" i="13"/>
  <c r="I37" i="13"/>
  <c r="I118" i="13"/>
  <c r="I38" i="13"/>
  <c r="I119" i="13"/>
  <c r="I50" i="13"/>
  <c r="I131" i="13"/>
  <c r="I53" i="13"/>
  <c r="I134" i="13"/>
  <c r="I111" i="13"/>
  <c r="I139" i="13"/>
  <c r="G9" i="18"/>
  <c r="G10" i="18"/>
  <c r="H8" i="18"/>
  <c r="H9" i="18"/>
  <c r="H10" i="18"/>
  <c r="N31" i="17"/>
  <c r="N34" i="17"/>
  <c r="N44" i="17"/>
  <c r="I8" i="18"/>
  <c r="I9" i="18"/>
  <c r="I10" i="18"/>
  <c r="P29" i="17"/>
  <c r="O36" i="17"/>
  <c r="O44" i="17"/>
  <c r="J8" i="18"/>
  <c r="J9" i="18"/>
  <c r="J10" i="18"/>
  <c r="P27" i="17"/>
  <c r="P37" i="17"/>
  <c r="P40" i="17"/>
  <c r="P44" i="17"/>
  <c r="K8" i="18"/>
  <c r="M36" i="13"/>
  <c r="M117" i="13"/>
  <c r="M37" i="13"/>
  <c r="M118" i="13"/>
  <c r="M38" i="13"/>
  <c r="M119" i="13"/>
  <c r="M44" i="13"/>
  <c r="M125" i="13"/>
  <c r="M50" i="13"/>
  <c r="M131" i="13"/>
  <c r="M134" i="13"/>
  <c r="M139" i="13"/>
  <c r="K9" i="18"/>
  <c r="K10" i="18"/>
  <c r="L8" i="18"/>
  <c r="L9" i="18"/>
  <c r="L10" i="18"/>
  <c r="C7" i="18"/>
  <c r="C8" i="18"/>
  <c r="C10" i="18"/>
  <c r="M7" i="18"/>
  <c r="O7" i="18"/>
  <c r="M8" i="18"/>
  <c r="M9" i="18"/>
  <c r="M10" i="18"/>
  <c r="H47" i="17"/>
  <c r="I45" i="17"/>
  <c r="I46" i="17"/>
  <c r="I47" i="17"/>
  <c r="J45" i="17"/>
  <c r="J46" i="17"/>
  <c r="J47" i="17"/>
  <c r="K45" i="17"/>
  <c r="K46" i="17"/>
  <c r="K47" i="17"/>
  <c r="L45" i="17"/>
  <c r="L46" i="17"/>
  <c r="L47" i="17"/>
  <c r="M47" i="17"/>
  <c r="N45" i="17"/>
  <c r="N46" i="17"/>
  <c r="N47" i="17"/>
  <c r="O45" i="17"/>
  <c r="O46" i="17"/>
  <c r="O47" i="17"/>
  <c r="P45" i="17"/>
  <c r="P46" i="17"/>
  <c r="P47" i="17"/>
  <c r="G45" i="17"/>
  <c r="G46" i="17"/>
  <c r="G47" i="17"/>
  <c r="H46" i="17"/>
  <c r="M46" i="17"/>
  <c r="H45" i="17"/>
  <c r="M45" i="17"/>
  <c r="H43" i="17"/>
  <c r="I43" i="17"/>
  <c r="C11" i="17"/>
  <c r="C5" i="17"/>
  <c r="F11" i="17"/>
  <c r="C20" i="17"/>
  <c r="F20" i="17"/>
  <c r="C21" i="17"/>
  <c r="C24" i="17"/>
  <c r="F24" i="17"/>
  <c r="C25" i="17"/>
  <c r="F25" i="17"/>
  <c r="C33" i="17"/>
  <c r="C32" i="17"/>
  <c r="F32" i="17"/>
  <c r="C37" i="17"/>
  <c r="C38" i="17"/>
  <c r="F38" i="17"/>
  <c r="M43" i="17"/>
  <c r="N43" i="17"/>
  <c r="O43" i="17"/>
  <c r="P43" i="17"/>
  <c r="E22" i="17"/>
  <c r="F22" i="17"/>
  <c r="J22" i="17"/>
  <c r="E23" i="17"/>
  <c r="F23" i="17"/>
  <c r="J23" i="17"/>
  <c r="F40" i="17"/>
  <c r="C10" i="17"/>
  <c r="E10" i="17"/>
  <c r="F10" i="17"/>
  <c r="K10" i="17"/>
  <c r="E15" i="17"/>
  <c r="F15" i="17"/>
  <c r="K15" i="17"/>
  <c r="E17" i="17"/>
  <c r="F17" i="17"/>
  <c r="K17" i="17"/>
  <c r="E18" i="17"/>
  <c r="F18" i="17"/>
  <c r="K18" i="17"/>
  <c r="C19" i="17"/>
  <c r="E19" i="17"/>
  <c r="F19" i="17"/>
  <c r="K19" i="17"/>
  <c r="C31" i="17"/>
  <c r="F31" i="17"/>
  <c r="K31" i="17"/>
  <c r="C34" i="17"/>
  <c r="K34" i="17"/>
  <c r="C36" i="17"/>
  <c r="K40" i="17"/>
  <c r="L31" i="17"/>
  <c r="L34" i="17"/>
  <c r="L36" i="17"/>
  <c r="M31" i="17"/>
  <c r="M34" i="17"/>
  <c r="M36" i="17"/>
  <c r="C39" i="17"/>
  <c r="E39" i="17"/>
  <c r="F39" i="17"/>
  <c r="M39" i="17"/>
  <c r="M40" i="17"/>
  <c r="M44" i="17"/>
  <c r="N36" i="17"/>
  <c r="F37" i="17"/>
  <c r="N37" i="17"/>
  <c r="N40" i="17"/>
  <c r="O37" i="17"/>
  <c r="O40" i="17"/>
  <c r="G43" i="17"/>
  <c r="G44" i="17"/>
  <c r="H44" i="17"/>
  <c r="E33" i="17"/>
  <c r="H44" i="13"/>
  <c r="G38" i="13"/>
  <c r="G37" i="13"/>
  <c r="G36" i="13"/>
  <c r="H38" i="13"/>
  <c r="H37" i="13"/>
  <c r="H36" i="13"/>
  <c r="H25" i="25"/>
  <c r="H23" i="25"/>
  <c r="F19" i="25"/>
  <c r="I19" i="25"/>
  <c r="F14" i="25"/>
  <c r="F9" i="25"/>
  <c r="F7" i="25"/>
  <c r="F6" i="25"/>
  <c r="F5" i="25"/>
  <c r="F8" i="25"/>
  <c r="F15" i="25"/>
  <c r="F10" i="25"/>
  <c r="F11" i="25"/>
  <c r="F12" i="25"/>
  <c r="F24" i="25"/>
  <c r="E24" i="25"/>
  <c r="D24" i="25"/>
  <c r="H24" i="25"/>
  <c r="F13" i="25"/>
  <c r="F16" i="25"/>
  <c r="G24" i="25"/>
  <c r="C24" i="25"/>
  <c r="I12" i="25"/>
  <c r="F18" i="25"/>
  <c r="I18" i="25"/>
  <c r="I16" i="25"/>
  <c r="I20" i="25"/>
  <c r="F20" i="25"/>
  <c r="J56" i="13"/>
  <c r="K56" i="13"/>
  <c r="L56" i="13"/>
  <c r="M56" i="13"/>
  <c r="I56" i="13"/>
  <c r="L53" i="13"/>
  <c r="K53" i="13"/>
  <c r="J53" i="13"/>
  <c r="L44" i="13"/>
  <c r="K44" i="13"/>
  <c r="J44" i="13"/>
  <c r="J35" i="13"/>
  <c r="K35" i="13"/>
  <c r="L35" i="13"/>
  <c r="M35" i="13"/>
  <c r="I35" i="13"/>
  <c r="M26" i="13"/>
  <c r="L26" i="13"/>
  <c r="K26" i="13"/>
  <c r="J26" i="13"/>
  <c r="H26" i="13"/>
  <c r="I26" i="13"/>
  <c r="M25" i="13"/>
  <c r="L25" i="13"/>
  <c r="K25" i="13"/>
  <c r="J25" i="13"/>
  <c r="I25" i="13"/>
  <c r="H25" i="13"/>
  <c r="J22" i="13"/>
  <c r="I22" i="13"/>
  <c r="J21" i="13"/>
  <c r="K21" i="13"/>
  <c r="L21" i="13"/>
  <c r="M21" i="13"/>
  <c r="I21" i="13"/>
  <c r="I20" i="13"/>
  <c r="J20" i="13"/>
  <c r="K20" i="13"/>
  <c r="L20" i="13"/>
  <c r="M20" i="13"/>
  <c r="M19" i="13"/>
  <c r="K19" i="13"/>
  <c r="L19" i="13"/>
  <c r="J19" i="13"/>
  <c r="I19" i="13"/>
  <c r="G12" i="13"/>
  <c r="H12" i="13"/>
  <c r="I12" i="13"/>
  <c r="J12" i="13"/>
  <c r="K12" i="13"/>
  <c r="L12" i="13"/>
  <c r="M12" i="13"/>
  <c r="N12" i="13"/>
  <c r="G11" i="13"/>
  <c r="H11" i="13"/>
  <c r="I11" i="13"/>
  <c r="J11" i="13"/>
  <c r="K11" i="13"/>
  <c r="L11" i="13"/>
  <c r="M11" i="13"/>
  <c r="N11" i="13"/>
  <c r="M29" i="17"/>
  <c r="N29" i="17"/>
  <c r="O29" i="17"/>
  <c r="M27" i="17"/>
  <c r="N27" i="17"/>
  <c r="O27" i="17"/>
  <c r="L5" i="17"/>
  <c r="M5" i="17"/>
  <c r="L50" i="13"/>
  <c r="K50" i="13"/>
  <c r="J50" i="13"/>
  <c r="F58" i="13"/>
  <c r="G58" i="13"/>
  <c r="H58" i="13"/>
  <c r="N58" i="13"/>
  <c r="E58" i="13"/>
  <c r="M58" i="13"/>
  <c r="L36" i="13"/>
  <c r="L58" i="13"/>
  <c r="K36" i="13"/>
  <c r="K58" i="13"/>
  <c r="J36" i="13"/>
  <c r="J58" i="13"/>
  <c r="I58" i="13"/>
  <c r="L37" i="13"/>
  <c r="K37" i="13"/>
  <c r="J37" i="13"/>
  <c r="L38" i="13"/>
  <c r="K38" i="13"/>
  <c r="J38" i="13"/>
  <c r="M105" i="23"/>
  <c r="N105" i="23"/>
  <c r="N81" i="23"/>
  <c r="M81" i="23"/>
  <c r="O81" i="23"/>
  <c r="O105" i="23"/>
  <c r="O181" i="23"/>
  <c r="N181" i="23"/>
  <c r="M181" i="23"/>
  <c r="N168" i="23"/>
  <c r="O168" i="23"/>
  <c r="M168" i="23"/>
  <c r="N128" i="23"/>
  <c r="O128" i="23"/>
  <c r="M128" i="23"/>
  <c r="N59" i="23"/>
  <c r="O59" i="23"/>
  <c r="M59" i="23"/>
  <c r="N18" i="23"/>
  <c r="O18" i="23"/>
  <c r="M18" i="23"/>
  <c r="M200" i="23"/>
  <c r="R200" i="23"/>
  <c r="M199" i="23"/>
  <c r="O198" i="23"/>
  <c r="M198" i="23"/>
  <c r="R198" i="23"/>
  <c r="M197" i="23"/>
  <c r="R197" i="23"/>
  <c r="M196" i="23"/>
  <c r="R196" i="23"/>
  <c r="O195" i="23"/>
  <c r="L195" i="23"/>
  <c r="L194" i="23"/>
  <c r="O194" i="23"/>
  <c r="S193" i="23"/>
  <c r="M192" i="23"/>
  <c r="R192" i="23"/>
  <c r="S190" i="23"/>
  <c r="N189" i="23"/>
  <c r="M189" i="23"/>
  <c r="R189" i="23"/>
  <c r="S188" i="23"/>
  <c r="M187" i="23"/>
  <c r="R187" i="23"/>
  <c r="O186" i="23"/>
  <c r="L186" i="23"/>
  <c r="O185" i="23"/>
  <c r="L185" i="23"/>
  <c r="S184" i="23"/>
  <c r="N183" i="23"/>
  <c r="M183" i="23"/>
  <c r="N182" i="23"/>
  <c r="M182" i="23"/>
  <c r="S181" i="23"/>
  <c r="J181" i="23"/>
  <c r="M180" i="23"/>
  <c r="L180" i="23"/>
  <c r="O180" i="23"/>
  <c r="M179" i="23"/>
  <c r="L179" i="23"/>
  <c r="O179" i="23"/>
  <c r="L178" i="23"/>
  <c r="O178" i="23"/>
  <c r="M177" i="23"/>
  <c r="L177" i="23"/>
  <c r="O177" i="23"/>
  <c r="M176" i="23"/>
  <c r="L176" i="23"/>
  <c r="O176" i="23"/>
  <c r="O175" i="23"/>
  <c r="L175" i="23"/>
  <c r="O174" i="23"/>
  <c r="M174" i="23"/>
  <c r="L174" i="23"/>
  <c r="O173" i="23"/>
  <c r="L173" i="23"/>
  <c r="L172" i="23"/>
  <c r="O172" i="23"/>
  <c r="L171" i="23"/>
  <c r="O171" i="23"/>
  <c r="M170" i="23"/>
  <c r="L170" i="23"/>
  <c r="O170" i="23"/>
  <c r="O169" i="23"/>
  <c r="L169" i="23"/>
  <c r="S168" i="23"/>
  <c r="J168" i="23"/>
  <c r="L167" i="23"/>
  <c r="O167" i="23"/>
  <c r="L166" i="23"/>
  <c r="O166" i="23"/>
  <c r="O165" i="23"/>
  <c r="L165" i="23"/>
  <c r="O164" i="23"/>
  <c r="N164" i="23"/>
  <c r="L164" i="23"/>
  <c r="O163" i="23"/>
  <c r="L163" i="23"/>
  <c r="L162" i="23"/>
  <c r="O162" i="23"/>
  <c r="L161" i="23"/>
  <c r="O161" i="23"/>
  <c r="O160" i="23"/>
  <c r="L160" i="23"/>
  <c r="O158" i="23"/>
  <c r="M158" i="23"/>
  <c r="R158" i="23"/>
  <c r="L158" i="23"/>
  <c r="O156" i="23"/>
  <c r="N156" i="23"/>
  <c r="L156" i="23"/>
  <c r="S155" i="23"/>
  <c r="N154" i="23"/>
  <c r="L154" i="23"/>
  <c r="O154" i="23"/>
  <c r="L153" i="23"/>
  <c r="O153" i="23"/>
  <c r="O152" i="23"/>
  <c r="L152" i="23"/>
  <c r="S151" i="23"/>
  <c r="S149" i="23"/>
  <c r="N148" i="23"/>
  <c r="L148" i="23"/>
  <c r="O148" i="23"/>
  <c r="L147" i="23"/>
  <c r="O147" i="23"/>
  <c r="L146" i="23"/>
  <c r="O146" i="23"/>
  <c r="O144" i="23"/>
  <c r="N144" i="23"/>
  <c r="L144" i="23"/>
  <c r="S141" i="23"/>
  <c r="S139" i="23"/>
  <c r="O138" i="23"/>
  <c r="N138" i="23"/>
  <c r="L138" i="23"/>
  <c r="L137" i="23"/>
  <c r="O137" i="23"/>
  <c r="L136" i="23"/>
  <c r="O136" i="23"/>
  <c r="N134" i="23"/>
  <c r="L134" i="23"/>
  <c r="O134" i="23"/>
  <c r="S131" i="23"/>
  <c r="S129" i="23"/>
  <c r="J128" i="23"/>
  <c r="O127" i="23"/>
  <c r="N127" i="23"/>
  <c r="L127" i="23"/>
  <c r="L124" i="23"/>
  <c r="O124" i="23"/>
  <c r="N120" i="23"/>
  <c r="L120" i="23"/>
  <c r="O120" i="23"/>
  <c r="L118" i="23"/>
  <c r="O118" i="23"/>
  <c r="L116" i="23"/>
  <c r="O116" i="23"/>
  <c r="O115" i="23"/>
  <c r="L115" i="23"/>
  <c r="O113" i="23"/>
  <c r="N113" i="23"/>
  <c r="M113" i="23"/>
  <c r="L113" i="23"/>
  <c r="O111" i="23"/>
  <c r="M111" i="23"/>
  <c r="L111" i="23"/>
  <c r="L109" i="23"/>
  <c r="L108" i="23"/>
  <c r="O108" i="23"/>
  <c r="O107" i="23"/>
  <c r="L107" i="23"/>
  <c r="S105" i="23"/>
  <c r="L104" i="23"/>
  <c r="O104" i="23"/>
  <c r="S102" i="23"/>
  <c r="L101" i="23"/>
  <c r="O101" i="23"/>
  <c r="S100" i="23"/>
  <c r="S98" i="23"/>
  <c r="S99" i="23"/>
  <c r="S96" i="23"/>
  <c r="R96" i="23"/>
  <c r="S93" i="23"/>
  <c r="S90" i="23"/>
  <c r="R90" i="23"/>
  <c r="L89" i="23"/>
  <c r="O89" i="23"/>
  <c r="S88" i="23"/>
  <c r="S87" i="23"/>
  <c r="O86" i="23"/>
  <c r="M86" i="23"/>
  <c r="L86" i="23"/>
  <c r="O85" i="23"/>
  <c r="L85" i="23"/>
  <c r="S84" i="23"/>
  <c r="S83" i="23"/>
  <c r="J81" i="23"/>
  <c r="L78" i="23"/>
  <c r="O78" i="23"/>
  <c r="O77" i="23"/>
  <c r="L77" i="23"/>
  <c r="Q76" i="23"/>
  <c r="Q75" i="23"/>
  <c r="L74" i="23"/>
  <c r="O74" i="23"/>
  <c r="Q72" i="23"/>
  <c r="L71" i="23"/>
  <c r="O71" i="23"/>
  <c r="Q69" i="23"/>
  <c r="Q67" i="23"/>
  <c r="P67" i="23"/>
  <c r="Q65" i="23"/>
  <c r="P65" i="23"/>
  <c r="O64" i="23"/>
  <c r="L64" i="23"/>
  <c r="Q63" i="23"/>
  <c r="M62" i="23"/>
  <c r="L62" i="23"/>
  <c r="O62" i="23"/>
  <c r="Q60" i="23"/>
  <c r="Q59" i="23"/>
  <c r="J59" i="23"/>
  <c r="N57" i="23"/>
  <c r="M56" i="23"/>
  <c r="P56" i="23"/>
  <c r="N54" i="23"/>
  <c r="M53" i="23"/>
  <c r="N51" i="23"/>
  <c r="N50" i="23"/>
  <c r="M50" i="23"/>
  <c r="P50" i="23"/>
  <c r="M49" i="23"/>
  <c r="N47" i="23"/>
  <c r="N46" i="23"/>
  <c r="N45" i="23"/>
  <c r="M45" i="23"/>
  <c r="N43" i="23"/>
  <c r="N42" i="23"/>
  <c r="M42" i="23"/>
  <c r="P42" i="23"/>
  <c r="N41" i="23"/>
  <c r="N40" i="23"/>
  <c r="M40" i="23"/>
  <c r="P40" i="23"/>
  <c r="N38" i="23"/>
  <c r="M38" i="23"/>
  <c r="P38" i="23"/>
  <c r="N37" i="23"/>
  <c r="M37" i="23"/>
  <c r="P37" i="23"/>
  <c r="N36" i="23"/>
  <c r="N35" i="23"/>
  <c r="M35" i="23"/>
  <c r="P35" i="23"/>
  <c r="N33" i="23"/>
  <c r="P32" i="23"/>
  <c r="N32" i="23"/>
  <c r="N31" i="23"/>
  <c r="P30" i="23"/>
  <c r="N30" i="23"/>
  <c r="N29" i="23"/>
  <c r="N27" i="23"/>
  <c r="M26" i="23"/>
  <c r="P26" i="23"/>
  <c r="N24" i="23"/>
  <c r="M24" i="23"/>
  <c r="P24" i="23"/>
  <c r="N23" i="23"/>
  <c r="M23" i="23"/>
  <c r="P23" i="23"/>
  <c r="P22" i="23"/>
  <c r="N22" i="23"/>
  <c r="M22" i="23"/>
  <c r="N21" i="23"/>
  <c r="M21" i="23"/>
  <c r="N19" i="23"/>
  <c r="M19" i="23"/>
  <c r="I18" i="23"/>
  <c r="H18" i="23"/>
  <c r="Q7" i="23"/>
  <c r="P7" i="23"/>
  <c r="O7" i="23"/>
  <c r="R185" i="23"/>
  <c r="Q5" i="23"/>
  <c r="S128" i="23"/>
  <c r="R188" i="23"/>
  <c r="S81" i="23"/>
  <c r="R180" i="23"/>
  <c r="P55" i="23"/>
  <c r="R179" i="23"/>
  <c r="P19" i="23"/>
  <c r="P47" i="23"/>
  <c r="P31" i="23"/>
  <c r="P71" i="23"/>
  <c r="P69" i="23"/>
  <c r="R124" i="23"/>
  <c r="R138" i="23"/>
  <c r="R164" i="23"/>
  <c r="P27" i="23"/>
  <c r="P25" i="23"/>
  <c r="P46" i="23"/>
  <c r="P57" i="23"/>
  <c r="P74" i="23"/>
  <c r="P72" i="23"/>
  <c r="R89" i="23"/>
  <c r="R87" i="23"/>
  <c r="R101" i="23"/>
  <c r="R98" i="23"/>
  <c r="R118" i="23"/>
  <c r="R120" i="23"/>
  <c r="R136" i="23"/>
  <c r="R147" i="23"/>
  <c r="R148" i="23"/>
  <c r="R162" i="23"/>
  <c r="R167" i="23"/>
  <c r="R172" i="23"/>
  <c r="R195" i="23"/>
  <c r="P36" i="23"/>
  <c r="P34" i="23"/>
  <c r="P41" i="23"/>
  <c r="P39" i="23"/>
  <c r="P49" i="23"/>
  <c r="P53" i="23"/>
  <c r="P62" i="23"/>
  <c r="P60" i="23"/>
  <c r="P78" i="23"/>
  <c r="R104" i="23"/>
  <c r="R102" i="23"/>
  <c r="R108" i="23"/>
  <c r="R116" i="23"/>
  <c r="R134" i="23"/>
  <c r="R146" i="23"/>
  <c r="R153" i="23"/>
  <c r="R154" i="23"/>
  <c r="R161" i="23"/>
  <c r="R166" i="23"/>
  <c r="R171" i="23"/>
  <c r="R178" i="23"/>
  <c r="R194" i="23"/>
  <c r="R193" i="23"/>
  <c r="R199" i="23"/>
  <c r="P21" i="23"/>
  <c r="P20" i="23"/>
  <c r="P43" i="23"/>
  <c r="P51" i="23"/>
  <c r="P64" i="23"/>
  <c r="P63" i="23"/>
  <c r="P77" i="23"/>
  <c r="R85" i="23"/>
  <c r="R86" i="23"/>
  <c r="R107" i="23"/>
  <c r="R105" i="23"/>
  <c r="R111" i="23"/>
  <c r="R115" i="23"/>
  <c r="R144" i="23"/>
  <c r="R139" i="23"/>
  <c r="R152" i="23"/>
  <c r="R149" i="23"/>
  <c r="R160" i="23"/>
  <c r="R165" i="23"/>
  <c r="R169" i="23"/>
  <c r="R170" i="23"/>
  <c r="R175" i="23"/>
  <c r="R176" i="23"/>
  <c r="R177" i="23"/>
  <c r="R183" i="23"/>
  <c r="R186" i="23"/>
  <c r="R184" i="23"/>
  <c r="P45" i="23"/>
  <c r="P44" i="23"/>
  <c r="P29" i="23"/>
  <c r="P33" i="23"/>
  <c r="P54" i="23"/>
  <c r="R113" i="23"/>
  <c r="R127" i="23"/>
  <c r="R137" i="23"/>
  <c r="R156" i="23"/>
  <c r="R163" i="23"/>
  <c r="R173" i="23"/>
  <c r="R174" i="23"/>
  <c r="R182" i="23"/>
  <c r="O126" i="13"/>
  <c r="O130" i="13"/>
  <c r="O20" i="13"/>
  <c r="O21" i="13"/>
  <c r="O22" i="13"/>
  <c r="O19" i="13"/>
  <c r="O56" i="13"/>
  <c r="O49" i="13"/>
  <c r="O53" i="13"/>
  <c r="O35" i="13"/>
  <c r="O31" i="13"/>
  <c r="O32" i="13"/>
  <c r="O30" i="13"/>
  <c r="O16" i="13"/>
  <c r="O17" i="13"/>
  <c r="O15" i="13"/>
  <c r="O12" i="13"/>
  <c r="O11" i="13"/>
  <c r="O38" i="13"/>
  <c r="O37" i="13"/>
  <c r="R168" i="23"/>
  <c r="R83" i="23"/>
  <c r="R81" i="23"/>
  <c r="R181" i="23"/>
  <c r="R155" i="23"/>
  <c r="P75" i="23"/>
  <c r="P59" i="23"/>
  <c r="P52" i="23"/>
  <c r="P48" i="23"/>
  <c r="R129" i="23"/>
  <c r="P28" i="23"/>
  <c r="P18" i="23"/>
  <c r="O36" i="13"/>
  <c r="F61" i="13"/>
  <c r="F71" i="13"/>
  <c r="F119" i="13"/>
  <c r="G61" i="13"/>
  <c r="G71" i="13"/>
  <c r="G119" i="13"/>
  <c r="H61" i="13"/>
  <c r="H71" i="13"/>
  <c r="I61" i="13"/>
  <c r="I71" i="13"/>
  <c r="J61" i="13"/>
  <c r="J71" i="13"/>
  <c r="K61" i="13"/>
  <c r="K71" i="13"/>
  <c r="K119" i="13"/>
  <c r="L61" i="13"/>
  <c r="L71" i="13"/>
  <c r="L119" i="13"/>
  <c r="M61" i="13"/>
  <c r="M71" i="13"/>
  <c r="N61" i="13"/>
  <c r="N71" i="13"/>
  <c r="N102" i="13"/>
  <c r="E61" i="13"/>
  <c r="E71" i="13"/>
  <c r="E119" i="13"/>
  <c r="F73" i="13"/>
  <c r="G73" i="13"/>
  <c r="H73" i="13"/>
  <c r="I73" i="13"/>
  <c r="I113" i="13"/>
  <c r="J73" i="13"/>
  <c r="J113" i="13"/>
  <c r="K73" i="13"/>
  <c r="K113" i="13"/>
  <c r="L73" i="13"/>
  <c r="L113" i="13"/>
  <c r="M73" i="13"/>
  <c r="M113" i="13"/>
  <c r="N73" i="13"/>
  <c r="N113" i="13"/>
  <c r="E73" i="13"/>
  <c r="E113" i="13"/>
  <c r="F62" i="13"/>
  <c r="F72" i="13"/>
  <c r="F117" i="13"/>
  <c r="G62" i="13"/>
  <c r="G72" i="13"/>
  <c r="G117" i="13"/>
  <c r="H62" i="13"/>
  <c r="H72" i="13"/>
  <c r="H117" i="13"/>
  <c r="I62" i="13"/>
  <c r="I72" i="13"/>
  <c r="I124" i="13"/>
  <c r="J62" i="13"/>
  <c r="J72" i="13"/>
  <c r="J117" i="13"/>
  <c r="K62" i="13"/>
  <c r="K72" i="13"/>
  <c r="L62" i="13"/>
  <c r="L72" i="13"/>
  <c r="L117" i="13"/>
  <c r="M62" i="13"/>
  <c r="M72" i="13"/>
  <c r="M112" i="13"/>
  <c r="N62" i="13"/>
  <c r="N72" i="13"/>
  <c r="N117" i="13"/>
  <c r="E62" i="13"/>
  <c r="E72" i="13"/>
  <c r="E117" i="13"/>
  <c r="E68" i="13"/>
  <c r="E78" i="13"/>
  <c r="F68" i="13"/>
  <c r="F78" i="13"/>
  <c r="G68" i="13"/>
  <c r="G78" i="13"/>
  <c r="H68" i="13"/>
  <c r="H78" i="13"/>
  <c r="I68" i="13"/>
  <c r="I78" i="13"/>
  <c r="J68" i="13"/>
  <c r="J78" i="13"/>
  <c r="J92" i="13"/>
  <c r="K68" i="13"/>
  <c r="K78" i="13"/>
  <c r="L68" i="13"/>
  <c r="L78" i="13"/>
  <c r="L92" i="13"/>
  <c r="M68" i="13"/>
  <c r="M78" i="13"/>
  <c r="N68" i="13"/>
  <c r="N78" i="13"/>
  <c r="N92" i="13"/>
  <c r="F35" i="17"/>
  <c r="E32" i="17"/>
  <c r="F65" i="13"/>
  <c r="F75" i="13"/>
  <c r="F118" i="13"/>
  <c r="F64" i="13"/>
  <c r="F74" i="13"/>
  <c r="F101" i="13"/>
  <c r="F66" i="13"/>
  <c r="F76" i="13"/>
  <c r="F106" i="13"/>
  <c r="F67" i="13"/>
  <c r="F77" i="13"/>
  <c r="F107" i="13"/>
  <c r="G65" i="13"/>
  <c r="G75" i="13"/>
  <c r="G118" i="13"/>
  <c r="G64" i="13"/>
  <c r="G74" i="13"/>
  <c r="G101" i="13"/>
  <c r="G66" i="13"/>
  <c r="G76" i="13"/>
  <c r="G67" i="13"/>
  <c r="G77" i="13"/>
  <c r="E65" i="13"/>
  <c r="E75" i="13"/>
  <c r="E118" i="13"/>
  <c r="E64" i="13"/>
  <c r="E74" i="13"/>
  <c r="E101" i="13"/>
  <c r="E66" i="13"/>
  <c r="E76" i="13"/>
  <c r="E106" i="13"/>
  <c r="E67" i="13"/>
  <c r="E77" i="13"/>
  <c r="E107" i="13"/>
  <c r="E125" i="13"/>
  <c r="H65" i="13"/>
  <c r="H75" i="13"/>
  <c r="H64" i="13"/>
  <c r="H74" i="13"/>
  <c r="H66" i="13"/>
  <c r="H76" i="13"/>
  <c r="H106" i="13"/>
  <c r="H67" i="13"/>
  <c r="H77" i="13"/>
  <c r="H107" i="13"/>
  <c r="I65" i="13"/>
  <c r="I75" i="13"/>
  <c r="I64" i="13"/>
  <c r="I74" i="13"/>
  <c r="I101" i="13"/>
  <c r="I66" i="13"/>
  <c r="I76" i="13"/>
  <c r="I106" i="13"/>
  <c r="I67" i="13"/>
  <c r="I77" i="13"/>
  <c r="I107" i="13"/>
  <c r="J65" i="13"/>
  <c r="J75" i="13"/>
  <c r="J118" i="13"/>
  <c r="J64" i="13"/>
  <c r="J74" i="13"/>
  <c r="J101" i="13"/>
  <c r="J102" i="13"/>
  <c r="J66" i="13"/>
  <c r="J76" i="13"/>
  <c r="J106" i="13"/>
  <c r="J67" i="13"/>
  <c r="J77" i="13"/>
  <c r="J107" i="13"/>
  <c r="J137" i="13"/>
  <c r="K65" i="13"/>
  <c r="K75" i="13"/>
  <c r="K134" i="13"/>
  <c r="K64" i="13"/>
  <c r="K74" i="13"/>
  <c r="K101" i="13"/>
  <c r="K66" i="13"/>
  <c r="K76" i="13"/>
  <c r="K106" i="13"/>
  <c r="K67" i="13"/>
  <c r="K77" i="13"/>
  <c r="K107" i="13"/>
  <c r="K125" i="13"/>
  <c r="L65" i="13"/>
  <c r="L75" i="13"/>
  <c r="L64" i="13"/>
  <c r="L74" i="13"/>
  <c r="L101" i="13"/>
  <c r="L66" i="13"/>
  <c r="L76" i="13"/>
  <c r="L106" i="13"/>
  <c r="L67" i="13"/>
  <c r="L77" i="13"/>
  <c r="L107" i="13"/>
  <c r="L125" i="13"/>
  <c r="M65" i="13"/>
  <c r="M75" i="13"/>
  <c r="M64" i="13"/>
  <c r="M74" i="13"/>
  <c r="M101" i="13"/>
  <c r="M103" i="13"/>
  <c r="M66" i="13"/>
  <c r="M76" i="13"/>
  <c r="M106" i="13"/>
  <c r="M67" i="13"/>
  <c r="M77" i="13"/>
  <c r="M107" i="13"/>
  <c r="N65" i="13"/>
  <c r="N75" i="13"/>
  <c r="N64" i="13"/>
  <c r="N74" i="13"/>
  <c r="N101" i="13"/>
  <c r="N66" i="13"/>
  <c r="N76" i="13"/>
  <c r="N106" i="13"/>
  <c r="N67" i="13"/>
  <c r="N77" i="13"/>
  <c r="N107" i="13"/>
  <c r="N127" i="13"/>
  <c r="E12" i="17"/>
  <c r="E14" i="17"/>
  <c r="P5" i="17"/>
  <c r="O5" i="17"/>
  <c r="N5" i="17"/>
  <c r="K5" i="17"/>
  <c r="J5" i="17"/>
  <c r="I5" i="17"/>
  <c r="H5" i="17"/>
  <c r="E34" i="17"/>
  <c r="E35" i="17"/>
  <c r="E36" i="17"/>
  <c r="O25" i="13"/>
  <c r="O26" i="13"/>
  <c r="J133" i="12"/>
  <c r="J131" i="12"/>
  <c r="AA70" i="12"/>
  <c r="Z70" i="12"/>
  <c r="R70" i="12"/>
  <c r="Q70" i="12"/>
  <c r="J70" i="12"/>
  <c r="I70" i="12"/>
  <c r="AB64" i="12"/>
  <c r="J64" i="12"/>
  <c r="I64" i="12"/>
  <c r="E64" i="12"/>
  <c r="AB62" i="12"/>
  <c r="J62" i="12"/>
  <c r="I62" i="12"/>
  <c r="E62" i="12"/>
  <c r="AB61" i="12"/>
  <c r="I61" i="12"/>
  <c r="E61" i="12"/>
  <c r="AB60" i="12"/>
  <c r="J60" i="12"/>
  <c r="I60" i="12"/>
  <c r="E60" i="12"/>
  <c r="AB59" i="12"/>
  <c r="J59" i="12"/>
  <c r="I59" i="12"/>
  <c r="E59" i="12"/>
  <c r="AB58" i="12"/>
  <c r="J58" i="12"/>
  <c r="I58" i="12"/>
  <c r="E58" i="12"/>
  <c r="AB57" i="12"/>
  <c r="J57" i="12"/>
  <c r="I57" i="12"/>
  <c r="E57" i="12"/>
  <c r="AB56" i="12"/>
  <c r="J56" i="12"/>
  <c r="I56" i="12"/>
  <c r="E56" i="12"/>
  <c r="AB55" i="12"/>
  <c r="J55" i="12"/>
  <c r="I55" i="12"/>
  <c r="E55" i="12"/>
  <c r="AB54" i="12"/>
  <c r="J54" i="12"/>
  <c r="I54" i="12"/>
  <c r="E54" i="12"/>
  <c r="AB53" i="12"/>
  <c r="J53" i="12"/>
  <c r="I53" i="12"/>
  <c r="E53" i="12"/>
  <c r="AB52" i="12"/>
  <c r="J52" i="12"/>
  <c r="I52" i="12"/>
  <c r="E52" i="12"/>
  <c r="AB51" i="12"/>
  <c r="I51" i="12"/>
  <c r="AB50" i="12"/>
  <c r="J50" i="12"/>
  <c r="I50" i="12"/>
  <c r="E50" i="12"/>
  <c r="AB49" i="12"/>
  <c r="J49" i="12"/>
  <c r="I49" i="12"/>
  <c r="E49" i="12"/>
  <c r="AB48" i="12"/>
  <c r="J48" i="12"/>
  <c r="I48" i="12"/>
  <c r="E48" i="12"/>
  <c r="AB47" i="12"/>
  <c r="I47" i="12"/>
  <c r="AB46" i="12"/>
  <c r="J46" i="12"/>
  <c r="I46" i="12"/>
  <c r="E46" i="12"/>
  <c r="AB45" i="12"/>
  <c r="J45" i="12"/>
  <c r="I45" i="12"/>
  <c r="E45" i="12"/>
  <c r="AB44" i="12"/>
  <c r="J44" i="12"/>
  <c r="I44" i="12"/>
  <c r="AB43" i="12"/>
  <c r="I43" i="12"/>
  <c r="AB42" i="12"/>
  <c r="J42" i="12"/>
  <c r="I42" i="12"/>
  <c r="E42" i="12"/>
  <c r="AB40" i="12"/>
  <c r="E40" i="12"/>
  <c r="AB39" i="12"/>
  <c r="E39" i="12"/>
  <c r="AB38" i="12"/>
  <c r="E38" i="12"/>
  <c r="AB37" i="12"/>
  <c r="E37" i="12"/>
  <c r="AB36" i="12"/>
  <c r="E36" i="12"/>
  <c r="AB35" i="12"/>
  <c r="E35" i="12"/>
  <c r="AB34" i="12"/>
  <c r="E34" i="12"/>
  <c r="AB33" i="12"/>
  <c r="E33" i="12"/>
  <c r="AB32" i="12"/>
  <c r="E32" i="12"/>
  <c r="AB31" i="12"/>
  <c r="E31" i="12"/>
  <c r="AB30" i="12"/>
  <c r="E30" i="12"/>
  <c r="AB29" i="12"/>
  <c r="E29" i="12"/>
  <c r="AB28" i="12"/>
  <c r="E28" i="12"/>
  <c r="AB27" i="12"/>
  <c r="E27" i="12"/>
  <c r="AB26" i="12"/>
  <c r="E26" i="12"/>
  <c r="AB25" i="12"/>
  <c r="E25" i="12"/>
  <c r="AB24" i="12"/>
  <c r="E24" i="12"/>
  <c r="AB23" i="12"/>
  <c r="E23" i="12"/>
  <c r="AB22" i="12"/>
  <c r="E22" i="12"/>
  <c r="AB21" i="12"/>
  <c r="E21" i="12"/>
  <c r="E20" i="12"/>
  <c r="J19" i="12"/>
  <c r="I19" i="12"/>
  <c r="E19" i="12"/>
  <c r="AB17" i="12"/>
  <c r="J17" i="12"/>
  <c r="I17" i="12"/>
  <c r="E17" i="12"/>
  <c r="AB16" i="12"/>
  <c r="J16" i="12"/>
  <c r="I16" i="12"/>
  <c r="E16" i="12"/>
  <c r="AB15" i="12"/>
  <c r="J15" i="12"/>
  <c r="E15" i="12"/>
  <c r="AB14" i="12"/>
  <c r="J14" i="12"/>
  <c r="E14" i="12"/>
  <c r="AB13" i="12"/>
  <c r="J13" i="12"/>
  <c r="E13" i="12"/>
  <c r="W11" i="12"/>
  <c r="N11" i="12"/>
  <c r="F11" i="12"/>
  <c r="J40" i="12"/>
  <c r="I40" i="12"/>
  <c r="G175" i="11"/>
  <c r="G165" i="11"/>
  <c r="G176" i="11"/>
  <c r="F115" i="11"/>
  <c r="G115" i="11"/>
  <c r="G116" i="11"/>
  <c r="T91" i="11"/>
  <c r="U91" i="11"/>
  <c r="N91" i="11"/>
  <c r="O91" i="11"/>
  <c r="F91" i="11"/>
  <c r="G91" i="11"/>
  <c r="U87" i="11"/>
  <c r="O87" i="11"/>
  <c r="G87" i="11"/>
  <c r="U81" i="11"/>
  <c r="O81" i="11"/>
  <c r="U80" i="11"/>
  <c r="O80" i="11"/>
  <c r="U78" i="11"/>
  <c r="O78" i="11"/>
  <c r="I30" i="11"/>
  <c r="I29" i="11"/>
  <c r="I28" i="11"/>
  <c r="I27" i="11"/>
  <c r="I26" i="11"/>
  <c r="I25" i="11"/>
  <c r="I31" i="11"/>
  <c r="S2" i="11"/>
  <c r="M2" i="11"/>
  <c r="F2" i="11"/>
  <c r="E68" i="10"/>
  <c r="I67" i="10"/>
  <c r="J67" i="10"/>
  <c r="I66" i="10"/>
  <c r="J66" i="10"/>
  <c r="I65" i="10"/>
  <c r="J65" i="10"/>
  <c r="I64" i="10"/>
  <c r="J64" i="10"/>
  <c r="I63" i="10"/>
  <c r="J63" i="10"/>
  <c r="I62" i="10"/>
  <c r="J62" i="10"/>
  <c r="I61" i="10"/>
  <c r="J61" i="10"/>
  <c r="N60" i="10"/>
  <c r="J60" i="10"/>
  <c r="I60" i="10"/>
  <c r="S59" i="10"/>
  <c r="R59" i="10"/>
  <c r="J59" i="10"/>
  <c r="I59" i="10"/>
  <c r="S58" i="10"/>
  <c r="R58" i="10"/>
  <c r="J58" i="10"/>
  <c r="I58" i="10"/>
  <c r="S57" i="10"/>
  <c r="R57" i="10"/>
  <c r="J57" i="10"/>
  <c r="I57" i="10"/>
  <c r="S56" i="10"/>
  <c r="R56" i="10"/>
  <c r="J56" i="10"/>
  <c r="I56" i="10"/>
  <c r="S55" i="10"/>
  <c r="R55" i="10"/>
  <c r="J55" i="10"/>
  <c r="I55" i="10"/>
  <c r="S54" i="10"/>
  <c r="R54" i="10"/>
  <c r="J54" i="10"/>
  <c r="I54" i="10"/>
  <c r="S53" i="10"/>
  <c r="R53" i="10"/>
  <c r="J53" i="10"/>
  <c r="I53" i="10"/>
  <c r="S52" i="10"/>
  <c r="R52" i="10"/>
  <c r="J52" i="10"/>
  <c r="I52" i="10"/>
  <c r="S51" i="10"/>
  <c r="R51" i="10"/>
  <c r="J51" i="10"/>
  <c r="I51" i="10"/>
  <c r="S50" i="10"/>
  <c r="R50" i="10"/>
  <c r="J50" i="10"/>
  <c r="I50" i="10"/>
  <c r="S49" i="10"/>
  <c r="R49" i="10"/>
  <c r="J49" i="10"/>
  <c r="I49" i="10"/>
  <c r="S48" i="10"/>
  <c r="R48" i="10"/>
  <c r="J48" i="10"/>
  <c r="I48" i="10"/>
  <c r="S47" i="10"/>
  <c r="R47" i="10"/>
  <c r="J47" i="10"/>
  <c r="I47" i="10"/>
  <c r="S46" i="10"/>
  <c r="R46" i="10"/>
  <c r="J46" i="10"/>
  <c r="I46" i="10"/>
  <c r="S45" i="10"/>
  <c r="R45" i="10"/>
  <c r="J45" i="10"/>
  <c r="I45" i="10"/>
  <c r="S44" i="10"/>
  <c r="R44" i="10"/>
  <c r="J44" i="10"/>
  <c r="I44" i="10"/>
  <c r="S43" i="10"/>
  <c r="R43" i="10"/>
  <c r="S42" i="10"/>
  <c r="S60" i="10"/>
  <c r="R42" i="10"/>
  <c r="R60" i="10"/>
  <c r="J42" i="10"/>
  <c r="J68" i="10"/>
  <c r="I42" i="10"/>
  <c r="I68" i="10"/>
  <c r="P34" i="10"/>
  <c r="M34" i="10"/>
  <c r="G34" i="10"/>
  <c r="D34" i="10"/>
  <c r="S29" i="10"/>
  <c r="R29" i="10"/>
  <c r="J29" i="10"/>
  <c r="I29" i="10"/>
  <c r="S28" i="10"/>
  <c r="R28" i="10"/>
  <c r="J28" i="10"/>
  <c r="I28" i="10"/>
  <c r="I27" i="10"/>
  <c r="J27" i="10"/>
  <c r="J26" i="10"/>
  <c r="I26" i="10"/>
  <c r="O2" i="10"/>
  <c r="F2" i="10"/>
  <c r="G7" i="9"/>
  <c r="D7" i="9"/>
  <c r="C7" i="9"/>
  <c r="G5" i="9"/>
  <c r="D5" i="9"/>
  <c r="C5" i="9"/>
  <c r="C3" i="9"/>
  <c r="M25" i="10"/>
  <c r="R25" i="10"/>
  <c r="S25" i="10"/>
  <c r="M24" i="10"/>
  <c r="R24" i="10"/>
  <c r="S24" i="10"/>
  <c r="N23" i="10"/>
  <c r="E23" i="10"/>
  <c r="N22" i="10"/>
  <c r="E22" i="10"/>
  <c r="N21" i="10"/>
  <c r="E21" i="10"/>
  <c r="N20" i="10"/>
  <c r="E20" i="10"/>
  <c r="N19" i="10"/>
  <c r="E19" i="10"/>
  <c r="N18" i="10"/>
  <c r="E18" i="10"/>
  <c r="N17" i="10"/>
  <c r="E17" i="10"/>
  <c r="N16" i="10"/>
  <c r="E16" i="10"/>
  <c r="N15" i="10"/>
  <c r="E15" i="10"/>
  <c r="N14" i="10"/>
  <c r="E14" i="10"/>
  <c r="N13" i="10"/>
  <c r="E13" i="10"/>
  <c r="N12" i="10"/>
  <c r="E12" i="10"/>
  <c r="N11" i="10"/>
  <c r="E11" i="10"/>
  <c r="N10" i="10"/>
  <c r="E10" i="10"/>
  <c r="N9" i="10"/>
  <c r="E9" i="10"/>
  <c r="N8" i="10"/>
  <c r="N30" i="10"/>
  <c r="E8" i="10"/>
  <c r="N7" i="10"/>
  <c r="E7" i="10"/>
  <c r="D25" i="10"/>
  <c r="I25" i="10"/>
  <c r="J25" i="10"/>
  <c r="D24" i="10"/>
  <c r="I24" i="10"/>
  <c r="J24" i="10"/>
  <c r="M23" i="10"/>
  <c r="R23" i="10"/>
  <c r="S23" i="10"/>
  <c r="D23" i="10"/>
  <c r="I23" i="10"/>
  <c r="J23" i="10"/>
  <c r="M22" i="10"/>
  <c r="R22" i="10"/>
  <c r="S22" i="10"/>
  <c r="D22" i="10"/>
  <c r="I22" i="10"/>
  <c r="J22" i="10"/>
  <c r="M21" i="10"/>
  <c r="R21" i="10"/>
  <c r="S21" i="10"/>
  <c r="D21" i="10"/>
  <c r="I21" i="10"/>
  <c r="J21" i="10"/>
  <c r="M20" i="10"/>
  <c r="R20" i="10"/>
  <c r="S20" i="10"/>
  <c r="D20" i="10"/>
  <c r="I20" i="10"/>
  <c r="J20" i="10"/>
  <c r="M19" i="10"/>
  <c r="R19" i="10"/>
  <c r="S19" i="10"/>
  <c r="D19" i="10"/>
  <c r="I19" i="10"/>
  <c r="J19" i="10"/>
  <c r="M18" i="10"/>
  <c r="R18" i="10"/>
  <c r="S18" i="10"/>
  <c r="D18" i="10"/>
  <c r="I18" i="10"/>
  <c r="J18" i="10"/>
  <c r="M17" i="10"/>
  <c r="R17" i="10"/>
  <c r="S17" i="10"/>
  <c r="D17" i="10"/>
  <c r="I17" i="10"/>
  <c r="J17" i="10"/>
  <c r="M16" i="10"/>
  <c r="R16" i="10"/>
  <c r="S16" i="10"/>
  <c r="D16" i="10"/>
  <c r="I16" i="10"/>
  <c r="J16" i="10"/>
  <c r="M15" i="10"/>
  <c r="R15" i="10"/>
  <c r="S15" i="10"/>
  <c r="D15" i="10"/>
  <c r="I15" i="10"/>
  <c r="J15" i="10"/>
  <c r="M14" i="10"/>
  <c r="R14" i="10"/>
  <c r="S14" i="10"/>
  <c r="D14" i="10"/>
  <c r="I14" i="10"/>
  <c r="J14" i="10"/>
  <c r="M13" i="10"/>
  <c r="R13" i="10"/>
  <c r="S13" i="10"/>
  <c r="D13" i="10"/>
  <c r="I13" i="10"/>
  <c r="J13" i="10"/>
  <c r="M12" i="10"/>
  <c r="R12" i="10"/>
  <c r="S12" i="10"/>
  <c r="D12" i="10"/>
  <c r="I12" i="10"/>
  <c r="J12" i="10"/>
  <c r="M11" i="10"/>
  <c r="R11" i="10"/>
  <c r="S11" i="10"/>
  <c r="D11" i="10"/>
  <c r="I11" i="10"/>
  <c r="J11" i="10"/>
  <c r="M10" i="10"/>
  <c r="R10" i="10"/>
  <c r="S10" i="10"/>
  <c r="D10" i="10"/>
  <c r="I10" i="10"/>
  <c r="J10" i="10"/>
  <c r="M9" i="10"/>
  <c r="R9" i="10"/>
  <c r="S9" i="10"/>
  <c r="D9" i="10"/>
  <c r="I9" i="10"/>
  <c r="J9" i="10"/>
  <c r="M8" i="10"/>
  <c r="R8" i="10"/>
  <c r="S8" i="10"/>
  <c r="D8" i="10"/>
  <c r="I8" i="10"/>
  <c r="J8" i="10"/>
  <c r="D4" i="10"/>
  <c r="I4" i="10"/>
  <c r="M4" i="10"/>
  <c r="R4" i="10"/>
  <c r="E5" i="10"/>
  <c r="D6" i="10"/>
  <c r="I6" i="10"/>
  <c r="M6" i="10"/>
  <c r="R6" i="10"/>
  <c r="S6" i="10"/>
  <c r="D7" i="10"/>
  <c r="I7" i="10"/>
  <c r="J7" i="10"/>
  <c r="M7" i="10"/>
  <c r="R7" i="10"/>
  <c r="S7" i="10"/>
  <c r="M27" i="10"/>
  <c r="R27" i="10"/>
  <c r="S27" i="10"/>
  <c r="Q26" i="10"/>
  <c r="R26" i="10"/>
  <c r="S26" i="10"/>
  <c r="E4" i="10"/>
  <c r="N4" i="10"/>
  <c r="N5" i="10"/>
  <c r="E6" i="10"/>
  <c r="N6" i="10"/>
  <c r="T86" i="11"/>
  <c r="U86" i="11"/>
  <c r="N86" i="11"/>
  <c r="O86" i="11"/>
  <c r="F86" i="11"/>
  <c r="O85" i="11"/>
  <c r="G84" i="11"/>
  <c r="G83" i="11"/>
  <c r="G82" i="11"/>
  <c r="G81" i="11"/>
  <c r="U79" i="11"/>
  <c r="G79" i="11"/>
  <c r="G77" i="11"/>
  <c r="G75" i="11"/>
  <c r="G74" i="11"/>
  <c r="G73" i="11"/>
  <c r="G72" i="11"/>
  <c r="G71" i="11"/>
  <c r="G69" i="11"/>
  <c r="F68" i="11"/>
  <c r="F67" i="11"/>
  <c r="F66" i="11"/>
  <c r="F65" i="11"/>
  <c r="G86" i="11"/>
  <c r="U85" i="11"/>
  <c r="G85" i="11"/>
  <c r="T84" i="11"/>
  <c r="U84" i="11"/>
  <c r="N84" i="11"/>
  <c r="O84" i="11"/>
  <c r="F84" i="11"/>
  <c r="T83" i="11"/>
  <c r="U83" i="11"/>
  <c r="N83" i="11"/>
  <c r="O83" i="11"/>
  <c r="F83" i="11"/>
  <c r="T82" i="11"/>
  <c r="U82" i="11"/>
  <c r="N82" i="11"/>
  <c r="O82" i="11"/>
  <c r="F82" i="11"/>
  <c r="O79" i="11"/>
  <c r="G78" i="11"/>
  <c r="T77" i="11"/>
  <c r="U77" i="11"/>
  <c r="N77" i="11"/>
  <c r="O77" i="11"/>
  <c r="F77" i="11"/>
  <c r="F75" i="11"/>
  <c r="F74" i="11"/>
  <c r="F73" i="11"/>
  <c r="F72" i="11"/>
  <c r="G70" i="11"/>
  <c r="G68" i="11"/>
  <c r="G67" i="11"/>
  <c r="G66" i="11"/>
  <c r="G65" i="11"/>
  <c r="G64" i="11"/>
  <c r="G63" i="11"/>
  <c r="G62" i="11"/>
  <c r="F61" i="11"/>
  <c r="F60" i="11"/>
  <c r="F59" i="11"/>
  <c r="F58" i="11"/>
  <c r="F57" i="11"/>
  <c r="F56" i="11"/>
  <c r="G5" i="11"/>
  <c r="G6" i="11"/>
  <c r="F8" i="11"/>
  <c r="F9" i="11"/>
  <c r="G10" i="11"/>
  <c r="G11" i="11"/>
  <c r="G12" i="11"/>
  <c r="G13" i="11"/>
  <c r="G14" i="11"/>
  <c r="G15" i="11"/>
  <c r="G16" i="11"/>
  <c r="F18" i="11"/>
  <c r="G19" i="11"/>
  <c r="G20" i="11"/>
  <c r="G21" i="11"/>
  <c r="G36" i="11"/>
  <c r="T36" i="11"/>
  <c r="U36" i="11"/>
  <c r="G37" i="11"/>
  <c r="G39" i="11"/>
  <c r="G41" i="11"/>
  <c r="F43" i="11"/>
  <c r="F44" i="11"/>
  <c r="G45" i="11"/>
  <c r="G47" i="11"/>
  <c r="G48" i="11"/>
  <c r="G49" i="11"/>
  <c r="G50" i="11"/>
  <c r="G52" i="11"/>
  <c r="G54" i="11"/>
  <c r="G55" i="11"/>
  <c r="G57" i="11"/>
  <c r="G59" i="11"/>
  <c r="G61" i="11"/>
  <c r="F64" i="11"/>
  <c r="F5" i="11"/>
  <c r="F6" i="11"/>
  <c r="G7" i="11"/>
  <c r="G8" i="11"/>
  <c r="G9" i="11"/>
  <c r="F11" i="11"/>
  <c r="F12" i="11"/>
  <c r="F13" i="11"/>
  <c r="F14" i="11"/>
  <c r="F15" i="11"/>
  <c r="F16" i="11"/>
  <c r="G17" i="11"/>
  <c r="G18" i="11"/>
  <c r="F20" i="11"/>
  <c r="F21" i="11"/>
  <c r="G35" i="11"/>
  <c r="F37" i="11"/>
  <c r="G38" i="11"/>
  <c r="G40" i="11"/>
  <c r="G42" i="11"/>
  <c r="T42" i="11"/>
  <c r="U42" i="11"/>
  <c r="G43" i="11"/>
  <c r="G44" i="11"/>
  <c r="G46" i="11"/>
  <c r="F48" i="11"/>
  <c r="F49" i="11"/>
  <c r="F50" i="11"/>
  <c r="G51" i="11"/>
  <c r="G53" i="11"/>
  <c r="F55" i="11"/>
  <c r="G56" i="11"/>
  <c r="G58" i="11"/>
  <c r="G60" i="11"/>
  <c r="F63" i="11"/>
  <c r="G80" i="11"/>
  <c r="I13" i="12"/>
  <c r="I14" i="12"/>
  <c r="I15" i="12"/>
  <c r="N16" i="12"/>
  <c r="S16" i="12"/>
  <c r="N19" i="12"/>
  <c r="N20" i="12"/>
  <c r="N62" i="12"/>
  <c r="S62" i="12"/>
  <c r="N60" i="12"/>
  <c r="S60" i="12"/>
  <c r="N59" i="12"/>
  <c r="S59" i="12"/>
  <c r="N58" i="12"/>
  <c r="S58" i="12"/>
  <c r="N57" i="12"/>
  <c r="S57" i="12"/>
  <c r="N56" i="12"/>
  <c r="S56" i="12"/>
  <c r="N55" i="12"/>
  <c r="S55" i="12"/>
  <c r="N54" i="12"/>
  <c r="S54" i="12"/>
  <c r="N53" i="12"/>
  <c r="S53" i="12"/>
  <c r="N52" i="12"/>
  <c r="S52" i="12"/>
  <c r="N51" i="12"/>
  <c r="S51" i="12"/>
  <c r="N50" i="12"/>
  <c r="S50" i="12"/>
  <c r="N49" i="12"/>
  <c r="S49" i="12"/>
  <c r="N48" i="12"/>
  <c r="S48" i="12"/>
  <c r="N47" i="12"/>
  <c r="S47" i="12"/>
  <c r="N46" i="12"/>
  <c r="S46" i="12"/>
  <c r="N45" i="12"/>
  <c r="S45" i="12"/>
  <c r="N44" i="12"/>
  <c r="S44" i="12"/>
  <c r="N43" i="12"/>
  <c r="S43" i="12"/>
  <c r="N13" i="12"/>
  <c r="S13" i="12"/>
  <c r="N14" i="12"/>
  <c r="S14" i="12"/>
  <c r="N15" i="12"/>
  <c r="S15" i="12"/>
  <c r="N17" i="12"/>
  <c r="S17" i="12"/>
  <c r="R19" i="12"/>
  <c r="AA19" i="12"/>
  <c r="AB19" i="12"/>
  <c r="AB67" i="12"/>
  <c r="G6" i="9"/>
  <c r="N21" i="12"/>
  <c r="S21" i="12"/>
  <c r="N22" i="12"/>
  <c r="S22" i="12"/>
  <c r="N23" i="12"/>
  <c r="S23" i="12"/>
  <c r="N24" i="12"/>
  <c r="S24" i="12"/>
  <c r="N25" i="12"/>
  <c r="S25" i="12"/>
  <c r="N26" i="12"/>
  <c r="S26" i="12"/>
  <c r="N27" i="12"/>
  <c r="S27" i="12"/>
  <c r="N28" i="12"/>
  <c r="S28" i="12"/>
  <c r="N29" i="12"/>
  <c r="S29" i="12"/>
  <c r="N30" i="12"/>
  <c r="S30" i="12"/>
  <c r="N31" i="12"/>
  <c r="S31" i="12"/>
  <c r="N32" i="12"/>
  <c r="S32" i="12"/>
  <c r="N33" i="12"/>
  <c r="S33" i="12"/>
  <c r="N34" i="12"/>
  <c r="S34" i="12"/>
  <c r="N35" i="12"/>
  <c r="S35" i="12"/>
  <c r="N36" i="12"/>
  <c r="S36" i="12"/>
  <c r="N37" i="12"/>
  <c r="S37" i="12"/>
  <c r="N38" i="12"/>
  <c r="S38" i="12"/>
  <c r="N39" i="12"/>
  <c r="S39" i="12"/>
  <c r="N40" i="12"/>
  <c r="S40" i="12"/>
  <c r="N42" i="12"/>
  <c r="S42" i="12"/>
  <c r="N61" i="12"/>
  <c r="S61" i="12"/>
  <c r="N64" i="12"/>
  <c r="S64" i="12"/>
  <c r="J20" i="12"/>
  <c r="I20" i="12"/>
  <c r="R20" i="12"/>
  <c r="AA20" i="12"/>
  <c r="AB20" i="12"/>
  <c r="J21" i="12"/>
  <c r="I21" i="12"/>
  <c r="J22" i="12"/>
  <c r="I22" i="12"/>
  <c r="J23" i="12"/>
  <c r="I23" i="12"/>
  <c r="J24" i="12"/>
  <c r="I24" i="12"/>
  <c r="J25" i="12"/>
  <c r="I25" i="12"/>
  <c r="J26" i="12"/>
  <c r="I26" i="12"/>
  <c r="J27" i="12"/>
  <c r="I27" i="12"/>
  <c r="J28" i="12"/>
  <c r="I28" i="12"/>
  <c r="J29" i="12"/>
  <c r="I29" i="12"/>
  <c r="J30" i="12"/>
  <c r="I30" i="12"/>
  <c r="J31" i="12"/>
  <c r="I31" i="12"/>
  <c r="J32" i="12"/>
  <c r="I32" i="12"/>
  <c r="J33" i="12"/>
  <c r="I33" i="12"/>
  <c r="J34" i="12"/>
  <c r="I34" i="12"/>
  <c r="J35" i="12"/>
  <c r="I35" i="12"/>
  <c r="J36" i="12"/>
  <c r="I36" i="12"/>
  <c r="J37" i="12"/>
  <c r="I37" i="12"/>
  <c r="J38" i="12"/>
  <c r="I38" i="12"/>
  <c r="J39" i="12"/>
  <c r="I39" i="12"/>
  <c r="S19" i="12"/>
  <c r="J67" i="12"/>
  <c r="C6" i="9"/>
  <c r="T58" i="11"/>
  <c r="U58" i="11"/>
  <c r="N58" i="11"/>
  <c r="O58" i="11"/>
  <c r="T51" i="11"/>
  <c r="U51" i="11"/>
  <c r="N51" i="11"/>
  <c r="O51" i="11"/>
  <c r="T46" i="11"/>
  <c r="U46" i="11"/>
  <c r="N46" i="11"/>
  <c r="O46" i="11"/>
  <c r="T43" i="11"/>
  <c r="U43" i="11"/>
  <c r="N43" i="11"/>
  <c r="O43" i="11"/>
  <c r="T40" i="11"/>
  <c r="U40" i="11"/>
  <c r="N40" i="11"/>
  <c r="O40" i="11"/>
  <c r="T61" i="11"/>
  <c r="U61" i="11"/>
  <c r="N61" i="11"/>
  <c r="O61" i="11"/>
  <c r="T57" i="11"/>
  <c r="U57" i="11"/>
  <c r="N57" i="11"/>
  <c r="O57" i="11"/>
  <c r="T54" i="11"/>
  <c r="U54" i="11"/>
  <c r="N54" i="11"/>
  <c r="O54" i="11"/>
  <c r="T50" i="11"/>
  <c r="U50" i="11"/>
  <c r="N50" i="11"/>
  <c r="O50" i="11"/>
  <c r="T48" i="11"/>
  <c r="U48" i="11"/>
  <c r="N48" i="11"/>
  <c r="O48" i="11"/>
  <c r="T45" i="11"/>
  <c r="U45" i="11"/>
  <c r="N45" i="11"/>
  <c r="O45" i="11"/>
  <c r="T41" i="11"/>
  <c r="U41" i="11"/>
  <c r="N41" i="11"/>
  <c r="O41" i="11"/>
  <c r="T37" i="11"/>
  <c r="U37" i="11"/>
  <c r="N37" i="11"/>
  <c r="O37" i="11"/>
  <c r="G22" i="11"/>
  <c r="C2" i="9"/>
  <c r="T63" i="11"/>
  <c r="U63" i="11"/>
  <c r="N63" i="11"/>
  <c r="O63" i="11"/>
  <c r="T65" i="11"/>
  <c r="U65" i="11"/>
  <c r="N65" i="11"/>
  <c r="O65" i="11"/>
  <c r="T67" i="11"/>
  <c r="U67" i="11"/>
  <c r="N67" i="11"/>
  <c r="O67" i="11"/>
  <c r="T70" i="11"/>
  <c r="U70" i="11"/>
  <c r="N70" i="11"/>
  <c r="O70" i="11"/>
  <c r="T69" i="11"/>
  <c r="U69" i="11"/>
  <c r="N69" i="11"/>
  <c r="O69" i="11"/>
  <c r="T72" i="11"/>
  <c r="U72" i="11"/>
  <c r="N72" i="11"/>
  <c r="O72" i="11"/>
  <c r="T74" i="11"/>
  <c r="U74" i="11"/>
  <c r="N74" i="11"/>
  <c r="O74" i="11"/>
  <c r="E30" i="10"/>
  <c r="J6" i="10"/>
  <c r="R30" i="10"/>
  <c r="S4" i="10"/>
  <c r="S30" i="10"/>
  <c r="S67" i="12"/>
  <c r="D6" i="9"/>
  <c r="S20" i="12"/>
  <c r="T60" i="11"/>
  <c r="U60" i="11"/>
  <c r="N60" i="11"/>
  <c r="O60" i="11"/>
  <c r="T56" i="11"/>
  <c r="U56" i="11"/>
  <c r="N56" i="11"/>
  <c r="O56" i="11"/>
  <c r="T53" i="11"/>
  <c r="U53" i="11"/>
  <c r="N53" i="11"/>
  <c r="O53" i="11"/>
  <c r="T44" i="11"/>
  <c r="U44" i="11"/>
  <c r="N44" i="11"/>
  <c r="O44" i="11"/>
  <c r="T38" i="11"/>
  <c r="U38" i="11"/>
  <c r="N38" i="11"/>
  <c r="O38" i="11"/>
  <c r="G88" i="11"/>
  <c r="C4" i="9"/>
  <c r="T35" i="11"/>
  <c r="U35" i="11"/>
  <c r="N35" i="11"/>
  <c r="O35" i="11"/>
  <c r="T59" i="11"/>
  <c r="U59" i="11"/>
  <c r="N59" i="11"/>
  <c r="O59" i="11"/>
  <c r="T55" i="11"/>
  <c r="U55" i="11"/>
  <c r="N55" i="11"/>
  <c r="O55" i="11"/>
  <c r="T52" i="11"/>
  <c r="U52" i="11"/>
  <c r="N52" i="11"/>
  <c r="O52" i="11"/>
  <c r="T49" i="11"/>
  <c r="U49" i="11"/>
  <c r="N49" i="11"/>
  <c r="O49" i="11"/>
  <c r="T47" i="11"/>
  <c r="U47" i="11"/>
  <c r="N47" i="11"/>
  <c r="O47" i="11"/>
  <c r="N42" i="11"/>
  <c r="O42" i="11"/>
  <c r="T39" i="11"/>
  <c r="U39" i="11"/>
  <c r="N39" i="11"/>
  <c r="O39" i="11"/>
  <c r="N62" i="11"/>
  <c r="O62" i="11"/>
  <c r="T62" i="11"/>
  <c r="U62" i="11"/>
  <c r="T64" i="11"/>
  <c r="U64" i="11"/>
  <c r="N64" i="11"/>
  <c r="O64" i="11"/>
  <c r="T66" i="11"/>
  <c r="U66" i="11"/>
  <c r="N66" i="11"/>
  <c r="O66" i="11"/>
  <c r="T68" i="11"/>
  <c r="U68" i="11"/>
  <c r="N68" i="11"/>
  <c r="O68" i="11"/>
  <c r="T71" i="11"/>
  <c r="U71" i="11"/>
  <c r="N71" i="11"/>
  <c r="O71" i="11"/>
  <c r="T73" i="11"/>
  <c r="U73" i="11"/>
  <c r="N73" i="11"/>
  <c r="O73" i="11"/>
  <c r="T75" i="11"/>
  <c r="U75" i="11"/>
  <c r="N75" i="11"/>
  <c r="O75" i="11"/>
  <c r="N36" i="11"/>
  <c r="O36" i="11"/>
  <c r="I30" i="10"/>
  <c r="J4" i="10"/>
  <c r="J30" i="10"/>
  <c r="C9" i="9"/>
  <c r="O88" i="11"/>
  <c r="U88" i="11"/>
  <c r="D9" i="9"/>
  <c r="G9" i="9"/>
  <c r="C8" i="9"/>
  <c r="C10" i="9"/>
  <c r="G4" i="9"/>
  <c r="G8" i="9"/>
  <c r="G10" i="9"/>
  <c r="D4" i="9"/>
  <c r="D8" i="9"/>
  <c r="D10" i="9"/>
  <c r="C12" i="5"/>
  <c r="E12" i="4"/>
  <c r="J34" i="8"/>
  <c r="J34" i="7"/>
  <c r="B9" i="6"/>
  <c r="G56" i="8"/>
  <c r="B6" i="6"/>
  <c r="C6" i="6"/>
  <c r="C52" i="8"/>
  <c r="C51" i="8"/>
  <c r="C50" i="8"/>
  <c r="C49" i="8"/>
  <c r="C43" i="8"/>
  <c r="C42" i="8"/>
  <c r="C41" i="8"/>
  <c r="C40" i="8"/>
  <c r="C39" i="8"/>
  <c r="C38" i="8"/>
  <c r="G40" i="8"/>
  <c r="G41" i="8"/>
  <c r="G42" i="8"/>
  <c r="G43" i="8"/>
  <c r="K56" i="8"/>
  <c r="G12" i="8"/>
  <c r="I12" i="8"/>
  <c r="J12" i="8"/>
  <c r="G13" i="8"/>
  <c r="I13" i="8"/>
  <c r="J13" i="8"/>
  <c r="G14" i="8"/>
  <c r="I14" i="8"/>
  <c r="J14" i="8"/>
  <c r="G15" i="8"/>
  <c r="I15" i="8"/>
  <c r="J15" i="8"/>
  <c r="G16" i="8"/>
  <c r="I16" i="8"/>
  <c r="J16" i="8"/>
  <c r="G17" i="8"/>
  <c r="I17" i="8"/>
  <c r="J17" i="8"/>
  <c r="G18" i="8"/>
  <c r="I18" i="8"/>
  <c r="J18" i="8"/>
  <c r="G19" i="8"/>
  <c r="I19" i="8"/>
  <c r="J19" i="8"/>
  <c r="G20" i="8"/>
  <c r="I20" i="8"/>
  <c r="J20" i="8"/>
  <c r="G21" i="8"/>
  <c r="I21" i="8"/>
  <c r="J21" i="8"/>
  <c r="G22" i="8"/>
  <c r="I22" i="8"/>
  <c r="J22" i="8"/>
  <c r="G23" i="8"/>
  <c r="I23" i="8"/>
  <c r="J23" i="8"/>
  <c r="G24" i="8"/>
  <c r="I24" i="8"/>
  <c r="J24" i="8"/>
  <c r="G27" i="8"/>
  <c r="I27" i="8"/>
  <c r="J27" i="8"/>
  <c r="N37" i="8"/>
  <c r="O37" i="8"/>
  <c r="P37" i="8"/>
  <c r="N38" i="8"/>
  <c r="O38" i="8"/>
  <c r="P38" i="8"/>
  <c r="N39" i="8"/>
  <c r="O39" i="8"/>
  <c r="P39" i="8"/>
  <c r="N40" i="8"/>
  <c r="O40" i="8"/>
  <c r="P40" i="8"/>
  <c r="P41" i="8"/>
  <c r="F28" i="8"/>
  <c r="G28" i="8"/>
  <c r="I28" i="8"/>
  <c r="J28" i="8"/>
  <c r="G29" i="8"/>
  <c r="I29" i="8"/>
  <c r="J29" i="8"/>
  <c r="G30" i="8"/>
  <c r="I30" i="8"/>
  <c r="J30" i="8"/>
  <c r="G31" i="8"/>
  <c r="I31" i="8"/>
  <c r="J31" i="8"/>
  <c r="J33" i="8"/>
  <c r="G38" i="8"/>
  <c r="G39" i="8"/>
  <c r="G45" i="8"/>
  <c r="G49" i="8"/>
  <c r="G50" i="8"/>
  <c r="G51" i="8"/>
  <c r="G52" i="8"/>
  <c r="G54" i="8"/>
  <c r="N41" i="8"/>
  <c r="G33" i="8"/>
  <c r="C18" i="5"/>
  <c r="B18" i="5"/>
  <c r="C14" i="5"/>
  <c r="C16" i="5"/>
  <c r="D16" i="5"/>
  <c r="C19" i="5"/>
  <c r="B19" i="5"/>
  <c r="C17" i="5"/>
  <c r="B17" i="5"/>
  <c r="D17" i="5"/>
  <c r="D18" i="5"/>
  <c r="D6" i="6"/>
  <c r="G56" i="7"/>
  <c r="C52" i="7"/>
  <c r="G52" i="7"/>
  <c r="C51" i="7"/>
  <c r="C50" i="7"/>
  <c r="G50" i="7"/>
  <c r="C49" i="7"/>
  <c r="G49" i="7"/>
  <c r="C43" i="7"/>
  <c r="C42" i="7"/>
  <c r="G42" i="7"/>
  <c r="C41" i="7"/>
  <c r="G41" i="7"/>
  <c r="K56" i="7"/>
  <c r="D9" i="6"/>
  <c r="C40" i="7"/>
  <c r="G40" i="7"/>
  <c r="C39" i="7"/>
  <c r="G39" i="7"/>
  <c r="C38" i="7"/>
  <c r="G38" i="7"/>
  <c r="D6" i="3"/>
  <c r="D7" i="3"/>
  <c r="D5" i="3"/>
  <c r="G51" i="7"/>
  <c r="G43" i="7"/>
  <c r="O40" i="7"/>
  <c r="P40" i="7"/>
  <c r="N40" i="7"/>
  <c r="O39" i="7"/>
  <c r="P39" i="7"/>
  <c r="N39" i="7"/>
  <c r="O38" i="7"/>
  <c r="P38" i="7"/>
  <c r="N38" i="7"/>
  <c r="O37" i="7"/>
  <c r="P37" i="7"/>
  <c r="P41" i="7"/>
  <c r="F28" i="7"/>
  <c r="G28" i="7"/>
  <c r="J28" i="7"/>
  <c r="N37" i="7"/>
  <c r="N41" i="7"/>
  <c r="J31" i="7"/>
  <c r="I31" i="7"/>
  <c r="G31" i="7"/>
  <c r="I30" i="7"/>
  <c r="J30" i="7"/>
  <c r="G30" i="7"/>
  <c r="I29" i="7"/>
  <c r="G29" i="7"/>
  <c r="J29" i="7"/>
  <c r="I28" i="7"/>
  <c r="I27" i="7"/>
  <c r="G27" i="7"/>
  <c r="J27" i="7"/>
  <c r="J24" i="7"/>
  <c r="I24" i="7"/>
  <c r="G24" i="7"/>
  <c r="I23" i="7"/>
  <c r="J23" i="7"/>
  <c r="G23" i="7"/>
  <c r="I22" i="7"/>
  <c r="G22" i="7"/>
  <c r="J22" i="7"/>
  <c r="I21" i="7"/>
  <c r="G21" i="7"/>
  <c r="J21" i="7"/>
  <c r="J20" i="7"/>
  <c r="I20" i="7"/>
  <c r="G20" i="7"/>
  <c r="I19" i="7"/>
  <c r="J19" i="7"/>
  <c r="G19" i="7"/>
  <c r="I18" i="7"/>
  <c r="G18" i="7"/>
  <c r="J18" i="7"/>
  <c r="I17" i="7"/>
  <c r="G17" i="7"/>
  <c r="J17" i="7"/>
  <c r="J16" i="7"/>
  <c r="I16" i="7"/>
  <c r="G16" i="7"/>
  <c r="I15" i="7"/>
  <c r="J15" i="7"/>
  <c r="G15" i="7"/>
  <c r="I14" i="7"/>
  <c r="G14" i="7"/>
  <c r="J14" i="7"/>
  <c r="I13" i="7"/>
  <c r="G13" i="7"/>
  <c r="J13" i="7"/>
  <c r="J12" i="7"/>
  <c r="I12" i="7"/>
  <c r="G12" i="7"/>
  <c r="G54" i="7"/>
  <c r="G45" i="7"/>
  <c r="J33" i="7"/>
  <c r="G33" i="7"/>
  <c r="C7" i="6"/>
  <c r="E14" i="4"/>
  <c r="C5" i="6"/>
  <c r="C22" i="5"/>
  <c r="B13" i="5"/>
  <c r="D13" i="4"/>
  <c r="C13" i="4"/>
  <c r="B13" i="4"/>
  <c r="C6" i="3"/>
  <c r="C7" i="3"/>
  <c r="C5" i="3"/>
  <c r="B14" i="5"/>
  <c r="D14" i="4"/>
  <c r="B14" i="4"/>
  <c r="C14" i="4"/>
  <c r="B5" i="6"/>
  <c r="D5" i="6"/>
  <c r="F14" i="4"/>
  <c r="B21" i="5"/>
  <c r="B8" i="6"/>
  <c r="C21" i="5"/>
  <c r="C8" i="6"/>
  <c r="D14" i="5"/>
  <c r="B16" i="5"/>
  <c r="H4" i="4"/>
  <c r="H5" i="4"/>
  <c r="D8" i="6"/>
  <c r="D7" i="6"/>
  <c r="D10" i="6"/>
  <c r="B22" i="5"/>
  <c r="B7" i="6"/>
  <c r="D19" i="5"/>
  <c r="D22" i="5"/>
  <c r="K42" i="1"/>
  <c r="K44" i="1"/>
  <c r="K45" i="1"/>
  <c r="K46" i="1"/>
  <c r="K48" i="1"/>
  <c r="I41" i="1"/>
  <c r="K41" i="1"/>
  <c r="K32" i="1"/>
  <c r="K34" i="1"/>
  <c r="K35" i="1"/>
  <c r="K36" i="1"/>
  <c r="K37" i="1"/>
  <c r="K38" i="1"/>
  <c r="K31" i="1"/>
  <c r="D21" i="5"/>
  <c r="E31" i="17"/>
  <c r="E37" i="17"/>
  <c r="C26" i="17"/>
  <c r="E26" i="17"/>
  <c r="R128" i="23"/>
  <c r="O43" i="13"/>
  <c r="M98" i="13"/>
  <c r="O113" i="13"/>
  <c r="O50" i="13"/>
  <c r="O48" i="13"/>
  <c r="O46" i="13"/>
  <c r="O47" i="13"/>
  <c r="L134" i="13"/>
  <c r="L118" i="13"/>
  <c r="O107" i="13"/>
  <c r="O44" i="13"/>
  <c r="F123" i="13"/>
  <c r="O42" i="13"/>
  <c r="K112" i="13"/>
  <c r="K117" i="13"/>
  <c r="N134" i="13"/>
  <c r="N118" i="13"/>
  <c r="H125" i="13"/>
  <c r="H118" i="13"/>
  <c r="O106" i="13"/>
  <c r="N96" i="13"/>
  <c r="N119" i="13"/>
  <c r="J96" i="13"/>
  <c r="J119" i="13"/>
  <c r="O101" i="13"/>
  <c r="K118" i="13"/>
  <c r="H119" i="13"/>
  <c r="O119" i="13"/>
  <c r="K103" i="13"/>
  <c r="I103" i="13"/>
  <c r="I98" i="13"/>
  <c r="M128" i="13"/>
  <c r="M124" i="13"/>
  <c r="M97" i="13"/>
  <c r="K128" i="13"/>
  <c r="K124" i="13"/>
  <c r="K97" i="13"/>
  <c r="E98" i="13"/>
  <c r="K98" i="13"/>
  <c r="G134" i="13"/>
  <c r="G100" i="13"/>
  <c r="G131" i="13"/>
  <c r="G92" i="13"/>
  <c r="G137" i="13"/>
  <c r="G116" i="13"/>
  <c r="G93" i="13"/>
  <c r="G96" i="13"/>
  <c r="G102" i="13"/>
  <c r="N137" i="13"/>
  <c r="N123" i="13"/>
  <c r="L137" i="13"/>
  <c r="J127" i="13"/>
  <c r="J123" i="13"/>
  <c r="G125" i="13"/>
  <c r="H128" i="13"/>
  <c r="E116" i="13"/>
  <c r="E111" i="13"/>
  <c r="E96" i="13"/>
  <c r="E123" i="13"/>
  <c r="E127" i="13"/>
  <c r="E93" i="13"/>
  <c r="E102" i="13"/>
  <c r="N98" i="13"/>
  <c r="L98" i="13"/>
  <c r="J98" i="13"/>
  <c r="J134" i="13"/>
  <c r="J125" i="13"/>
  <c r="L112" i="13"/>
  <c r="L97" i="13"/>
  <c r="L124" i="13"/>
  <c r="L128" i="13"/>
  <c r="L103" i="13"/>
  <c r="K92" i="13"/>
  <c r="K137" i="13"/>
  <c r="K116" i="13"/>
  <c r="K111" i="13"/>
  <c r="K123" i="13"/>
  <c r="K93" i="13"/>
  <c r="K96" i="13"/>
  <c r="K102" i="13"/>
  <c r="K127" i="13"/>
  <c r="H131" i="13"/>
  <c r="M92" i="13"/>
  <c r="M137" i="13"/>
  <c r="E92" i="13"/>
  <c r="E137" i="13"/>
  <c r="N112" i="13"/>
  <c r="N97" i="13"/>
  <c r="N124" i="13"/>
  <c r="N128" i="13"/>
  <c r="N103" i="13"/>
  <c r="F103" i="13"/>
  <c r="M116" i="13"/>
  <c r="M96" i="13"/>
  <c r="M123" i="13"/>
  <c r="M127" i="13"/>
  <c r="M111" i="13"/>
  <c r="M93" i="13"/>
  <c r="M102" i="13"/>
  <c r="I129" i="13"/>
  <c r="I92" i="13"/>
  <c r="I137" i="13"/>
  <c r="E112" i="13"/>
  <c r="E103" i="13"/>
  <c r="E128" i="13"/>
  <c r="E97" i="13"/>
  <c r="E124" i="13"/>
  <c r="J112" i="13"/>
  <c r="J97" i="13"/>
  <c r="J124" i="13"/>
  <c r="J128" i="13"/>
  <c r="J103" i="13"/>
  <c r="I116" i="13"/>
  <c r="I123" i="13"/>
  <c r="I127" i="13"/>
  <c r="I93" i="13"/>
  <c r="I96" i="13"/>
  <c r="I102" i="13"/>
  <c r="N129" i="13"/>
  <c r="F124" i="13"/>
  <c r="L131" i="13"/>
  <c r="K131" i="13"/>
  <c r="J131" i="13"/>
  <c r="G129" i="13"/>
  <c r="F128" i="13"/>
  <c r="F127" i="13"/>
  <c r="H134" i="13"/>
  <c r="E134" i="13"/>
  <c r="E129" i="13"/>
  <c r="H137" i="13"/>
  <c r="H92" i="13"/>
  <c r="I97" i="13"/>
  <c r="I112" i="13"/>
  <c r="L116" i="13"/>
  <c r="L111" i="13"/>
  <c r="L93" i="13"/>
  <c r="H127" i="13"/>
  <c r="H116" i="13"/>
  <c r="H93" i="13"/>
  <c r="N131" i="13"/>
  <c r="N125" i="13"/>
  <c r="N100" i="13"/>
  <c r="M129" i="13"/>
  <c r="M100" i="13"/>
  <c r="L129" i="13"/>
  <c r="L127" i="13"/>
  <c r="L123" i="13"/>
  <c r="L102" i="13"/>
  <c r="L100" i="13"/>
  <c r="L96" i="13"/>
  <c r="K129" i="13"/>
  <c r="K100" i="13"/>
  <c r="J129" i="13"/>
  <c r="J100" i="13"/>
  <c r="I128" i="13"/>
  <c r="I125" i="13"/>
  <c r="I100" i="13"/>
  <c r="E131" i="13"/>
  <c r="E100" i="13"/>
  <c r="F134" i="13"/>
  <c r="F129" i="13"/>
  <c r="F100" i="13"/>
  <c r="F125" i="13"/>
  <c r="F131" i="13"/>
  <c r="F137" i="13"/>
  <c r="G103" i="13"/>
  <c r="N116" i="13"/>
  <c r="N111" i="13"/>
  <c r="N93" i="13"/>
  <c r="J116" i="13"/>
  <c r="J111" i="13"/>
  <c r="J93" i="13"/>
  <c r="F116" i="13"/>
  <c r="F102" i="13"/>
  <c r="E38" i="17"/>
  <c r="O58" i="13"/>
  <c r="O125" i="13"/>
  <c r="O117" i="13"/>
  <c r="O128" i="13"/>
  <c r="O93" i="13"/>
  <c r="O111" i="13"/>
  <c r="O98" i="13"/>
  <c r="O103" i="13"/>
  <c r="O127" i="13"/>
  <c r="O116" i="13"/>
  <c r="O118" i="13"/>
  <c r="O100" i="13"/>
  <c r="O124" i="13"/>
  <c r="O112" i="13"/>
  <c r="O137" i="13"/>
  <c r="O123" i="13"/>
  <c r="O131" i="13"/>
  <c r="O97" i="13"/>
  <c r="O92" i="13"/>
  <c r="O102" i="13"/>
  <c r="O96" i="13"/>
  <c r="O129" i="13"/>
  <c r="K139" i="13"/>
  <c r="L139" i="13"/>
  <c r="N139" i="13"/>
  <c r="E139" i="13"/>
  <c r="J139" i="13"/>
  <c r="O134" i="13"/>
  <c r="O141" i="13"/>
  <c r="O139" i="13"/>
  <c r="O8" i="18"/>
  <c r="Q47" i="17"/>
  <c r="O9" i="18"/>
  <c r="O10" i="18"/>
</calcChain>
</file>

<file path=xl/sharedStrings.xml><?xml version="1.0" encoding="utf-8"?>
<sst xmlns="http://schemas.openxmlformats.org/spreadsheetml/2006/main" count="4741" uniqueCount="1796">
  <si>
    <t>DIRECT ESTIMATE ONLY</t>
  </si>
  <si>
    <t>FULLY LOADED ESTIMATE</t>
  </si>
  <si>
    <t>NEW ITEMS</t>
  </si>
  <si>
    <t>LABOR</t>
  </si>
  <si>
    <t>MATERIALS</t>
  </si>
  <si>
    <t>SCHEDULE</t>
  </si>
  <si>
    <t>Worksheet "A" Breakdown</t>
  </si>
  <si>
    <t>Category</t>
  </si>
  <si>
    <t>System</t>
  </si>
  <si>
    <t>Sub-System</t>
  </si>
  <si>
    <t>Task or Item</t>
  </si>
  <si>
    <t>Engineer (m-wks)</t>
  </si>
  <si>
    <t>Designer (m-wks)</t>
  </si>
  <si>
    <t>Technician (m-wks)</t>
  </si>
  <si>
    <t>Unit</t>
  </si>
  <si>
    <t>Qty</t>
  </si>
  <si>
    <t>Price Per Unit ($K)</t>
  </si>
  <si>
    <t>Total ($K)</t>
  </si>
  <si>
    <t>Duration (Days)</t>
  </si>
  <si>
    <t>Estimate Basis</t>
  </si>
  <si>
    <t>Comments</t>
  </si>
  <si>
    <t>Estimator</t>
  </si>
  <si>
    <t>Fully Loaded Labor ($K)</t>
  </si>
  <si>
    <t>Fully Loaded M&amp;S ($K)</t>
  </si>
  <si>
    <t>Materials ($K)</t>
  </si>
  <si>
    <t>Equipment ($K)</t>
  </si>
  <si>
    <t>Construction ($K)</t>
  </si>
  <si>
    <t>Facility Modifications and Preparations</t>
  </si>
  <si>
    <t>Project</t>
  </si>
  <si>
    <t>Management</t>
  </si>
  <si>
    <t>Safety</t>
  </si>
  <si>
    <t>Fabrication</t>
  </si>
  <si>
    <t>Commissioning</t>
  </si>
  <si>
    <t>Vacuum System</t>
  </si>
  <si>
    <t>Instrumentation</t>
  </si>
  <si>
    <t>Power Leads</t>
  </si>
  <si>
    <t>Cryogenic System</t>
  </si>
  <si>
    <t>Controls</t>
  </si>
  <si>
    <t>Feed Can</t>
  </si>
  <si>
    <t>Dissassemble and Relocate External Piping and Transfer Lines</t>
  </si>
  <si>
    <t>Remove Lambda Plate "tie-down" rods</t>
  </si>
  <si>
    <t>Remove the Top Plate Assembly and store on support structure</t>
  </si>
  <si>
    <t>Disconnect existing flexible cables</t>
  </si>
  <si>
    <t>Power System</t>
  </si>
  <si>
    <t>Prep 1500 MCM cables and install at VMTF and Stand 4</t>
  </si>
  <si>
    <t>Construct and Install LTS bus section and flag</t>
  </si>
  <si>
    <t>Mofidy the Vacuum Sleeve Assembly around the power leads</t>
  </si>
  <si>
    <t>Prep 20 kA Power Leads and VTaps</t>
  </si>
  <si>
    <t>Clean and Prep Lambda Plate surface</t>
  </si>
  <si>
    <t>Install Power Leads on top plate</t>
  </si>
  <si>
    <t>Install Top Plate Assembly and tie-down the Lambda plate</t>
  </si>
  <si>
    <t>Check that the lambda plate sealed</t>
  </si>
  <si>
    <t>Modify the test stand supports and install supports</t>
  </si>
  <si>
    <t>Adapt Interconnect piping (Feedbox to magnet)</t>
  </si>
  <si>
    <t>Leak checking fixtures</t>
  </si>
  <si>
    <t>Top Plate</t>
  </si>
  <si>
    <t>Lambda Plate</t>
  </si>
  <si>
    <t>Flexible Cables</t>
  </si>
  <si>
    <t>Magnetic Measurement System</t>
  </si>
  <si>
    <t>Measurement Probe</t>
  </si>
  <si>
    <t>Warm Finger Assembly</t>
  </si>
  <si>
    <t>Magnetic Measurement Table</t>
  </si>
  <si>
    <t>Replace toothed belt, photo-eyes, covers on flexible coupling, translation slides</t>
  </si>
  <si>
    <t>Design, fabricate, assemble, and test larger diameter assembly</t>
  </si>
  <si>
    <t>Design, fabricate, assemble, and test larger diameter probe</t>
  </si>
  <si>
    <t>Inner and Outer Tube</t>
  </si>
  <si>
    <t>Bellows</t>
  </si>
  <si>
    <t>Quench Antenna</t>
  </si>
  <si>
    <t>Vacuum Insulation Valve and Pumpout port</t>
  </si>
  <si>
    <t>Lead Wire (Lakeshore)</t>
  </si>
  <si>
    <t>Multi-pin connectors</t>
  </si>
  <si>
    <t>Heaters</t>
  </si>
  <si>
    <t>RTDs</t>
  </si>
  <si>
    <t>Spiders, Flangers, Adapters, etc</t>
  </si>
  <si>
    <t>Spares to refurbish measurement table</t>
  </si>
  <si>
    <t>Driveshaft and Probe Bearings</t>
  </si>
  <si>
    <t>Bearing Housings</t>
  </si>
  <si>
    <t>Flexible Couplings</t>
  </si>
  <si>
    <t>Optical Sensors</t>
  </si>
  <si>
    <t>Material for Probe Assemblies</t>
  </si>
  <si>
    <t>Slot Machining</t>
  </si>
  <si>
    <t>Bridge between Measurement Table and Stand 4</t>
  </si>
  <si>
    <t>Materials</t>
  </si>
  <si>
    <t>Welder</t>
  </si>
  <si>
    <t>Machining</t>
  </si>
  <si>
    <t>Seals</t>
  </si>
  <si>
    <t>Indium Ribbon</t>
  </si>
  <si>
    <t>Pumping Cart</t>
  </si>
  <si>
    <t>Blower</t>
  </si>
  <si>
    <t>Roughing Pump</t>
  </si>
  <si>
    <t>Vacuum Gages and readouts</t>
  </si>
  <si>
    <t>Cart</t>
  </si>
  <si>
    <t>Test Stand</t>
  </si>
  <si>
    <t>Specify and Procure Valves and Instruments</t>
  </si>
  <si>
    <t>Test Stand Hardening to reduce He losses</t>
  </si>
  <si>
    <t>Quench Line</t>
  </si>
  <si>
    <t>Design and analysis</t>
  </si>
  <si>
    <t>Valves, instruments, pipe, hoses, fitting</t>
  </si>
  <si>
    <t>Relief Discharge Header</t>
  </si>
  <si>
    <t>Pumping Line</t>
  </si>
  <si>
    <t>Facility</t>
  </si>
  <si>
    <t>Cryo Controls Upgrade and Modifications</t>
  </si>
  <si>
    <t>Documentation</t>
  </si>
  <si>
    <t>Review</t>
  </si>
  <si>
    <t>Current Receiver</t>
  </si>
  <si>
    <t>Isolation Amplifiers</t>
  </si>
  <si>
    <t>Quench Management System</t>
  </si>
  <si>
    <t>Quench Protecton, DAQ upgrades</t>
  </si>
  <si>
    <t>Slow Scan System</t>
  </si>
  <si>
    <t>Replacement, Repair, or calibration</t>
  </si>
  <si>
    <t>Cables and Connectors</t>
  </si>
  <si>
    <t>Adapter</t>
  </si>
  <si>
    <t>Horizontal Bed</t>
  </si>
  <si>
    <t>Install Feed Box auxilliary services (air, water, etc.)</t>
  </si>
  <si>
    <t>Auxilliary Services</t>
  </si>
  <si>
    <t>Interconnect</t>
  </si>
  <si>
    <t>20 kA Vapor Cooled Leads</t>
  </si>
  <si>
    <t>??</t>
  </si>
  <si>
    <t>lot</t>
  </si>
  <si>
    <t>1500 MCM Flexible Cables - 2 pairs</t>
  </si>
  <si>
    <t>Row Labels</t>
  </si>
  <si>
    <t>Grand Total</t>
  </si>
  <si>
    <t>Engineer (p-wks)</t>
  </si>
  <si>
    <t>Designer (p-wks)</t>
  </si>
  <si>
    <t>Technician (p-wks)</t>
  </si>
  <si>
    <t>M&amp;S ($K)</t>
  </si>
  <si>
    <t>FTEs</t>
  </si>
  <si>
    <t>Labor</t>
  </si>
  <si>
    <t>p-w</t>
  </si>
  <si>
    <t>Step</t>
  </si>
  <si>
    <t>Leak Checking</t>
  </si>
  <si>
    <t>Test Support</t>
  </si>
  <si>
    <t>Dissasembly</t>
  </si>
  <si>
    <t>IB1 He cost is $12K/week, split 50/50 between SRF and Magnet. The cost for a magnet test is 6*No of test-weeks.</t>
  </si>
  <si>
    <t>IB1 He cost is $5K/week, split 50/50 between SRF and Magnet. The cost for a magnet test is 2.5*No of test-weeks.</t>
  </si>
  <si>
    <t>Consumables - He (4 wks of testing)</t>
  </si>
  <si>
    <t>Consumables - N2 (4 wks of testing)</t>
  </si>
  <si>
    <t>Setup - Mechanical</t>
  </si>
  <si>
    <t>Labor (p-wks)</t>
  </si>
  <si>
    <t>Operational Cost Per Test</t>
  </si>
  <si>
    <t>Test Stand 4 Upgrade Direct Cost and Labor</t>
  </si>
  <si>
    <t>Setup- Electrical</t>
  </si>
  <si>
    <t>Rate Table</t>
  </si>
  <si>
    <t>Resource Name</t>
  </si>
  <si>
    <t>Hourly Rate FY12</t>
  </si>
  <si>
    <t>Weekly Rate FY12</t>
  </si>
  <si>
    <t>Technician</t>
  </si>
  <si>
    <t>Designer</t>
  </si>
  <si>
    <t>Engineer</t>
  </si>
  <si>
    <t>Comment</t>
  </si>
  <si>
    <t>Average of junior, senior</t>
  </si>
  <si>
    <t>Electrical technician rate</t>
  </si>
  <si>
    <t>Mechanical designer rate</t>
  </si>
  <si>
    <t>Total</t>
  </si>
  <si>
    <t>Weekly FY12 burdened labor rates ($k)</t>
  </si>
  <si>
    <t>Grand Total Costs ($k)</t>
  </si>
  <si>
    <t>Total ($k)</t>
  </si>
  <si>
    <t>Technician FY12 burdened weekly labor rate ($k)</t>
  </si>
  <si>
    <t>Production Cost per test</t>
  </si>
  <si>
    <t>Multiply x2 for 1st prototype ($kFY12)</t>
  </si>
  <si>
    <t>Multiply x1.5 for 1st production ($kFY12)</t>
  </si>
  <si>
    <t>Multiply x 1.25 for 2nd production ($kFY12)</t>
  </si>
  <si>
    <t>Production Costs beyond first two tests ($kFY12)</t>
  </si>
  <si>
    <t>Burdened Material</t>
  </si>
  <si>
    <t>Total Production Operational Costs ($kFY12, not including prototype)</t>
  </si>
  <si>
    <t>Prototype Operational Costs ($kFY12)</t>
  </si>
  <si>
    <t>Labor ($k FY12), fully burdened</t>
  </si>
  <si>
    <t>M&amp;S ($k FY12), fully burdened</t>
  </si>
  <si>
    <t>LARP Nb3Sn Test Cryostat Cost Estimate</t>
  </si>
  <si>
    <t>Revised:</t>
  </si>
  <si>
    <t>First draft</t>
  </si>
  <si>
    <t>Assumed inflation per year</t>
  </si>
  <si>
    <t>Test Cryostat</t>
  </si>
  <si>
    <t>Description</t>
  </si>
  <si>
    <t>Units</t>
  </si>
  <si>
    <t>Units reqd</t>
  </si>
  <si>
    <t>Unit cost</t>
  </si>
  <si>
    <t>Ext total</t>
  </si>
  <si>
    <t>Len mult</t>
  </si>
  <si>
    <t>Inflation</t>
  </si>
  <si>
    <t>Current total</t>
  </si>
  <si>
    <t>Vacuum vessel</t>
  </si>
  <si>
    <t>ea</t>
  </si>
  <si>
    <t>(based on Q2P1 - Jessica)</t>
  </si>
  <si>
    <t>MLI (all)</t>
  </si>
  <si>
    <t>50K to 70K shield</t>
  </si>
  <si>
    <t>Support</t>
  </si>
  <si>
    <t>Invar tie bars</t>
  </si>
  <si>
    <t>Other piping</t>
  </si>
  <si>
    <t>Piping supports</t>
  </si>
  <si>
    <t>Cold mass attach brackets</t>
  </si>
  <si>
    <t>Cold mass end domes</t>
  </si>
  <si>
    <t>Cold mass bellows</t>
  </si>
  <si>
    <t>Cold mass extensions</t>
  </si>
  <si>
    <t>Beam tube</t>
  </si>
  <si>
    <t>Assembly tooling</t>
  </si>
  <si>
    <t>Interconnect parts</t>
  </si>
  <si>
    <t>Interconnect shield bridge</t>
  </si>
  <si>
    <t>Interconnect bellows</t>
  </si>
  <si>
    <t>Squirm protectors</t>
  </si>
  <si>
    <t>Interconnect piping</t>
  </si>
  <si>
    <t>Interconnect piping supports</t>
  </si>
  <si>
    <t>Total parts cost per completed assembly</t>
  </si>
  <si>
    <t>Inspection and assy/disassy labor</t>
  </si>
  <si>
    <t>No. reqd</t>
  </si>
  <si>
    <t>Labor type (assume $85,000/yr, 2,000 hr/yr)</t>
  </si>
  <si>
    <t>Hrs each</t>
  </si>
  <si>
    <t>Tech (incoming insp)</t>
  </si>
  <si>
    <t>hr</t>
  </si>
  <si>
    <t>Pumping line bellows</t>
  </si>
  <si>
    <t>Process engr (traveler)</t>
  </si>
  <si>
    <t>Cooldown line bellows</t>
  </si>
  <si>
    <t>Tech (supervision)</t>
  </si>
  <si>
    <t>Shield bellows</t>
  </si>
  <si>
    <t>Tech (assembly)</t>
  </si>
  <si>
    <t>Total per triplet</t>
  </si>
  <si>
    <t>Weldor</t>
  </si>
  <si>
    <t>Tech (inspection)</t>
  </si>
  <si>
    <t>Total cost per completed assembly</t>
  </si>
  <si>
    <t>Estimated EDIA</t>
  </si>
  <si>
    <t>Name</t>
  </si>
  <si>
    <t>Labor rate</t>
  </si>
  <si>
    <t>FY2013</t>
  </si>
  <si>
    <t>FY2014</t>
  </si>
  <si>
    <t>Design drafter</t>
  </si>
  <si>
    <t>Grand total for EDIA</t>
  </si>
  <si>
    <t>Grand total (parts, labor, EDIA)</t>
  </si>
  <si>
    <t>Annual Rate FY12</t>
  </si>
  <si>
    <t>Cryostat Construction</t>
  </si>
  <si>
    <t>Recurring cost (per test)</t>
  </si>
  <si>
    <t>Production Operational Costs (MTF)</t>
  </si>
  <si>
    <t>Cryostat Disassembly/reassembly</t>
  </si>
  <si>
    <t>Parts + Overhead</t>
  </si>
  <si>
    <t>Test Stand Cost (MTF)</t>
  </si>
  <si>
    <t>First Prototype Operational Costs (MTF)</t>
  </si>
  <si>
    <t>Enter # of production tests (not including prototype)</t>
  </si>
  <si>
    <t>Half-length version estimate</t>
  </si>
  <si>
    <t>~4.5/5.9</t>
  </si>
  <si>
    <t>(based on Q3)</t>
  </si>
  <si>
    <t>~4.5/8.2</t>
  </si>
  <si>
    <t>Parts + OH</t>
  </si>
  <si>
    <t>D/S/C</t>
  </si>
  <si>
    <t>MSA</t>
  </si>
  <si>
    <t>PASS THRU</t>
  </si>
  <si>
    <t>500K</t>
  </si>
  <si>
    <t>AD</t>
  </si>
  <si>
    <t>APC</t>
  </si>
  <si>
    <t>BSS</t>
  </si>
  <si>
    <t>CD</t>
  </si>
  <si>
    <t>CMSC</t>
  </si>
  <si>
    <t>DIR</t>
  </si>
  <si>
    <t>ES&amp;H</t>
  </si>
  <si>
    <t>FCPA</t>
  </si>
  <si>
    <t>FESS</t>
  </si>
  <si>
    <t>FIN</t>
  </si>
  <si>
    <t>LBNE</t>
  </si>
  <si>
    <t>PPD</t>
  </si>
  <si>
    <t>TD</t>
  </si>
  <si>
    <t>WDRS</t>
  </si>
  <si>
    <t>M &amp; S and Inspection Cost</t>
  </si>
  <si>
    <t>3.3 m long</t>
  </si>
  <si>
    <t>4.5 m long</t>
  </si>
  <si>
    <t xml:space="preserve">4.5 m long </t>
  </si>
  <si>
    <t>Curing Mold</t>
  </si>
  <si>
    <t>Curing Mold Labor+QC</t>
  </si>
  <si>
    <t>Winding and Curing Tooling</t>
  </si>
  <si>
    <t>W &amp; C Tooling QC</t>
  </si>
  <si>
    <t>Reaction and Impregnation Tooling</t>
  </si>
  <si>
    <t>R &amp; I Tooling QC</t>
  </si>
  <si>
    <t>Tooling Total</t>
  </si>
  <si>
    <t>Coil Parts + QC</t>
  </si>
  <si>
    <t>Tooling + Coil Total</t>
  </si>
  <si>
    <t xml:space="preserve">LHC-MQXF COIL  </t>
  </si>
  <si>
    <t>Coil Length</t>
  </si>
  <si>
    <t>Aperture Ratio  MQXF/LHQ</t>
  </si>
  <si>
    <t>Length ratio</t>
  </si>
  <si>
    <t>3.3m long</t>
  </si>
  <si>
    <t>4.5m long</t>
  </si>
  <si>
    <t>Unit Cost</t>
  </si>
  <si>
    <t xml:space="preserve">Coating Cost </t>
  </si>
  <si>
    <t>Material</t>
  </si>
  <si>
    <t>Reference Drawing #</t>
  </si>
  <si>
    <t>Qty/coil</t>
  </si>
  <si>
    <t xml:space="preserve">Part Cost </t>
  </si>
  <si>
    <t>Part Cost + Coating</t>
  </si>
  <si>
    <t>L1_LE_KEY</t>
  </si>
  <si>
    <t>6AL-4V Ti</t>
  </si>
  <si>
    <t>L2_LE_KEY</t>
  </si>
  <si>
    <t>L1_RE_KEY</t>
  </si>
  <si>
    <t>L2_RE_KEY</t>
  </si>
  <si>
    <t>L1_KEY-1</t>
  </si>
  <si>
    <t>L1_KEY-2</t>
  </si>
  <si>
    <t>L2_KEY-1</t>
  </si>
  <si>
    <t>L2_KEY-2</t>
  </si>
  <si>
    <t>L1_LE_Spliceblk</t>
  </si>
  <si>
    <t>SS 304</t>
  </si>
  <si>
    <t>L1_LE_saddle</t>
  </si>
  <si>
    <t>L1_LE_spacer-2</t>
  </si>
  <si>
    <t>L1_LE_spacer-1</t>
  </si>
  <si>
    <t>L1_RE_saddle</t>
  </si>
  <si>
    <t>L1_RE_spacer</t>
  </si>
  <si>
    <t>L2_RE_saddle</t>
  </si>
  <si>
    <t>L2_RE_spacer</t>
  </si>
  <si>
    <t>L2_LE_spliceblk</t>
  </si>
  <si>
    <t>L2_LE_saddle</t>
  </si>
  <si>
    <t>L2_LE_spacer-2</t>
  </si>
  <si>
    <t>L2_LE_spacer-1</t>
  </si>
  <si>
    <t>Layer 1 wedge</t>
  </si>
  <si>
    <t>Bronze</t>
  </si>
  <si>
    <t>Layer 2 wedge</t>
  </si>
  <si>
    <t>20mil Ceramic(ft)</t>
  </si>
  <si>
    <t>-</t>
  </si>
  <si>
    <t>Other insulation</t>
  </si>
  <si>
    <t>Ceramic Binder (lb)</t>
  </si>
  <si>
    <t>CTD1202</t>
  </si>
  <si>
    <t>Epoxy (kit)</t>
  </si>
  <si>
    <t>CTD101K</t>
  </si>
  <si>
    <t>Total/coil</t>
  </si>
  <si>
    <t>Rate/hr</t>
  </si>
  <si>
    <t># of part</t>
  </si>
  <si>
    <t># of FTE</t>
  </si>
  <si>
    <t>hr/part</t>
  </si>
  <si>
    <t xml:space="preserve">QC </t>
  </si>
  <si>
    <t>Reference</t>
  </si>
  <si>
    <t xml:space="preserve">LHC-LARP LHQ COIL  </t>
  </si>
  <si>
    <t>120 mm Aperture</t>
  </si>
  <si>
    <t xml:space="preserve">LHC-LARP HQ COIL  </t>
  </si>
  <si>
    <t>1m long</t>
  </si>
  <si>
    <t>Drawing #</t>
  </si>
  <si>
    <t>Layer 1 Bronze wedge</t>
  </si>
  <si>
    <t>Layer 2 Bronze wedge</t>
  </si>
  <si>
    <t>LHC-MQXF Reaction and Impregnation Tooling</t>
  </si>
  <si>
    <t>Length Ratio</t>
  </si>
  <si>
    <t>1 set</t>
  </si>
  <si>
    <t>Use the same one as 3.3 m</t>
  </si>
  <si>
    <t>P/N</t>
  </si>
  <si>
    <t xml:space="preserve">Cost Per </t>
  </si>
  <si>
    <t xml:space="preserve">Total </t>
  </si>
  <si>
    <t>PO</t>
  </si>
  <si>
    <t>Vendor</t>
  </si>
  <si>
    <t xml:space="preserve">ME 483304 </t>
  </si>
  <si>
    <t>End Block</t>
  </si>
  <si>
    <t>Medco</t>
  </si>
  <si>
    <t>ME 483305 D</t>
  </si>
  <si>
    <t>Lamination</t>
  </si>
  <si>
    <t>Larsen Mfg</t>
  </si>
  <si>
    <t>Die</t>
  </si>
  <si>
    <t>MB 483306</t>
  </si>
  <si>
    <t>Lifting Bar</t>
  </si>
  <si>
    <t>J Marcs</t>
  </si>
  <si>
    <t>MB 483307</t>
  </si>
  <si>
    <t>Lifting Bar Spacer</t>
  </si>
  <si>
    <t>MB 483909</t>
  </si>
  <si>
    <t>Upper Ring Insert</t>
  </si>
  <si>
    <t>MSV 3226</t>
  </si>
  <si>
    <t>VMS</t>
  </si>
  <si>
    <t>MB 483928</t>
  </si>
  <si>
    <t>Cover Layer 1-1</t>
  </si>
  <si>
    <t>MB 483929</t>
  </si>
  <si>
    <t>Cover Layer 1-2</t>
  </si>
  <si>
    <t>MB 483930</t>
  </si>
  <si>
    <t>Cover Layer 2-1</t>
  </si>
  <si>
    <t>MB 483931</t>
  </si>
  <si>
    <t>Cover Layer 2-2</t>
  </si>
  <si>
    <t>MB 483932</t>
  </si>
  <si>
    <t>Link 1</t>
  </si>
  <si>
    <t>MB 483933</t>
  </si>
  <si>
    <t>Link 2</t>
  </si>
  <si>
    <t>MC 484108</t>
  </si>
  <si>
    <t>Hrdwre LHQ Cure Retainer</t>
  </si>
  <si>
    <t>1 lot</t>
  </si>
  <si>
    <t>PRN157367</t>
  </si>
  <si>
    <t>McMaster</t>
  </si>
  <si>
    <t>92580A311</t>
  </si>
  <si>
    <t>Threaded Rod, 1/2-20 x 12'</t>
  </si>
  <si>
    <t>PRN157695</t>
  </si>
  <si>
    <t xml:space="preserve">McMaster </t>
  </si>
  <si>
    <t>Hdwre Curing Retainer Assy</t>
  </si>
  <si>
    <t>1 Lot</t>
  </si>
  <si>
    <t>PRN157368</t>
  </si>
  <si>
    <t>98950A433</t>
  </si>
  <si>
    <t>Threaded Rod, 1/2-20 x12'</t>
  </si>
  <si>
    <t>PRN148953</t>
  </si>
  <si>
    <t>Curing Mold Alignment Tube</t>
  </si>
  <si>
    <t>Discription</t>
  </si>
  <si>
    <t>techs</t>
  </si>
  <si>
    <t>rate</t>
  </si>
  <si>
    <t>hrs/tech</t>
  </si>
  <si>
    <t>qty parts</t>
  </si>
  <si>
    <t>Stack short sections</t>
  </si>
  <si>
    <t>Weld short stacks $112/hr</t>
  </si>
  <si>
    <t>QC</t>
  </si>
  <si>
    <t>Assembly on transfer table</t>
  </si>
  <si>
    <t>Polish contour with emery cloth</t>
  </si>
  <si>
    <t>W/C Tooling</t>
  </si>
  <si>
    <t>MB 344062</t>
  </si>
  <si>
    <t>Side Stiffening Plate</t>
  </si>
  <si>
    <t>MSV 3201</t>
  </si>
  <si>
    <t>MB 461117</t>
  </si>
  <si>
    <t>Rod</t>
  </si>
  <si>
    <t>MD 483565</t>
  </si>
  <si>
    <t>Winding Isle Key Bar 1</t>
  </si>
  <si>
    <t>MB 483566</t>
  </si>
  <si>
    <t>Winding Isle Key Bar 2</t>
  </si>
  <si>
    <t>MC 483567</t>
  </si>
  <si>
    <t>Winding Isle Key Bar - LE</t>
  </si>
  <si>
    <t>MC 483568</t>
  </si>
  <si>
    <t>Winding Isle Key Bar RE</t>
  </si>
  <si>
    <t>MB 483881</t>
  </si>
  <si>
    <t>Winding Isle Key Bar 3</t>
  </si>
  <si>
    <t>MB 483862</t>
  </si>
  <si>
    <t>Mandrel Key Bar</t>
  </si>
  <si>
    <t>MC 483835</t>
  </si>
  <si>
    <t>Winding Mandrel Lam 2</t>
  </si>
  <si>
    <t>K I Machine</t>
  </si>
  <si>
    <t>MC 483836</t>
  </si>
  <si>
    <t>Winding Mandrel Lam 1</t>
  </si>
  <si>
    <t>MD 483702 A</t>
  </si>
  <si>
    <t>Mandrel Support Block</t>
  </si>
  <si>
    <t>MD 483839 A</t>
  </si>
  <si>
    <t>Mandrel Supp. Mid Block</t>
  </si>
  <si>
    <t>MD 483857</t>
  </si>
  <si>
    <t>Mandel Support Block 2</t>
  </si>
  <si>
    <t>MD 483875</t>
  </si>
  <si>
    <t>Winding Mandrel Lam 2-B</t>
  </si>
  <si>
    <t>MD 483947</t>
  </si>
  <si>
    <t>L2 Curing Spacer 2</t>
  </si>
  <si>
    <t>Hi Tech</t>
  </si>
  <si>
    <t>MD 483948</t>
  </si>
  <si>
    <t xml:space="preserve">L2 Curing Spacer </t>
  </si>
  <si>
    <t>MD 483949 A</t>
  </si>
  <si>
    <t>L2 Cure Spacer TRNS 1</t>
  </si>
  <si>
    <t>MD 483950 A</t>
  </si>
  <si>
    <t>L2 Cure Spacer TRNS 2</t>
  </si>
  <si>
    <t>MD 483951 A</t>
  </si>
  <si>
    <t>L2 Cure Spacer TRNS 3</t>
  </si>
  <si>
    <t>MD 483952 A</t>
  </si>
  <si>
    <t>L2 Cure Spacer TRNS 4</t>
  </si>
  <si>
    <t>MD 483953 A</t>
  </si>
  <si>
    <t>L2 Radial Size Spacer 1</t>
  </si>
  <si>
    <t>MD 483954 A</t>
  </si>
  <si>
    <t>L2 Radial Size Spacer 2</t>
  </si>
  <si>
    <t>MC 483955 A</t>
  </si>
  <si>
    <t>L1 Radial Size Spacer</t>
  </si>
  <si>
    <t>MB 483956</t>
  </si>
  <si>
    <t>Pusher Block Inner Layer</t>
  </si>
  <si>
    <t>MB 483957</t>
  </si>
  <si>
    <t>Curing Align Key Bar</t>
  </si>
  <si>
    <t>MD 483958 A</t>
  </si>
  <si>
    <t>Curing Retainer</t>
  </si>
  <si>
    <t>Comet</t>
  </si>
  <si>
    <t>MB 483959</t>
  </si>
  <si>
    <t xml:space="preserve"> Pole Slot Pin</t>
  </si>
  <si>
    <t>MD 483960 A</t>
  </si>
  <si>
    <t>Curing Retainer Middle</t>
  </si>
  <si>
    <t>MC 483969</t>
  </si>
  <si>
    <t>L1 Sizing Bar</t>
  </si>
  <si>
    <t>MC 483970</t>
  </si>
  <si>
    <t>L2 Sizing Bar 2</t>
  </si>
  <si>
    <t>MC 483971</t>
  </si>
  <si>
    <t>L2 Sizing Bar 3</t>
  </si>
  <si>
    <t>MB 483972</t>
  </si>
  <si>
    <t>Curing Align Key Bar 2</t>
  </si>
  <si>
    <t>MB 483973</t>
  </si>
  <si>
    <t>Pusher Block Outer Layer</t>
  </si>
  <si>
    <t>MC 483974</t>
  </si>
  <si>
    <t>L2 Sizing Bar 1</t>
  </si>
  <si>
    <t>MB 484162</t>
  </si>
  <si>
    <t>Shim, Middle</t>
  </si>
  <si>
    <t>MSV 3248</t>
  </si>
  <si>
    <t>MB 484163</t>
  </si>
  <si>
    <t>Shim, End</t>
  </si>
  <si>
    <t>MB 484180</t>
  </si>
  <si>
    <t>Shim, Strip</t>
  </si>
  <si>
    <t>MD 484191</t>
  </si>
  <si>
    <t>L1 Long Retainer</t>
  </si>
  <si>
    <t>MB 484192</t>
  </si>
  <si>
    <t>L1 Short Retainer</t>
  </si>
  <si>
    <t>MB 484193</t>
  </si>
  <si>
    <t>L2 Long Retainer</t>
  </si>
  <si>
    <t>MB 484194</t>
  </si>
  <si>
    <t>L2 Short Retainer</t>
  </si>
  <si>
    <t>MB 484263</t>
  </si>
  <si>
    <t>Cradle Wing Assembly</t>
  </si>
  <si>
    <t>MB 484261</t>
  </si>
  <si>
    <t>Fixture Wing</t>
  </si>
  <si>
    <t>MC 484262</t>
  </si>
  <si>
    <t>Fixture Cradle</t>
  </si>
  <si>
    <t>92185A624</t>
  </si>
  <si>
    <t>SHCS, 3/8-16 x 1 1/2 SS</t>
  </si>
  <si>
    <t>5/pk</t>
  </si>
  <si>
    <t>PRN158730</t>
  </si>
  <si>
    <t>98404A510</t>
  </si>
  <si>
    <t>Pin, Quick Rel 1/2 x 3</t>
  </si>
  <si>
    <t>MB 484265</t>
  </si>
  <si>
    <t>Roller Support Assy</t>
  </si>
  <si>
    <t>MSV 3259</t>
  </si>
  <si>
    <t>10NBC1620TZP</t>
  </si>
  <si>
    <t>Bearing, Torrington</t>
  </si>
  <si>
    <t>PRN158923</t>
  </si>
  <si>
    <t>Motion Indust</t>
  </si>
  <si>
    <t>U-CLBUB-0.63_DO.88-LO.310</t>
  </si>
  <si>
    <t>Bearing, Spacer, MISUMI</t>
  </si>
  <si>
    <t>U-SRF-0.63-L4.00</t>
  </si>
  <si>
    <t>Rotary Shaft, MISUMI</t>
  </si>
  <si>
    <t>ME 493981</t>
  </si>
  <si>
    <t>Outer Layer Assy Hrdwr</t>
  </si>
  <si>
    <t>1lot</t>
  </si>
  <si>
    <t>PRN158624</t>
  </si>
  <si>
    <t>MB 484068 A</t>
  </si>
  <si>
    <t>Curing Retainer Top</t>
  </si>
  <si>
    <t>Bronze Wedge Tooling</t>
  </si>
  <si>
    <t>Reference from LHQ</t>
  </si>
  <si>
    <t>MC 483485</t>
  </si>
  <si>
    <t>Key Bar - Side - Long</t>
  </si>
  <si>
    <t>M1 Tool</t>
  </si>
  <si>
    <t>MC 483486</t>
  </si>
  <si>
    <t>Key Bat - Side - Short</t>
  </si>
  <si>
    <t>MB 484067</t>
  </si>
  <si>
    <t>Curing Retainer Bottom</t>
  </si>
  <si>
    <t>MB 484106</t>
  </si>
  <si>
    <t>Curing Retainer Side</t>
  </si>
  <si>
    <t>MB 484107</t>
  </si>
  <si>
    <t>Curing Retainer Brace</t>
  </si>
  <si>
    <t>Quantity</t>
  </si>
  <si>
    <t>Req/PO#</t>
  </si>
  <si>
    <t>Buyer</t>
  </si>
  <si>
    <t>Unit Price</t>
  </si>
  <si>
    <t>Estimated Cost</t>
  </si>
  <si>
    <t>Mandrel Blocks</t>
  </si>
  <si>
    <t>25-2003004-01</t>
  </si>
  <si>
    <t>234413/606818</t>
  </si>
  <si>
    <t>K1 Machine</t>
  </si>
  <si>
    <t>Evans</t>
  </si>
  <si>
    <t>25-2003004-02</t>
  </si>
  <si>
    <t>Form Blocks</t>
  </si>
  <si>
    <t>25-2003005</t>
  </si>
  <si>
    <t>Form Blocks-Mod</t>
  </si>
  <si>
    <t>25-2003022-01</t>
  </si>
  <si>
    <t>25-2003022-02</t>
  </si>
  <si>
    <t>Base Plate</t>
  </si>
  <si>
    <t>25-2003003</t>
  </si>
  <si>
    <t>234414/607056</t>
  </si>
  <si>
    <t>Milan's Machining &amp; Mfg Co.</t>
  </si>
  <si>
    <t>25-2003006</t>
  </si>
  <si>
    <t>Side Rail</t>
  </si>
  <si>
    <t>25-2003007</t>
  </si>
  <si>
    <t>Pusher Bar</t>
  </si>
  <si>
    <t>25-2003008-01</t>
  </si>
  <si>
    <t>25-2003008-02</t>
  </si>
  <si>
    <t>End Plate</t>
  </si>
  <si>
    <t>25-2003009</t>
  </si>
  <si>
    <t>End Plate-LE</t>
  </si>
  <si>
    <t>25-2003010</t>
  </si>
  <si>
    <t>Midplane Shim</t>
  </si>
  <si>
    <t>25-2003011</t>
  </si>
  <si>
    <t>Liner</t>
  </si>
  <si>
    <t>25-2003012</t>
  </si>
  <si>
    <t>Lead Seal Cover</t>
  </si>
  <si>
    <t>25-2003016</t>
  </si>
  <si>
    <t>End Saddle Link Assy</t>
  </si>
  <si>
    <t>252003019-01</t>
  </si>
  <si>
    <t>Alignment Pin</t>
  </si>
  <si>
    <t>25-2003023</t>
  </si>
  <si>
    <t>Alignment Pin Seal</t>
  </si>
  <si>
    <t>25-2003024</t>
  </si>
  <si>
    <t>Seal Compression Ring</t>
  </si>
  <si>
    <t>25-2003025</t>
  </si>
  <si>
    <t>25-2003026</t>
  </si>
  <si>
    <t>Lead End Plate Assy</t>
  </si>
  <si>
    <t>25-2003030</t>
  </si>
  <si>
    <t>25-2003033</t>
  </si>
  <si>
    <t>Pole Alignment Key</t>
  </si>
  <si>
    <t>25-2003034</t>
  </si>
  <si>
    <t>Keyway Filler</t>
  </si>
  <si>
    <t>25-2003035</t>
  </si>
  <si>
    <t>Lead Seal-Impreg.</t>
  </si>
  <si>
    <t>25-199.17-3</t>
  </si>
  <si>
    <t>Compression Disc-Impreg</t>
  </si>
  <si>
    <t>25-199.18-3</t>
  </si>
  <si>
    <t>25-2003019-02</t>
  </si>
  <si>
    <t>3/8"-16 Steel SHCS</t>
  </si>
  <si>
    <t>91251A622</t>
  </si>
  <si>
    <t>234608/606703</t>
  </si>
  <si>
    <t>McMaster Carr</t>
  </si>
  <si>
    <t>Johnson</t>
  </si>
  <si>
    <t>3/4" Steel Flatwasher</t>
  </si>
  <si>
    <t>90126A036</t>
  </si>
  <si>
    <t>3/4"-10 X 8" Steel HHCS</t>
  </si>
  <si>
    <t>91247A863</t>
  </si>
  <si>
    <t>3/4"-10 Steel Hex Nut</t>
  </si>
  <si>
    <t>95462A538</t>
  </si>
  <si>
    <t>3/8"-16 X 1/2" Steel SHCS</t>
  </si>
  <si>
    <t>91251A628</t>
  </si>
  <si>
    <t>3/8"-16 X 1+1/8" Stl SHCS</t>
  </si>
  <si>
    <t>91251A588</t>
  </si>
  <si>
    <t>1/4"-20 X 1+3/4" Stl SHCS</t>
  </si>
  <si>
    <t>91251A548</t>
  </si>
  <si>
    <t>1/4"-20 X 1+1/8" Stl SHCS</t>
  </si>
  <si>
    <t>91251A560</t>
  </si>
  <si>
    <t>5/8"-11 X 1/2" Stl Set Screw</t>
  </si>
  <si>
    <t>91375A789</t>
  </si>
  <si>
    <t xml:space="preserve">3/32" X 7/8" Oring </t>
  </si>
  <si>
    <t>9561K43</t>
  </si>
  <si>
    <t>3/16" Oring Cord (Feet)</t>
  </si>
  <si>
    <t>9616K14</t>
  </si>
  <si>
    <t>1/4" Oring Cord (Feet)</t>
  </si>
  <si>
    <t>9616K15</t>
  </si>
  <si>
    <t>3/8"-16 X 3/4" SS SHCS</t>
  </si>
  <si>
    <t>92185A622</t>
  </si>
  <si>
    <t>3/4"-10 SS Hex Nut</t>
  </si>
  <si>
    <t>94804A360</t>
  </si>
  <si>
    <t>3/8"-16 X 1+1/2" SS SHCS</t>
  </si>
  <si>
    <t>92185A628</t>
  </si>
  <si>
    <t>5/8"-11 X 1/2" SS Set Screw</t>
  </si>
  <si>
    <t>92311A789</t>
  </si>
  <si>
    <t>3/8"-16 X 1+1/8" SS SHCS</t>
  </si>
  <si>
    <t>92196A625</t>
  </si>
  <si>
    <t>3/4"-10 X 8" SS HHCS</t>
  </si>
  <si>
    <t>92198A863</t>
  </si>
  <si>
    <t>1/4" X .010 SS Tube (Feet)</t>
  </si>
  <si>
    <t>89895K44</t>
  </si>
  <si>
    <t>3/16" X .030" Cu Tube (Feet)</t>
  </si>
  <si>
    <t>5174K2</t>
  </si>
  <si>
    <t>98019A519</t>
  </si>
  <si>
    <t>PRN159707</t>
  </si>
  <si>
    <t>Eagle Stainless</t>
  </si>
  <si>
    <t>Schmidt</t>
  </si>
  <si>
    <t>Reference from LHQ 2 sets</t>
  </si>
  <si>
    <t>Actual Cost</t>
  </si>
  <si>
    <t>Requote</t>
  </si>
  <si>
    <t>Olderr</t>
  </si>
  <si>
    <t>Program:</t>
  </si>
  <si>
    <t>Description:</t>
  </si>
  <si>
    <t>Approval:</t>
  </si>
  <si>
    <t>MAG1</t>
  </si>
  <si>
    <t>Magnet Production 1</t>
  </si>
  <si>
    <t>Program Manager</t>
  </si>
  <si>
    <t>Run Date:</t>
  </si>
  <si>
    <t>Status Date:</t>
  </si>
  <si>
    <t>Functional Manager</t>
  </si>
  <si>
    <t>Cost Account Manager</t>
  </si>
  <si>
    <t>Cost Account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</si>
  <si>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</si>
  <si>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</si>
  <si>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</si>
  <si>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</si>
  <si>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</si>
  <si>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</si>
  <si>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</si>
  <si>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</si>
  <si>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</si>
  <si>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</si>
  <si>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</si>
  <si>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</si>
  <si>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</si>
  <si>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</si>
  <si>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</si>
  <si>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Cumulative</t>
  </si>
  <si>
    <t>18 SRF</t>
  </si>
  <si>
    <t>BCWS</t>
  </si>
  <si>
    <t>Grand Totals:</t>
  </si>
  <si>
    <t>HOURS</t>
  </si>
  <si>
    <t>Cost Account Totals:</t>
  </si>
  <si>
    <t>Coil Fabrication</t>
  </si>
  <si>
    <t>Design/Drafter</t>
  </si>
  <si>
    <t>QA</t>
  </si>
  <si>
    <t>Tooling</t>
  </si>
  <si>
    <t>Testing</t>
  </si>
  <si>
    <t>Measurement/Analysis</t>
  </si>
  <si>
    <t>CM Assembly</t>
  </si>
  <si>
    <t>Rates by FY for FNAL Resources</t>
  </si>
  <si>
    <t>Budget Element/Resource</t>
  </si>
  <si>
    <t>FY24</t>
  </si>
  <si>
    <t>AD Accelerator Division</t>
  </si>
  <si>
    <t>FNAD.AC.EXP.PHYST Accelerator Physicist Experimental</t>
  </si>
  <si>
    <t>Rate</t>
  </si>
  <si>
    <t>FNAD.AC.EXP.RA Accelerator Experimental Research Associate</t>
  </si>
  <si>
    <t>FNAD.AC.OPERATOR Accelerator Operator</t>
  </si>
  <si>
    <t>FNAD.AC.SYSTM.SPCLST Accelerator Systems Specialist</t>
  </si>
  <si>
    <t>FNAD.AC.THY.PHYST Accelerator Physicist Theory</t>
  </si>
  <si>
    <t>FNAD.AC.THY.RA Accelerator Theory Research Associate</t>
  </si>
  <si>
    <t>FNAD.ACCOUNTANT Accountant</t>
  </si>
  <si>
    <t>FNAD.ADMIN.SPPRT Administrative Support</t>
  </si>
  <si>
    <t>FNAD.APDEV.SYSTMAYST Applications Development &amp; Systems Analyst</t>
  </si>
  <si>
    <t>FNAD.ASIC.DESIGN.EN ASIC Design Engineer</t>
  </si>
  <si>
    <t>FNAD.ASIC.DESIGN.SR ASIC Design Engineer Sr</t>
  </si>
  <si>
    <t>FNAD.CLERICAL Clerical</t>
  </si>
  <si>
    <t>FNAD.CONST.COORDNATR Construction Coordinator</t>
  </si>
  <si>
    <t>FNAD.CONST.SAFETY Construction Safety</t>
  </si>
  <si>
    <t>FNAD.CRYO.DESIGNER Cryo Designer</t>
  </si>
  <si>
    <t>FNAD.CRYO.EN Cryogenics Engineer</t>
  </si>
  <si>
    <t>FNAD.CRYO.SR Cryogenics Engineer Sr</t>
  </si>
  <si>
    <t>FNAD.CRYO.TECH Cryo Technician</t>
  </si>
  <si>
    <t>FNAD.CT.SRVCS.SPCLST Computing Services Specialist</t>
  </si>
  <si>
    <t>FNAD.CTRL.SYSTM.EN Control System Engineer</t>
  </si>
  <si>
    <t>FNAD.CTRL.SYSTM.SR Control System Engineer Sr</t>
  </si>
  <si>
    <t>FNAD.DATABASE.AYST Database Administration Analyst</t>
  </si>
  <si>
    <t>FNAD.ELEC.ASMBY.TECH Electrical Assembly Technician</t>
  </si>
  <si>
    <t>FNAD.ELEC.DESIGN.EN Electrical Design Engineer</t>
  </si>
  <si>
    <t>FNAD.ELEC.DESIGN.SR Electrical Design Engineer Sr</t>
  </si>
  <si>
    <t>FNAD.ELEC.DESIGNER Electrical Designer</t>
  </si>
  <si>
    <t>FNAD.ELEC.DRAFTER Electrical Drafter</t>
  </si>
  <si>
    <t>FNAD.ELEC.TASK.MNGR Electrical Task Manager</t>
  </si>
  <si>
    <t>FNAD.ELEC.TECH Electrical Technician</t>
  </si>
  <si>
    <t>FNAD.ELEC.TECH.MNGR Electrical Technical Manager</t>
  </si>
  <si>
    <t>FNAD.ELEC.TECH.SPVSR Electrical Technician Supervisor</t>
  </si>
  <si>
    <t>FNAD.ELTN.DESIGN.EN Electronics Design Engineer</t>
  </si>
  <si>
    <t>FNAD.ELTN.DESIGN.SR Electronics Design Engineer Sr</t>
  </si>
  <si>
    <t>FNAD.ELTN.TECH Electronics Technician</t>
  </si>
  <si>
    <t>FNAD.ENGNRING.PHYST Engineering Physicist</t>
  </si>
  <si>
    <t>FNAD.FACILITIES.MGMT Facilities Management</t>
  </si>
  <si>
    <t>FNAD.GENERAL.ADMIN General Administrative</t>
  </si>
  <si>
    <t>FNAD.GENERAL.ES&amp;H General ES&amp;H</t>
  </si>
  <si>
    <t>FNAD.HIGH.VAC.TECH High Vac Technician</t>
  </si>
  <si>
    <t>FNAD.INTERLOCK.EN Interlock Engineer</t>
  </si>
  <si>
    <t>FNAD.INTERLOCK.SR Interlock Engineer Sr</t>
  </si>
  <si>
    <t>FNAD.INTERLOCK.TECH Electrical Interlock Technician</t>
  </si>
  <si>
    <t>FNAD.MAGNT.DESIGN.EN Magnet Design Engineer</t>
  </si>
  <si>
    <t>FNAD.MAGNT.DESIGN.SR Magnet Design Engineer Sr</t>
  </si>
  <si>
    <t>FNAD.MAGNT.DESIGNER Magnet Designer</t>
  </si>
  <si>
    <t>FNAD.MAGNT.RA Magnet Research Associate</t>
  </si>
  <si>
    <t>FNAD.MAGNT.SCIENTIST Magnet Scientist</t>
  </si>
  <si>
    <t>FNAD.MATRL.EN Materials Engineer</t>
  </si>
  <si>
    <t>FNAD.MATRL.SR Materials Engineer Sr</t>
  </si>
  <si>
    <t>FNAD.MECH.ANLYSIS.EN Mechanical Analysis Engineer</t>
  </si>
  <si>
    <t>FNAD.MECH.ANLYSIS.SR Mechanical Analysis Engineer Sr</t>
  </si>
  <si>
    <t>FNAD.MECH.ASMBY.TECH Mechanical Assembly Technician</t>
  </si>
  <si>
    <t>FNAD.MECH.DESIGN.EN Mechanical Design Engineer</t>
  </si>
  <si>
    <t>FNAD.MECH.DESIGN.SR Mechanical Design Engineer Sr</t>
  </si>
  <si>
    <t>FNAD.MECH.DESIGNER Mechanical Designer</t>
  </si>
  <si>
    <t>FNAD.MECH.DRAFTER Mechanical Drafter</t>
  </si>
  <si>
    <t>FNAD.MECH.SYSTM.TECH Mechanical Systems Technician</t>
  </si>
  <si>
    <t>FNAD.MECH.TASK.MNGR Mechanical Task Manager</t>
  </si>
  <si>
    <t>FNAD.MECH.TECH.MNGR Mechanical Technical Manager</t>
  </si>
  <si>
    <t>FNAD.MECH.TECH.SPVSR Mechanical Technician Supervisor</t>
  </si>
  <si>
    <t>FNAD.NETWORK.AYST Network Analyst</t>
  </si>
  <si>
    <t>FNAD.OPERTNS.FINANCE Operations Finance</t>
  </si>
  <si>
    <t>FNAD.OPERTNS.MNGR Operations Manager</t>
  </si>
  <si>
    <t>FNAD.OPERTNS.SPCLST Operations Specialist</t>
  </si>
  <si>
    <t>FNAD.PA.EXP.RA Particle-Astro Experimental Research Associate</t>
  </si>
  <si>
    <t>FNAD.PA.THY.RA Particle-Astro Theory Research Associate</t>
  </si>
  <si>
    <t>FNAD.PC.CUSTM.SPPRT Computer Customer Support</t>
  </si>
  <si>
    <t>FNAD.PC.SECURTY.AYST Computer Security Analyst</t>
  </si>
  <si>
    <t>FNAD.PC.SPPRT.ASSOCT PC Support Associate</t>
  </si>
  <si>
    <t>FNAD.PRCESS.CTRL.EN Process/Controls Engineer</t>
  </si>
  <si>
    <t>FNAD.PRCESS.CTRL.SR Process/Controls Engineer Sr</t>
  </si>
  <si>
    <t>FNAD.PRJ.CTRL.LEAD Project Controls Lead</t>
  </si>
  <si>
    <t>FNAD.PRJ.CTRL.MNGR Project Controls Manager</t>
  </si>
  <si>
    <t>FNAD.PRJ.CTRL.SPCLST Project Controls Specialist</t>
  </si>
  <si>
    <t>FNAD.PRJ.FINANCE Project Finance</t>
  </si>
  <si>
    <t>FNAD.PRJ.MNGR Project Manager</t>
  </si>
  <si>
    <t>FNAD.PRJ.MNGR.EXC Project Manager Exec</t>
  </si>
  <si>
    <t>FNAD.PRJ.MNGR.SR Project Manager Sr</t>
  </si>
  <si>
    <t>FNAD.PRJ.SPPRT Project Support</t>
  </si>
  <si>
    <t>FNAD.PROCUREMENT Procurement</t>
  </si>
  <si>
    <t>FNAD.PT.EXP.PHYST Particle Physicist Experimental</t>
  </si>
  <si>
    <t>FNAD.PT.EXP.RA Particle Physics Experimental Research Associate</t>
  </si>
  <si>
    <t>FNAD.PT.THY.RA Particle Physics Theory Research Associate</t>
  </si>
  <si>
    <t>FNAD.QLTY.ASSRANCE Quality Assurance</t>
  </si>
  <si>
    <t>FNAD.RAD.PRTECTON Radiation Protection</t>
  </si>
  <si>
    <t>FNAD.RF.DESIGN.EN RF Design Engineer</t>
  </si>
  <si>
    <t>FNAD.RF.DESIGN.SR RF Design Engineer Sr</t>
  </si>
  <si>
    <t>FNAD.RF.RA RF Research Associate</t>
  </si>
  <si>
    <t>FNAD.RF.SCIENTIST RF Scientist</t>
  </si>
  <si>
    <t>FNAD.SAFETY Safety</t>
  </si>
  <si>
    <t>FNAD.SRF.TECH Mechanical SRF Technician</t>
  </si>
  <si>
    <t>FNAD.SYSTM.ADMIN Systems Administrator</t>
  </si>
  <si>
    <t>FNAD.TRAINING Training</t>
  </si>
  <si>
    <t>FNAD.U.CONST.SAFETY Construction Safety Uncosted</t>
  </si>
  <si>
    <t>FNAD.U.GENERAL.ES&amp;H General ES&amp;H Uncosted</t>
  </si>
  <si>
    <t>FNAD.U.PA.EXP.PHYST Particle-Astro Physicist Experimental Uncosted</t>
  </si>
  <si>
    <t>FNAD.U.PA.EXP.RA Particle-Astro Experimental Research Associate Uncost</t>
  </si>
  <si>
    <t>FNAD.U.PA.THY.RA Particle-Astro Theory Research Associate Uncosted</t>
  </si>
  <si>
    <t>FNAD.U.PROCUREMENT Procurement Uncosted</t>
  </si>
  <si>
    <t>FNAD.U.PT.EXP.PHYST Particle Physicist Experimental Uncosted</t>
  </si>
  <si>
    <t>FNAD.U.PT.EXP.RA Particle Physics Experimental Research Associate Unco</t>
  </si>
  <si>
    <t>FNAD.U.PT.THY.RA Particle Physics Theory Research Associate Uncosted</t>
  </si>
  <si>
    <t>FNAD.U.RAD.PRTECTON Radiation Protection Uncosted</t>
  </si>
  <si>
    <t>FNAD.U.RF.RA RF Research Associate Uncosted</t>
  </si>
  <si>
    <t>FNAD.U.RF.SCIENTIST RF Scientist Uncosted</t>
  </si>
  <si>
    <t>FNAD.U.SAFETY Safety Uncosted</t>
  </si>
  <si>
    <t>FNAD.WEB.APPS.DEVLPR Web Applications Developer</t>
  </si>
  <si>
    <t>AP Accelerator Physics Center</t>
  </si>
  <si>
    <t>FNAP.AC.EXP.PHYST Accelerator Physicist Experimental</t>
  </si>
  <si>
    <t>FNAP.AC.EXP.RA Accelerator Experimental Research Associate</t>
  </si>
  <si>
    <t>FNAP.AC.THY.PHYST Accelerator Physicist Theory</t>
  </si>
  <si>
    <t>FNAP.AC.THY.RA Accelerator Theory Research Associate</t>
  </si>
  <si>
    <t>FNAP.ADMIN.SPPRT Administrative Support</t>
  </si>
  <si>
    <t>FNAP.ELEC.TECH.MNGR Electrical Technical Manager</t>
  </si>
  <si>
    <t>FNAP.ELTN.DESIGN.EN Electronics Design Engineer</t>
  </si>
  <si>
    <t>FNAP.ELTN.DESIGN.SR Electronics Design Engineer Sr</t>
  </si>
  <si>
    <t>FNAP.ENGNRING.PHYST Engineering Physicist</t>
  </si>
  <si>
    <t>FNAP.FACILITIES.MGMT Facilities Management</t>
  </si>
  <si>
    <t>FNAP.GENERAL.ADMIN General Administrative</t>
  </si>
  <si>
    <t>FNAP.MAGNT.SCIENTIST Magnet Scientist</t>
  </si>
  <si>
    <t>FNAP.MECH.ASMBY.TECH Mechanical Assembly Technician</t>
  </si>
  <si>
    <t>FNAP.MECH.DESIGN.EN Mechanical Design Engineer</t>
  </si>
  <si>
    <t>FNAP.MECH.DESIGN.SR Mechanical Design Engineer Sr</t>
  </si>
  <si>
    <t>FNAP.PA.EXP.RA Particle-Astro Experimental Research Associate</t>
  </si>
  <si>
    <t>FNAP.PA.THY.RA Particle-Astro Theory Research Associate</t>
  </si>
  <si>
    <t>FNAP.PRJ.MNGR Project Manager</t>
  </si>
  <si>
    <t>FNAP.PRJ.MNGR.EXC Project Manager Exec</t>
  </si>
  <si>
    <t>FNAP.PRJ.MNGR.SR Project Manager Sr</t>
  </si>
  <si>
    <t>FNAP.PT.EXP.PHYST Particle Physicist Experimental</t>
  </si>
  <si>
    <t>FNAP.PT.EXP.RA Particle Physics Experimental Research Associate</t>
  </si>
  <si>
    <t>FNAP.PT.THY.RA Particle Physics Theory Research Associate</t>
  </si>
  <si>
    <t>FNAP.RF.DESIGN.EN RF Design Engineer</t>
  </si>
  <si>
    <t>FNAP.RF.DESIGN.SR RF Design Engineer Sr</t>
  </si>
  <si>
    <t>FNAP.RF.RA RF Research Associate</t>
  </si>
  <si>
    <t>FNAP.RF.SCIENTIST RF Scientist</t>
  </si>
  <si>
    <t>FNAP.SYSTM.ADMIN Systems Administrator</t>
  </si>
  <si>
    <t>FNAP.U.PA.EXP.PHYST Particle-Astro Physicist Experimental Uncosted</t>
  </si>
  <si>
    <t>FNAP.U.PA.EXP.RA Particle-Astro Experimental Research Associate Uncost</t>
  </si>
  <si>
    <t>FNAP.U.PA.THY.RA Particle-Astro Theory Research Associate Uncosted</t>
  </si>
  <si>
    <t>FNAP.U.PT.EXP.PHYST Particle Physicist Experimental Uncosted</t>
  </si>
  <si>
    <t>FNAP.U.PT.EXP.RA Particle Physics Experimental Research Associate Unco</t>
  </si>
  <si>
    <t>FNAP.U.PT.THY.RA Particle Physics Theory Research Associate Uncosted</t>
  </si>
  <si>
    <t>FNAP.U.RF.RA RF Research Associate Uncosted</t>
  </si>
  <si>
    <t>FNAP.U.RF.SCIENTIST RF Scientist Uncosted</t>
  </si>
  <si>
    <t>BS Business Services Section</t>
  </si>
  <si>
    <t>FNBS.ACCOUNTANT Accountant</t>
  </si>
  <si>
    <t>FNBS.ADMIN.SPPRT Administrative Support</t>
  </si>
  <si>
    <t>FNBS.BUSINESS.ADMIN Business Administration</t>
  </si>
  <si>
    <t>FNBS.CARPENTER Carpenter</t>
  </si>
  <si>
    <t>FNBS.CLERICAL Clerical</t>
  </si>
  <si>
    <t>FNBS.CM.DISPATCHER Communications/Dispatcher</t>
  </si>
  <si>
    <t>FNBS.DATABASE.AYST Database Administration Analyst</t>
  </si>
  <si>
    <t>FNBS.DRIVER Driver</t>
  </si>
  <si>
    <t>FNBS.ELEC.TECH Electrical Technician</t>
  </si>
  <si>
    <t>FNBS.FACILITIES.MGMT Facilities Management</t>
  </si>
  <si>
    <t>FNBS.FIREFIGHTER Firefighter</t>
  </si>
  <si>
    <t>FNBS.GENERAL.ADMIN General Administrative</t>
  </si>
  <si>
    <t>FNBS.GENERAL.ES&amp;H General ES&amp;H</t>
  </si>
  <si>
    <t>FNBS.HOUSING.ACCOM Housing/Accommodations</t>
  </si>
  <si>
    <t>FNBS.LIBRARY Library</t>
  </si>
  <si>
    <t>FNBS.LOGISTICS Logistics</t>
  </si>
  <si>
    <t>FNBS.MATRL.SRVCS Material Services</t>
  </si>
  <si>
    <t>FNBS.MECHANIC Mechanic</t>
  </si>
  <si>
    <t>FNBS.OPERTNS.FINANCE Operations Finance</t>
  </si>
  <si>
    <t>FNBS.PROCUREMENT Procurement</t>
  </si>
  <si>
    <t>FNBS.SECURTY Security</t>
  </si>
  <si>
    <t>FNBS.TELECOMMNCATNS Telecommunication</t>
  </si>
  <si>
    <t>FNBS.TRAVEL Travel</t>
  </si>
  <si>
    <t>FNBS.U.GENERAL.ES&amp;H General ES&amp;H Uncosted</t>
  </si>
  <si>
    <t>FNBS.U.PROCUREMENT Procurement Uncosted</t>
  </si>
  <si>
    <t>FNBS.WEB.APPS.DEVLPR Web Applications Developer</t>
  </si>
  <si>
    <t>CD Computing Division</t>
  </si>
  <si>
    <t>FNCD.AC.EXP.RA Accelerator Experimental Research Associate</t>
  </si>
  <si>
    <t>FNCD.AC.THY.PHYST Accelerator Physicist Theory</t>
  </si>
  <si>
    <t>FNCD.AC.THY.RA Accelerator Theory Research Associate</t>
  </si>
  <si>
    <t>FNCD.ACCOUNTANT Accountant</t>
  </si>
  <si>
    <t>FNCD.ADMIN.SPPRT Administrative Support</t>
  </si>
  <si>
    <t>FNCD.APDEV.SYSTMAYST Applications Development &amp; Systems Analyst</t>
  </si>
  <si>
    <t>FNCD.ASIC.DESIGN.EN ASIC Design Engineer</t>
  </si>
  <si>
    <t>FNCD.ASIC.DESIGN.SR ASIC Design Engineer Sr</t>
  </si>
  <si>
    <t>FNCD.CLERICAL Clerical</t>
  </si>
  <si>
    <t>FNCD.CM.WB.COORDNATR Communications Website Coordinator</t>
  </si>
  <si>
    <t>FNCD.CONST.COORDNATR Construction Coordinator</t>
  </si>
  <si>
    <t>FNCD.CP.PHYCS.DEVLPR Computational Physics Developer</t>
  </si>
  <si>
    <t>FNCD.CRYO.EN Cryogenics Engineer</t>
  </si>
  <si>
    <t>FNCD.CRYO.SR Cryogenics Engineer Sr</t>
  </si>
  <si>
    <t>FNCD.CT.SRVCS.SPCLST Computing Services Specialist</t>
  </si>
  <si>
    <t>FNCD.CTRL.SYSTM.EN Control System Engineer</t>
  </si>
  <si>
    <t>FNCD.CTRL.SYSTM.SR Control System Engineer Sr</t>
  </si>
  <si>
    <t>FNCD.DATABASE.AYST Database Administration Analyst</t>
  </si>
  <si>
    <t>FNCD.DT.CNTR.OPERTNS Data Center Facilities Operations</t>
  </si>
  <si>
    <t>FNCD.ELEC.DESIGN.EN Electrical Design Engineer</t>
  </si>
  <si>
    <t>FNCD.ELEC.DESIGN.SR Electrical Design Engineer Sr</t>
  </si>
  <si>
    <t>FNCD.ELEC.DESIGNER Electrical Designer</t>
  </si>
  <si>
    <t>FNCD.ELEC.DRAFTER Electrical Drafter</t>
  </si>
  <si>
    <t>FNCD.ELEC.TECH.MNGR Electrical Technical Manager</t>
  </si>
  <si>
    <t>FNCD.ELTN.DESIGN.EN Electronics Design Engineer</t>
  </si>
  <si>
    <t>FNCD.ELTN.DESIGN.SR Electronics Design Engineer Sr</t>
  </si>
  <si>
    <t>FNCD.ELTN.TECH Electronics Technician</t>
  </si>
  <si>
    <t>FNCD.ENGNRING.PHYST Engineering Physicist</t>
  </si>
  <si>
    <t>FNCD.FACILITIES.MGMT Facilities Management</t>
  </si>
  <si>
    <t>FNCD.FUNCTNAL.AYST Functional Analyst</t>
  </si>
  <si>
    <t>FNCD.GENERAL.ADMIN General Administrative</t>
  </si>
  <si>
    <t>FNCD.GENERAL.ES&amp;H General ES&amp;H</t>
  </si>
  <si>
    <t>FNCD.INTERLOCK.EN Interlock Engineer</t>
  </si>
  <si>
    <t>FNCD.INTERLOCK.SR Interlock Engineer Sr</t>
  </si>
  <si>
    <t>FNCD.MAGNT.DESIGN.EN Magnet Design Engineer</t>
  </si>
  <si>
    <t>FNCD.MAGNT.DESIGN.SR Magnet Design Engineer Sr</t>
  </si>
  <si>
    <t>FNCD.MATRL.EN Materials Engineer</t>
  </si>
  <si>
    <t>FNCD.MATRL.SR Materials Engineer Sr</t>
  </si>
  <si>
    <t>FNCD.MATRL.SRVCS Material Services</t>
  </si>
  <si>
    <t>FNCD.MECH.ANLYSIS.EN Mechanical Analysis Engineer</t>
  </si>
  <si>
    <t>FNCD.MECH.ANLYSIS.SR Mechanical Analysis Engineer Sr</t>
  </si>
  <si>
    <t>FNCD.MECH.DESIGN.EN Mechanical Design Engineer</t>
  </si>
  <si>
    <t>FNCD.MECH.DESIGN.SR Mechanical Design Engineer Sr</t>
  </si>
  <si>
    <t>FNCD.MECH.DESIGNER Mechanical Designer</t>
  </si>
  <si>
    <t>FNCD.MECH.DRAFTER Mechanical Drafter</t>
  </si>
  <si>
    <t>FNCD.MECH.TECH.MNGR Mechanical Technical Manager</t>
  </si>
  <si>
    <t>FNCD.NETWORK.AYST Network Analyst</t>
  </si>
  <si>
    <t>FNCD.OPERTNS.FINANCE Operations Finance</t>
  </si>
  <si>
    <t>FNCD.PA.EXP.PHYST Particle-Astro Physicist Experimental</t>
  </si>
  <si>
    <t>FNCD.PA.EXP.RA Particle-Astro Experimental Research Associate</t>
  </si>
  <si>
    <t>FNCD.PA.THY.RA Particle-Astro Theory Research Associate</t>
  </si>
  <si>
    <t>FNCD.PC.CUSTM.SPPRT Computer Customer Support</t>
  </si>
  <si>
    <t>FNCD.PC.SCI.RESRCHER Computer Science Researcher</t>
  </si>
  <si>
    <t>FNCD.PC.SECURTY.AYST Computer Security Analyst</t>
  </si>
  <si>
    <t>FNCD.PC.SPPRT.ASSOCT PC Support Associate</t>
  </si>
  <si>
    <t>FNCD.PRCESS.CTRL.EN Process/Controls Engineer</t>
  </si>
  <si>
    <t>FNCD.PRCESS.CTRL.SR Process/Controls Engineer Sr</t>
  </si>
  <si>
    <t>FNCD.PRJ.CTRL.LEAD Project Controls Lead</t>
  </si>
  <si>
    <t>FNCD.PRJ.CTRL.MNGR Project Controls Manager</t>
  </si>
  <si>
    <t>FNCD.PRJ.CTRL.SPCLST Project Controls Specialist</t>
  </si>
  <si>
    <t>FNCD.PRJ.FINANCE Project Finance</t>
  </si>
  <si>
    <t>FNCD.PRJ.MNGR Project Manager</t>
  </si>
  <si>
    <t>FNCD.PRJ.MNGR.EXC Project Manager Exec</t>
  </si>
  <si>
    <t>FNCD.PRJ.MNGR.SR Project Manager Sr</t>
  </si>
  <si>
    <t>FNCD.PRJ.SPPRT Project Support</t>
  </si>
  <si>
    <t>FNCD.PROCUREMENT Procurement</t>
  </si>
  <si>
    <t>FNCD.PT.EXP.PHYST Particle Physicist Experimental</t>
  </si>
  <si>
    <t>FNCD.PT.EXP.RA Particle Physics Experimental Research Associate</t>
  </si>
  <si>
    <t>FNCD.PT.THY.PHYST Particle Physicist Theory</t>
  </si>
  <si>
    <t>FNCD.PT.THY.RA Particle Physics Theory Research Associate</t>
  </si>
  <si>
    <t>FNCD.PUBLIC.RELTIONS Public Relations</t>
  </si>
  <si>
    <t>FNCD.RF.DESIGN.EN RF Design Engineer</t>
  </si>
  <si>
    <t>FNCD.RF.DESIGN.SR RF Design Engineer Sr</t>
  </si>
  <si>
    <t>FNCD.SYSTM.ADMIN Systems Administrator</t>
  </si>
  <si>
    <t>FNCD.TRAINING Training</t>
  </si>
  <si>
    <t>FNCD.U.GENERAL.ES&amp;H General ES&amp;H Uncosted</t>
  </si>
  <si>
    <t>FNCD.U.PA.EXP.PHYST Particle-Astro Physicist Experimental Uncosted</t>
  </si>
  <si>
    <t>FNCD.U.PA.EXP.RA Particle-Astro Experimental Research Associate Uncost</t>
  </si>
  <si>
    <t>FNCD.U.PA.THY.RA Particle-Astro Theory Research Associate Uncosted</t>
  </si>
  <si>
    <t>FNCD.U.PROCUREMENT Procurement Uncosted</t>
  </si>
  <si>
    <t>FNCD.U.PT.EXP.PHYST Particle Physicist Experimental Uncosted</t>
  </si>
  <si>
    <t>FNCD.U.PT.EXP.RA Particle Physics Experimental Research Associate Unco</t>
  </si>
  <si>
    <t>FNCD.U.PT.THY.PHYST Particle Physicist Theory Uncosted</t>
  </si>
  <si>
    <t>FNCD.U.PT.THY.RA Particle Physics Theory Research Associate Uncosted</t>
  </si>
  <si>
    <t>FNCD.WEB.APPS.DEVLPR Web Applications Developer</t>
  </si>
  <si>
    <t>CM CMS - Compact Muon Solenoid Center</t>
  </si>
  <si>
    <t>FNCM.AC.EXP.RA Accelerator Experimental Research Associate</t>
  </si>
  <si>
    <t>FNCM.AC.THY.RA Accelerator Theory Research Associate</t>
  </si>
  <si>
    <t>FNCM.ADMIN.SPPRT Administrative Support</t>
  </si>
  <si>
    <t>FNCM.FACILITIES.MGMT Facilities Management</t>
  </si>
  <si>
    <t>FNCM.GENERAL.ADMIN General Administrative</t>
  </si>
  <si>
    <t>FNCM.PA.EXP.PHYST Particle-Astro Physicist Experimental</t>
  </si>
  <si>
    <t>FNCM.PA.EXP.RA Particle-Astro Experimental Research Associate</t>
  </si>
  <si>
    <t>FNCM.PA.THY.RA Particle-Astro Theory Research Associate</t>
  </si>
  <si>
    <t>FNCM.PT.EXP.PHYST Particle Physicist Experimental</t>
  </si>
  <si>
    <t>FNCM.PT.EXP.RA Particle Physics Experimental Research Associate</t>
  </si>
  <si>
    <t>FNCM.PT.THY.RA Particle Physics Theory Research Associate</t>
  </si>
  <si>
    <t>FNCM.U.PA.EXP.PHYST Particle-Astro Physicist Experimental Uncosted</t>
  </si>
  <si>
    <t>FNCM.U.PA.EXP.RA Particle-Astro Experimental Research Associate Uncost</t>
  </si>
  <si>
    <t>FNCM.U.PA.THY.RA Particle-Astro Theory Research Associate Uncosted</t>
  </si>
  <si>
    <t>FNCM.U.PT.EXP.PHYST Particle Physicist Experimental Uncosted</t>
  </si>
  <si>
    <t>FNCM.U.PT.EXP.RA Particle Physics Experimental Research Associate Unco</t>
  </si>
  <si>
    <t>FNCM.U.PT.THY.RA Particle Physics Theory Research Associate Uncosted</t>
  </si>
  <si>
    <t>DO Directorate</t>
  </si>
  <si>
    <t>FNDO.ACCOUNTANT Accountant</t>
  </si>
  <si>
    <t>FNDO.ADMIN.SPPRT Administrative Support</t>
  </si>
  <si>
    <t>FNDO.AUDITOR Audit</t>
  </si>
  <si>
    <t>FNDO.CLERICAL Clerical</t>
  </si>
  <si>
    <t>FNDO.EXECUTIVE.DIRCT Executive Direction</t>
  </si>
  <si>
    <t>FNDO.FACILITIES.MGMT Facilities Management</t>
  </si>
  <si>
    <t>FNDO.GENERAL.ADMIN General Administrative</t>
  </si>
  <si>
    <t>FNDO.LEGAL Legal</t>
  </si>
  <si>
    <t>FNDO.MECH.DESIGN.EN Mechanical Design Engineer</t>
  </si>
  <si>
    <t>FNDO.MECH.DESIGN.SR Mechanical Design Engineer Sr</t>
  </si>
  <si>
    <t>FNDO.MEDIA.SRVCS Media Services</t>
  </si>
  <si>
    <t>FNDO.OPERTNS.FINANCE Operations Finance</t>
  </si>
  <si>
    <t>FNDO.PRJ.CTRL.LEAD Project Controls Lead</t>
  </si>
  <si>
    <t>FNDO.PRJ.CTRL.MNGR Project Controls Manager</t>
  </si>
  <si>
    <t>FNDO.PRJ.CTRL.SPCLST Project Controls Specialist</t>
  </si>
  <si>
    <t>FNDO.PRJ.FINANCE Project Finance</t>
  </si>
  <si>
    <t>FNDO.PRJ.MNGR Project Manager</t>
  </si>
  <si>
    <t>FNDO.PRJ.MNGR.EXC Project Manager Exec</t>
  </si>
  <si>
    <t>FNDO.PRJ.MNGR.SR Project Manager Sr</t>
  </si>
  <si>
    <t>FNDO.PRJ.SPPRT Project Support</t>
  </si>
  <si>
    <t>FNDO.PT.EXP.PHYST Particle Physicist Experimental</t>
  </si>
  <si>
    <t>FNDO.PUBLIC.RELTIONS Public Relations</t>
  </si>
  <si>
    <t>FNDO.QLTY.ASSRANCE Quality Assurance</t>
  </si>
  <si>
    <t>FNDO.U.PT.EXP.PHYST Particle Physicist Experimental Uncosted</t>
  </si>
  <si>
    <t>FNDO.WEB.APPS.DEVLPR Web Applications Developer</t>
  </si>
  <si>
    <t>ES ES&amp;H</t>
  </si>
  <si>
    <t>FNES.ACCOUNTANT Accountant</t>
  </si>
  <si>
    <t>FNES.ADMIN.SPPRT Administrative Support</t>
  </si>
  <si>
    <t>FNES.CLERICAL Clerical</t>
  </si>
  <si>
    <t>FNES.CONST.SAFETY Construction Safety</t>
  </si>
  <si>
    <t>FNES.DATABASE.AYST Database Administration Analyst</t>
  </si>
  <si>
    <t>FNES.DRIVER Driver</t>
  </si>
  <si>
    <t>FNES.ELEC.DESIGN.EN Electrical Design Engineer</t>
  </si>
  <si>
    <t>FNES.ELEC.DESIGN.SR Electrical Design Engineer Sr</t>
  </si>
  <si>
    <t>FNES.ELEC.SAFETY Electrical Safety</t>
  </si>
  <si>
    <t>FNES.ELTN.DESIGN.EN Electronics Design Engineer</t>
  </si>
  <si>
    <t>FNES.ELTN.DESIGN.SR Electronics Design Engineer Sr</t>
  </si>
  <si>
    <t>FNES.ELTN.TECH Electronics Technician</t>
  </si>
  <si>
    <t>FNES.EMRGNCY.PLANNER Emergency Planner</t>
  </si>
  <si>
    <t>FNES.ENVIRNMENTAL Environmental</t>
  </si>
  <si>
    <t>FNES.FACILITIES.MGMT Facilities Management</t>
  </si>
  <si>
    <t>FNES.GENERAL.ADMIN General Administrative</t>
  </si>
  <si>
    <t>FNES.GENERAL.ES&amp;H General ES&amp;H</t>
  </si>
  <si>
    <t>FNES.INDSTRL.HYGT Industrial Hygienist</t>
  </si>
  <si>
    <t>FNES.LABORTY.ANLYSIS Laboratory Analysis</t>
  </si>
  <si>
    <t>FNES.OCCUP.NURSE Occupational Medicine Nurse</t>
  </si>
  <si>
    <t>FNES.OCCUP.PHYSICIAN Occupational Medicine Physician</t>
  </si>
  <si>
    <t>FNES.OPERTNS.FINANCE Operations Finance</t>
  </si>
  <si>
    <t>FNES.PA.EXP.PHYST Particle-Astro Physicist Experimental</t>
  </si>
  <si>
    <t>FNES.RAD.PRTECTON Radiation Protection</t>
  </si>
  <si>
    <t>FNES.SAFETY Safety</t>
  </si>
  <si>
    <t>FNES.SYSTM.ADMIN Systems Administrator</t>
  </si>
  <si>
    <t>FNES.TRAINING Training</t>
  </si>
  <si>
    <t>FNES.U.CONST.SAFETY Construction Safety Uncosted</t>
  </si>
  <si>
    <t>FNES.U.ENVIRNMENTAL Environmental Uncosted</t>
  </si>
  <si>
    <t>FNES.U.GENERAL.ES&amp;H General ES&amp;H Uncosted</t>
  </si>
  <si>
    <t>FNES.U.INDSTRL.HYGT Industrial Hygienist Uncosted</t>
  </si>
  <si>
    <t>FNES.U.RAD.PRTECTON Radiation Protection Uncosted</t>
  </si>
  <si>
    <t>FNES.U.SAFETY Safety Uncosted</t>
  </si>
  <si>
    <t>FNES.WASTE.MANAGEMNT Waste Management</t>
  </si>
  <si>
    <t>FE FESS</t>
  </si>
  <si>
    <t>FNFE.ACCOUNTANT Accountant</t>
  </si>
  <si>
    <t>FNFE.ADMIN.SPPRT Administrative Support</t>
  </si>
  <si>
    <t>FNFE.APDEV.SYSTMAYST Applications Development &amp; Systems Analyst</t>
  </si>
  <si>
    <t>FNFE.BUILDING.SRVCS Building Services</t>
  </si>
  <si>
    <t>FNFE.BUSINESS.ADMIN Business Administration</t>
  </si>
  <si>
    <t>FNFE.CFS.DESIGN.EN CFS Design Engineer</t>
  </si>
  <si>
    <t>FNFE.CFS.OPERTNS.EN CFS Operations Engineer</t>
  </si>
  <si>
    <t>FNFE.CFS.OPERTNS.SR CFS Operations Engineer Sr</t>
  </si>
  <si>
    <t>FNFE.CFS.TECH.MNGR CFS Technical Manager</t>
  </si>
  <si>
    <t>FNFE.CLERICAL Clerical</t>
  </si>
  <si>
    <t>FNFE.CONST.COORDNATR Construction Coordinator</t>
  </si>
  <si>
    <t>FNFE.CONST.SAFETY Construction Safety</t>
  </si>
  <si>
    <t>FNFE.FACILITIES.MGMT Facilities Management</t>
  </si>
  <si>
    <t>FNFE.GENERAL.ADMIN General Administrative</t>
  </si>
  <si>
    <t>FNFE.GENERAL.ES&amp;H General ES&amp;H</t>
  </si>
  <si>
    <t>FNFE.GEOG.INFO.SYSTM Geographic Information System</t>
  </si>
  <si>
    <t>FNFE.GROUNDS.KEEPER Groundskeeping</t>
  </si>
  <si>
    <t>FNFE.MAINTENANCE Maintenance</t>
  </si>
  <si>
    <t>FNFE.MATRL.SRVCS Material Services</t>
  </si>
  <si>
    <t>FNFE.MECHANIC Mechanic</t>
  </si>
  <si>
    <t>FNFE.OPERTNS.FINANCE Operations Finance</t>
  </si>
  <si>
    <t>FNFE.PRJ.CTRL.LEAD Project Controls Lead</t>
  </si>
  <si>
    <t>FNFE.PRJ.CTRL.MNGR Project Controls Manager</t>
  </si>
  <si>
    <t>FNFE.PRJ.CTRL.SPCLST Project Controls Specialist</t>
  </si>
  <si>
    <t>FNFE.PRJ.FINANCE Project Finance</t>
  </si>
  <si>
    <t>FNFE.PRJ.MNGR Project Manager</t>
  </si>
  <si>
    <t>FNFE.PRJ.MNGR.EXC Project Manager Exec</t>
  </si>
  <si>
    <t>FNFE.PRJ.MNGR.SR Project Manager Sr</t>
  </si>
  <si>
    <t>FNFE.PRJ.SPPRT Project Support</t>
  </si>
  <si>
    <t>FNFE.SAFETY Safety</t>
  </si>
  <si>
    <t>FNFE.U.CONST.SAFETY Construction Safety Uncosted</t>
  </si>
  <si>
    <t>FNFE.U.GENERAL.ES&amp;H General ES&amp;H Uncosted</t>
  </si>
  <si>
    <t>FNFE.U.SAFETY Safety Uncosted</t>
  </si>
  <si>
    <t>FI Finance</t>
  </si>
  <si>
    <t>FNFI.ACCOUNTANT Accountant</t>
  </si>
  <si>
    <t>FNFI.ADMIN.SPPRT Administrative Support</t>
  </si>
  <si>
    <t>FNFI.CLERICAL Clerical</t>
  </si>
  <si>
    <t>FNFI.EXECUTIVE.DIRCT Executive Direction</t>
  </si>
  <si>
    <t>FNFI.FACILITIES.MGMT Facilities Management</t>
  </si>
  <si>
    <t>FNFI.FUNCTNAL.AYST Functional Analyst</t>
  </si>
  <si>
    <t>FNFI.GENERAL.ADMIN General Administrative</t>
  </si>
  <si>
    <t>FNFI.OPERTNS.FINANCE Operations Finance</t>
  </si>
  <si>
    <t>FN Fermi Escalated Values</t>
  </si>
  <si>
    <t>FN.S.PRJ.CTRL.ENTRY Project Controls Entry</t>
  </si>
  <si>
    <t>FN.S.PRJ.CTRL.MID Project Controls Mid</t>
  </si>
  <si>
    <t>FN.S.PRJ.CTRL.SR Project Controls Sr</t>
  </si>
  <si>
    <t>LB LBNE Project</t>
  </si>
  <si>
    <t>FNLB.CFS.TECH.MNGR CFS Technical Manager</t>
  </si>
  <si>
    <t>FNLB.ELEC.DESIGN.EN Electrical Design Engineer</t>
  </si>
  <si>
    <t>FNLB.ELEC.DESIGN.SR Electrical Design Engineer Sr</t>
  </si>
  <si>
    <t>FNLB.PRJ.CTRL.LEAD Project Controls Lead</t>
  </si>
  <si>
    <t>FNLB.PRJ.CTRL.MNGR Project Controls Manager</t>
  </si>
  <si>
    <t>FNLB.PRJ.CTRL.SPCLST Project Controls Specialist</t>
  </si>
  <si>
    <t>FNLB.PRJ.FINANCE Project Finance</t>
  </si>
  <si>
    <t>FNLB.PRJ.MNGR Project Manager</t>
  </si>
  <si>
    <t>FNLB.PRJ.MNGR.EXC Project Manager Exec</t>
  </si>
  <si>
    <t>FNLB.PRJ.MNGR.SR Project Manager Sr</t>
  </si>
  <si>
    <t>FNLB.PRJ.SPPRT Project Support</t>
  </si>
  <si>
    <t>OF Office of the CIO</t>
  </si>
  <si>
    <t>FNOF.ADMIN.SPPRT Administrative Support</t>
  </si>
  <si>
    <t>FNOF.APDEV.SYSTMAYST Applications Development &amp; Systems Analyst</t>
  </si>
  <si>
    <t>FNOF.CT.SRVCS.SPCLST Computing Services Specialist</t>
  </si>
  <si>
    <t>FNOF.FUNCTNAL.AYST Functional Analyst</t>
  </si>
  <si>
    <t>FNOF.OPERTNS.FINANCE Operations Finance</t>
  </si>
  <si>
    <t>FNOF.PC.SCI.RESRCHER Computer Science Researcher</t>
  </si>
  <si>
    <t>FNOF.PC.SECURTY.AYST Computer Security Analyst</t>
  </si>
  <si>
    <t>FNOF.PRJ.MNGR Project Manager</t>
  </si>
  <si>
    <t>FNOF.PRJ.MNGR.EXC Project Manager Exec</t>
  </si>
  <si>
    <t>FNOF.PRJ.MNGR.SR Project Manager Sr</t>
  </si>
  <si>
    <t>FNOF.PT.EXP.PHYST Particle Physicist Experimental</t>
  </si>
  <si>
    <t>FNOF.PUBLIC.RELTIONS Public Relations</t>
  </si>
  <si>
    <t>FNOF.U.PT.EXP.PHYST Particle Physicist Experimental Uncosted</t>
  </si>
  <si>
    <t>FNOF.WEB.APPS.DEVLPR Web Applications Developer</t>
  </si>
  <si>
    <t>PA Center for Particle Astrophysics</t>
  </si>
  <si>
    <t>FNPA.AC.EXP.RA Accelerator Experimental Research Associate</t>
  </si>
  <si>
    <t>FNPA.AC.THY.RA Accelerator Theory Research Associate</t>
  </si>
  <si>
    <t>FNPA.ADMIN.SPPRT Administrative Support</t>
  </si>
  <si>
    <t>FNPA.FACILITIES.MGMT Facilities Management</t>
  </si>
  <si>
    <t>FNPA.GENERAL.ADMIN General Administrative</t>
  </si>
  <si>
    <t>FNPA.PA.EXP.PHYST Particle-Astro Physicist Experimental</t>
  </si>
  <si>
    <t>FNPA.PA.EXP.RA Particle-Astro Experimental Research Associate</t>
  </si>
  <si>
    <t>FNPA.PA.THY.RA Particle-Astro Theory Research Associate</t>
  </si>
  <si>
    <t>FNPA.PT.EXP.RA Particle Physics Experimental Research Associate</t>
  </si>
  <si>
    <t>FNPA.PT.THY.RA Particle Physics Theory Research Associate</t>
  </si>
  <si>
    <t>FNPA.U.PA.EXP.RA Particle-Astro Experimental Research Associate Uncost</t>
  </si>
  <si>
    <t>FNPA.U.PA.THY.RA Particle-Astro Theory Research Associate Uncosted</t>
  </si>
  <si>
    <t>FNPA.U.PT.EXP.RA Particle Physics Experimental Research Associate Unco</t>
  </si>
  <si>
    <t>FNPA.U.PT.THY.RA Particle Physics Theory Research Associate Uncosted</t>
  </si>
  <si>
    <t>PD Particle Physics Division</t>
  </si>
  <si>
    <t>FNPD.AC.EXP.RA Accelerator Experimental Research Associate</t>
  </si>
  <si>
    <t>FNPD.AC.SYSTM.SPCLST Accelerator Systems Specialist</t>
  </si>
  <si>
    <t>FNPD.AC.THY.RA Accelerator Theory Research Associate</t>
  </si>
  <si>
    <t>FNPD.ACCOUNTANT Accountant</t>
  </si>
  <si>
    <t>FNPD.ADMIN.SPPRT Administrative Support</t>
  </si>
  <si>
    <t>FNPD.APDEV.SYSTMAYST Applications Development &amp; Systems Analyst</t>
  </si>
  <si>
    <t>FNPD.ASIC.DESIGN.EN ASIC Design Engineer</t>
  </si>
  <si>
    <t>FNPD.ASIC.DESIGN.SR ASIC Design Engineer Sr</t>
  </si>
  <si>
    <t>FNPD.BUILDING.SRVCS Building Services</t>
  </si>
  <si>
    <t>FNPD.CHEMIST Chemist</t>
  </si>
  <si>
    <t>FNPD.CLERICAL Clerical</t>
  </si>
  <si>
    <t>FNPD.CONST.COORDNATR Construction Coordinator</t>
  </si>
  <si>
    <t>FNPD.CP.PHYCS.DEVLPR Computational Physics Developer</t>
  </si>
  <si>
    <t>FNPD.CRYO.EN Cryogenics Engineer</t>
  </si>
  <si>
    <t>FNPD.CRYO.SR Cryogenics Engineer Sr</t>
  </si>
  <si>
    <t>FNPD.CRYO.TECH Cryo Technician</t>
  </si>
  <si>
    <t>FNPD.CT.SRVCS.SPCLST Computing Services Specialist</t>
  </si>
  <si>
    <t>FNPD.CTRL.SYSTM.EN Control System Engineer</t>
  </si>
  <si>
    <t>FNPD.CTRL.SYSTM.SR Control System Engineer Sr</t>
  </si>
  <si>
    <t>FNPD.DATABASE.AYST Database Administration Analyst</t>
  </si>
  <si>
    <t>FNPD.ELEC.ASMBY.TECH Electrical Assembly Technician</t>
  </si>
  <si>
    <t>FNPD.ELEC.DESIGN.EN Electrical Design Engineer</t>
  </si>
  <si>
    <t>FNPD.ELEC.DESIGN.SR Electrical Design Engineer Sr</t>
  </si>
  <si>
    <t>FNPD.ELEC.DESIGNER Electrical Designer</t>
  </si>
  <si>
    <t>FNPD.ELEC.DRAFTER Electrical Drafter</t>
  </si>
  <si>
    <t>FNPD.ELEC.TASK.MNGR Electrical Task Manager</t>
  </si>
  <si>
    <t>FNPD.ELEC.TECH Electrical Technician</t>
  </si>
  <si>
    <t>FNPD.ELEC.TECH.MNGR Electrical Technical Manager</t>
  </si>
  <si>
    <t>FNPD.ELEC.TECH.SPVSR Electrical Technician Supervisor</t>
  </si>
  <si>
    <t>FNPD.ELTN.DESIGN.EN Electronics Design Engineer</t>
  </si>
  <si>
    <t>FNPD.ELTN.DESIGN.SR Electronics Design Engineer Sr</t>
  </si>
  <si>
    <t>FNPD.ELTN.TECH Electronics Technician</t>
  </si>
  <si>
    <t>FNPD.ENGNRING.PHYST Engineering Physicist</t>
  </si>
  <si>
    <t>FNPD.EXECUTIVE.DIRCT Executive Direction</t>
  </si>
  <si>
    <t>FNPD.FABRCATN.SPCLST Fabrication Specialist</t>
  </si>
  <si>
    <t>FNPD.FACILITIES.MGMT Facilities Management</t>
  </si>
  <si>
    <t>FNPD.GENERAL.ADMIN General Administrative</t>
  </si>
  <si>
    <t>FNPD.GENERAL.ES&amp;H General ES&amp;H</t>
  </si>
  <si>
    <t>FNPD.GEODEIST Geodesist</t>
  </si>
  <si>
    <t>FNPD.HIGH.VAC.TECH High Vac Technician</t>
  </si>
  <si>
    <t>FNPD.INSTRUMENT.TECH Mechanical Instrument Technician</t>
  </si>
  <si>
    <t>FNPD.INTERLOCK.EN Interlock Engineer</t>
  </si>
  <si>
    <t>FNPD.INTERLOCK.SR Interlock Engineer Sr</t>
  </si>
  <si>
    <t>FNPD.MAGNT.DESIGN.EN Magnet Design Engineer</t>
  </si>
  <si>
    <t>FNPD.MAGNT.DESIGN.SR Magnet Design Engineer Sr</t>
  </si>
  <si>
    <t>FNPD.MATRL.EN Materials Engineer</t>
  </si>
  <si>
    <t>FNPD.MATRL.SR Materials Engineer Sr</t>
  </si>
  <si>
    <t>FNPD.MECH.ANLYSIS.EN Mechanical Analysis Engineer</t>
  </si>
  <si>
    <t>FNPD.MECH.ANLYSIS.SR Mechanical Analysis Engineer Sr</t>
  </si>
  <si>
    <t>FNPD.MECH.ASMBY.TECH Mechanical Assembly Technician</t>
  </si>
  <si>
    <t>FNPD.MECH.DESIGN.EN Mechanical Design Engineer</t>
  </si>
  <si>
    <t>FNPD.MECH.DESIGN.SR Mechanical Design Engineer Sr</t>
  </si>
  <si>
    <t>FNPD.MECH.DESIGNER Mechanical Designer</t>
  </si>
  <si>
    <t>FNPD.MECH.DRAFTER Mechanical Drafter</t>
  </si>
  <si>
    <t>FNPD.MECH.TECH.MNGR Mechanical Technical Manager</t>
  </si>
  <si>
    <t>FNPD.MECH.TECH.SPVSR Mechanical Technician Supervisor</t>
  </si>
  <si>
    <t>FNPD.METROLOGIST Metrologist</t>
  </si>
  <si>
    <t>FNPD.OPERTNS.FINANCE Operations Finance</t>
  </si>
  <si>
    <t>FNPD.PA.EXP.PHYST Particle-Astro Physicist Experimental</t>
  </si>
  <si>
    <t>FNPD.PA.EXP.RA Particle-Astro Experimental Research Associate</t>
  </si>
  <si>
    <t>FNPD.PA.THY.PHYST Particle-Astro Physicist Theory</t>
  </si>
  <si>
    <t>FNPD.PA.THY.RA Particle-Astro Theory Research Associate</t>
  </si>
  <si>
    <t>FNPD.PRCESS.CTRL.EN Process/Controls Engineer</t>
  </si>
  <si>
    <t>FNPD.PRCESS.CTRL.SR Process/Controls Engineer Sr</t>
  </si>
  <si>
    <t>FNPD.PRJ.CTRL.LEAD Project Controls Lead</t>
  </si>
  <si>
    <t>FNPD.PRJ.CTRL.MNGR Project Controls Manager</t>
  </si>
  <si>
    <t>FNPD.PRJ.CTRL.SPCLST Project Controls Specialist</t>
  </si>
  <si>
    <t>FNPD.PRJ.FINANCE Project Finance</t>
  </si>
  <si>
    <t>FNPD.PRJ.MNGR Project Manager</t>
  </si>
  <si>
    <t>FNPD.PRJ.MNGR.EXC Project Manager Exec</t>
  </si>
  <si>
    <t>FNPD.PRJ.MNGR.SR Project Manager Sr</t>
  </si>
  <si>
    <t>FNPD.PRJ.SPPRT Project Support</t>
  </si>
  <si>
    <t>FNPD.PROCUREMENT Procurement</t>
  </si>
  <si>
    <t>FNPD.PT.EXP.PHYST Particle Physicist Experimental</t>
  </si>
  <si>
    <t>FNPD.PT.EXP.RA Particle Physics Experimental Research Associate</t>
  </si>
  <si>
    <t>FNPD.PT.THY.PHYST Particle Physicist Theory</t>
  </si>
  <si>
    <t>FNPD.PT.THY.RA Particle Physics Theory Research Associate</t>
  </si>
  <si>
    <t>FNPD.RAD.PRTECTON Radiation Protection</t>
  </si>
  <si>
    <t>FNPD.SAFETY Safety</t>
  </si>
  <si>
    <t>FNPD.SYSTM.ADMIN Systems Administrator</t>
  </si>
  <si>
    <t>FNPD.TRAINING Training</t>
  </si>
  <si>
    <t>FNPD.U.GENERAL.ES&amp;H General ES&amp;H Uncosted</t>
  </si>
  <si>
    <t>FNPD.U.PA.EXP.PHYST Particle-Astro Physicist Experimental Uncosted</t>
  </si>
  <si>
    <t>FNPD.U.PA.EXP.RA Particle-Astro Experimental Research Associate Uncost</t>
  </si>
  <si>
    <t>FNPD.U.PA.THY.PHYST Particle-Astro Physicist Theory Uncosted</t>
  </si>
  <si>
    <t>FNPD.U.PA.THY.RA Particle-Astro Theory Research Associate Uncosted</t>
  </si>
  <si>
    <t>FNPD.U.PROCUREMENT Procurement Uncosted</t>
  </si>
  <si>
    <t>FNPD.U.PT.EXP.PHYST Particle Physicist Experimental Uncosted</t>
  </si>
  <si>
    <t>FNPD.U.PT.EXP.RA Particle Physics Experimental Research Associate Unco</t>
  </si>
  <si>
    <t>FNPD.U.PT.THY.PHYST Particle Physicist Theory Uncosted</t>
  </si>
  <si>
    <t>FNPD.U.PT.THY.RA Particle Physics Theory Research Associate Uncosted</t>
  </si>
  <si>
    <t>FNPD.U.RAD.PRTECTON Radiation Protection Uncosted</t>
  </si>
  <si>
    <t>FNPD.U.SAFETY Safety Uncosted</t>
  </si>
  <si>
    <t>TD Technical Division</t>
  </si>
  <si>
    <t>FNTD.AC.EXP.PHYST Accelerator Physicist Experimental</t>
  </si>
  <si>
    <t>FNTD.AC.EXP.RA Accelerator Experimental Research Associate</t>
  </si>
  <si>
    <t>FNTD.AC.THY.PHYST Accelerator Physicist Theory</t>
  </si>
  <si>
    <t>FNTD.AC.THY.RA Accelerator Theory Research Associate</t>
  </si>
  <si>
    <t>FNTD.ACCOUNTANT Accountant</t>
  </si>
  <si>
    <t>FNTD.ADMIN.SPPRT Administrative Support</t>
  </si>
  <si>
    <t>FNTD.APDEV.SYSTMAYST Applications Development &amp; Systems Analyst</t>
  </si>
  <si>
    <t>FNTD.ASIC.DESIGN.EN ASIC Design Engineer</t>
  </si>
  <si>
    <t>FNTD.ASIC.DESIGN.SR ASIC Design Engineer Sr</t>
  </si>
  <si>
    <t>FNTD.CHEMIST Chemist</t>
  </si>
  <si>
    <t>FNTD.CLERICAL Clerical</t>
  </si>
  <si>
    <t>FNTD.CONST.COORDNATR Construction Coordinator</t>
  </si>
  <si>
    <t>FNTD.CONST.MNGR Construction Manager</t>
  </si>
  <si>
    <t>FNTD.CRYO.DESIGNER Cryo Designer</t>
  </si>
  <si>
    <t>FNTD.CRYO.EN Cryogenics Engineer</t>
  </si>
  <si>
    <t>FNTD.CRYO.SR Cryogenics Engineer Sr</t>
  </si>
  <si>
    <t>FNTD.CRYO.TECH Cryo Technician</t>
  </si>
  <si>
    <t>FNTD.CTRL.SYSTM.EN Control System Engineer</t>
  </si>
  <si>
    <t>FNTD.CTRL.SYSTM.SR Control System Engineer Sr</t>
  </si>
  <si>
    <t>FNTD.ELEC.ASMBY.TECH Electrical Assembly Technician</t>
  </si>
  <si>
    <t>FNTD.ELEC.DESIGN.EN Electrical Design Engineer</t>
  </si>
  <si>
    <t>FNTD.ELEC.DESIGN.SR Electrical Design Engineer Sr</t>
  </si>
  <si>
    <t>FNTD.ELEC.DESIGNER Electrical Designer</t>
  </si>
  <si>
    <t>FNTD.ELEC.DRAFTER Electrical Drafter</t>
  </si>
  <si>
    <t>FNTD.ELEC.TECH Electrical Technician</t>
  </si>
  <si>
    <t>FNTD.ELEC.TECH.MNGR Electrical Technical Manager</t>
  </si>
  <si>
    <t>FNTD.ELEC.TECH.SPVSR Electrical Technician Supervisor</t>
  </si>
  <si>
    <t>FNTD.ELTN.DESIGN.EN Electronics Design Engineer</t>
  </si>
  <si>
    <t>FNTD.ELTN.DESIGN.SR Electronics Design Engineer Sr</t>
  </si>
  <si>
    <t>FNTD.ELTN.TECH Electronics Technician</t>
  </si>
  <si>
    <t>FNTD.ENGNRING.PHYST Engineering Physicist</t>
  </si>
  <si>
    <t>FNTD.FABRCATN.SPCLST Fabrication Specialist</t>
  </si>
  <si>
    <t>FNTD.FACILITIES.MGMT Facilities Management</t>
  </si>
  <si>
    <t>FNTD.GENERAL.ADMIN General Administrative</t>
  </si>
  <si>
    <t>FNTD.GENERAL.ES&amp;H General ES&amp;H</t>
  </si>
  <si>
    <t>FNTD.HIGH.VAC.TECH High Vac Technician</t>
  </si>
  <si>
    <t>FNTD.INSTRUMENT.TECH Mechanical Instrument Technician</t>
  </si>
  <si>
    <t>FNTD.INTERLOCK.EN Interlock Engineer</t>
  </si>
  <si>
    <t>FNTD.INTERLOCK.SR Interlock Engineer Sr</t>
  </si>
  <si>
    <t>FNTD.MACHINIST Machinist</t>
  </si>
  <si>
    <t>FNTD.MAGNT.DESIGN.EN Magnet Design Engineer</t>
  </si>
  <si>
    <t>FNTD.MAGNT.DESIGN.SR Magnet Design Engineer Sr</t>
  </si>
  <si>
    <t>FNTD.MAGNT.DESIGNER Magnet Designer</t>
  </si>
  <si>
    <t>FNTD.MAGNT.RA Magnet Research Associate</t>
  </si>
  <si>
    <t>FNTD.MAGNT.SCIENTIST Magnet Scientist</t>
  </si>
  <si>
    <t>FNTD.MATRL.EN Materials Engineer</t>
  </si>
  <si>
    <t>FNTD.MATRL.RA Material Research Associate</t>
  </si>
  <si>
    <t>FNTD.MATRL.SCIENTIST Material Scientist</t>
  </si>
  <si>
    <t>FNTD.MATRL.SR Materials Engineer Sr</t>
  </si>
  <si>
    <t>FNTD.MECH.ANLYSIS.EN Mechanical Analysis Engineer</t>
  </si>
  <si>
    <t>FNTD.MECH.ANLYSIS.SR Mechanical Analysis Engineer Sr</t>
  </si>
  <si>
    <t>FNTD.MECH.ASMBY.TECH Mechanical Assembly Technician</t>
  </si>
  <si>
    <t>FNTD.MECH.DESIGN.EN Mechanical Design Engineer</t>
  </si>
  <si>
    <t>FNTD.MECH.DESIGN.SR Mechanical Design Engineer Sr</t>
  </si>
  <si>
    <t>FNTD.MECH.DESIGNER Mechanical Designer</t>
  </si>
  <si>
    <t>FNTD.MECH.DRAFTER Mechanical Drafter</t>
  </si>
  <si>
    <t>FNTD.MECH.SYSTM.TECH Mechanical Systems Technician</t>
  </si>
  <si>
    <t>FNTD.MECH.TECH.MNGR Mechanical Technical Manager</t>
  </si>
  <si>
    <t>FNTD.MECH.TECH.SPVSR Mechanical Technician Supervisor</t>
  </si>
  <si>
    <t>FNTD.OPERTNS.FINANCE Operations Finance</t>
  </si>
  <si>
    <t>FNTD.PA.EXP.PHYST Particle-Astro Physicist Experimental</t>
  </si>
  <si>
    <t>FNTD.PA.EXP.RA Particle-Astro Experimental Research Associate</t>
  </si>
  <si>
    <t>FNTD.PA.THY.RA Particle-Astro Theory Research Associate</t>
  </si>
  <si>
    <t>FNTD.PRCESS.CTRL.EN Process/Controls Engineer</t>
  </si>
  <si>
    <t>FNTD.PRCESS.CTRL.SR Process/Controls Engineer Sr</t>
  </si>
  <si>
    <t>FNTD.PRJ.CTRL.LEAD Project Controls Lead</t>
  </si>
  <si>
    <t>FNTD.PRJ.CTRL.MNGR Project Controls Manager</t>
  </si>
  <si>
    <t>FNTD.PRJ.CTRL.SPCLST Project Controls Specialist</t>
  </si>
  <si>
    <t>FNTD.PRJ.FINANCE Project Finance</t>
  </si>
  <si>
    <t>FNTD.PRJ.MNGR Project Manager</t>
  </si>
  <si>
    <t>FNTD.PRJ.MNGR.EXC Project Manager Exec</t>
  </si>
  <si>
    <t>FNTD.PRJ.MNGR.SR Project Manager Sr</t>
  </si>
  <si>
    <t>FNTD.PRJ.SPPRT Project Support</t>
  </si>
  <si>
    <t>FNTD.PROCUREMENT Procurement</t>
  </si>
  <si>
    <t>FNTD.PT.EXP.PHYST Particle Physicist Experimental</t>
  </si>
  <si>
    <t>FNTD.PT.EXP.RA Particle Physics Experimental Research Associate</t>
  </si>
  <si>
    <t>FNTD.PT.THY.RA Particle Physics Theory Research Associate</t>
  </si>
  <si>
    <t>FNTD.QC.TECHNICAL QC Technical</t>
  </si>
  <si>
    <t>FNTD.QLTY.ASSRANCE Quality Assurance</t>
  </si>
  <si>
    <t>FNTD.RF.DESIGN.EN RF Design Engineer</t>
  </si>
  <si>
    <t>FNTD.RF.DESIGN.SR RF Design Engineer Sr</t>
  </si>
  <si>
    <t>FNTD.RF.RA RF Research Associate</t>
  </si>
  <si>
    <t>FNTD.RF.SCIENTIST RF Scientist</t>
  </si>
  <si>
    <t>FNTD.SRF.TECH Mechanical SRF Technician</t>
  </si>
  <si>
    <t>FNTD.TRAINING Training</t>
  </si>
  <si>
    <t>FNTD.U.GENERAL.ES&amp;H General ES&amp;H Uncosted</t>
  </si>
  <si>
    <t>FNTD.U.MATRL.RA Material Research Associate Uncosted</t>
  </si>
  <si>
    <t>FNTD.U.PA.EXP.PHYST Particle-Astro Physicist Experimental Uncosted</t>
  </si>
  <si>
    <t>FNTD.U.PA.EXP.RA Particle-Astro Experimental Research Associate Uncost</t>
  </si>
  <si>
    <t>FNTD.U.PA.THY.RA Particle-Astro Theory Research Associate Uncosted</t>
  </si>
  <si>
    <t>FNTD.U.PROCUREMENT Procurement Uncosted</t>
  </si>
  <si>
    <t>FNTD.U.PT.EXP.PHYST Particle Physicist Experimental Uncosted</t>
  </si>
  <si>
    <t>FNTD.U.PT.EXP.RA Particle Physics Experimental Research Associate Unco</t>
  </si>
  <si>
    <t>FNTD.U.PT.THY.RA Particle Physics Theory Research Associate Uncosted</t>
  </si>
  <si>
    <t>FNTD.U.RF.RA RF Research Associate Uncosted</t>
  </si>
  <si>
    <t>FNTD.U.RF.SCIENTIST RF Scientist Uncosted</t>
  </si>
  <si>
    <t>FNTD.WEB.APPS.DEVLPR Web Applications Developer</t>
  </si>
  <si>
    <t>FNTD.WELDER Welder</t>
  </si>
  <si>
    <t>WD Work Force Develoment</t>
  </si>
  <si>
    <t>FNWD.ACCOUNTANT Accountant</t>
  </si>
  <si>
    <t>FNWD.ADMIN.SPPRT Administrative Support</t>
  </si>
  <si>
    <t>FNWD.APDEV.SYSTMAYST Applications Development &amp; Systems Analyst</t>
  </si>
  <si>
    <t>FNWD.BENEFITS Benefits</t>
  </si>
  <si>
    <t>FNWD.CLERICAL Clerical</t>
  </si>
  <si>
    <t>FNWD.COMPENSATION Compensation</t>
  </si>
  <si>
    <t>FNWD.EDUCATION Education</t>
  </si>
  <si>
    <t>FNWD.EL.CH.EDUCATION Early Childhood Education</t>
  </si>
  <si>
    <t>FNWD.EMPLY.LABOR.REL Employee/Labor Relations</t>
  </si>
  <si>
    <t>FNWD.EQ.OPPORTUNITY Equal Opportunity</t>
  </si>
  <si>
    <t>FNWD.FACILITIES.MGMT Facilities Management</t>
  </si>
  <si>
    <t>FNWD.GENERAL.ADMIN General Administrative</t>
  </si>
  <si>
    <t>FNWD.HR.GENERALIST Human Resources Generalist</t>
  </si>
  <si>
    <t>FNWD.HRIS HRIS</t>
  </si>
  <si>
    <t>FNWD.INTERNATIONL.HR International Human Resources</t>
  </si>
  <si>
    <t>FNWD.OPERTNS.FINANCE Operations Finance</t>
  </si>
  <si>
    <t>FNWD.RECRUITMENT Recruitment</t>
  </si>
  <si>
    <t>FNWD.TRAINING Training</t>
  </si>
  <si>
    <t>QC (incoming inspection)</t>
  </si>
  <si>
    <t>QA (travelers)</t>
  </si>
  <si>
    <t>FTE</t>
  </si>
  <si>
    <t>Design</t>
  </si>
  <si>
    <t>Cumulative FTE</t>
  </si>
  <si>
    <t>Testing Operations</t>
  </si>
  <si>
    <t>Converted person-weeks to FTE</t>
  </si>
  <si>
    <t>Yr-#Tests - 2018-2, 2019-4, 2020-3, 2021-1</t>
  </si>
  <si>
    <t>$</t>
  </si>
  <si>
    <t>Hourly Rates</t>
  </si>
  <si>
    <t>Technician Supervisor</t>
  </si>
  <si>
    <t>Engineer (Sr)</t>
  </si>
  <si>
    <t>Scientist</t>
  </si>
  <si>
    <t>FTE per Hour</t>
  </si>
  <si>
    <t>FTE Rates (1768 hour/FTE)</t>
  </si>
  <si>
    <t>TOTAL</t>
  </si>
  <si>
    <t>$AY Incl. Burden</t>
  </si>
  <si>
    <t xml:space="preserve">Cumulative </t>
  </si>
  <si>
    <t>QA (Production)</t>
  </si>
  <si>
    <t>Base Mtl.</t>
  </si>
  <si>
    <t>FY12 $</t>
  </si>
  <si>
    <t>NOTES:</t>
  </si>
  <si>
    <t>$ ea</t>
  </si>
  <si>
    <t>Winding machine</t>
  </si>
  <si>
    <t>Curing press</t>
  </si>
  <si>
    <t>Coil handling / storage</t>
  </si>
  <si>
    <t>Impreg station</t>
  </si>
  <si>
    <t>Cold mass assembly tooling</t>
  </si>
  <si>
    <t>Collaring fixture</t>
  </si>
  <si>
    <t>Yoke alignment fixture</t>
  </si>
  <si>
    <t>Parts</t>
  </si>
  <si>
    <t>Cable</t>
  </si>
  <si>
    <t>Mirror parts</t>
  </si>
  <si>
    <t>Cold mass parts</t>
  </si>
  <si>
    <t>Ship to CERN</t>
  </si>
  <si>
    <t>Totals</t>
  </si>
  <si>
    <t>Contingency</t>
  </si>
  <si>
    <t>total</t>
  </si>
  <si>
    <t>Total Material</t>
  </si>
  <si>
    <t>Escalation</t>
  </si>
  <si>
    <t>FNAL M&amp;S Overhead Rate</t>
  </si>
  <si>
    <t>Escalation Table</t>
  </si>
  <si>
    <t>FY</t>
  </si>
  <si>
    <t>M &amp; S</t>
  </si>
  <si>
    <t>Base Year</t>
  </si>
  <si>
    <t>Winding and Curing tooling</t>
  </si>
  <si>
    <t>Winding, Curing prototype tooling</t>
  </si>
  <si>
    <t>New Reaction Oven</t>
  </si>
  <si>
    <t>Reaction and Impregnation tooling</t>
  </si>
  <si>
    <t>Reaction, Impregnation prototype tooling</t>
  </si>
  <si>
    <t>BNL Estimate</t>
  </si>
  <si>
    <t>Test Facility Modifications</t>
  </si>
  <si>
    <t>OH Adder</t>
  </si>
  <si>
    <t>Coil Parts Production - set</t>
  </si>
  <si>
    <t>BNL estimate</t>
  </si>
  <si>
    <t>Testing materials production</t>
  </si>
  <si>
    <t>Testing materials prototype</t>
  </si>
  <si>
    <t>Testing materials first two production units</t>
  </si>
  <si>
    <t>Qty tested</t>
  </si>
  <si>
    <t>Qty Coils</t>
  </si>
  <si>
    <t>Qty Cold mass</t>
  </si>
  <si>
    <t>Total w/o Contingency</t>
  </si>
  <si>
    <t>Total incl. Contingency</t>
  </si>
  <si>
    <t>Contingency %</t>
  </si>
  <si>
    <t>Conductor QC</t>
  </si>
  <si>
    <t>L2 Management</t>
  </si>
  <si>
    <t>Shipping Preparation</t>
  </si>
  <si>
    <t>Drafter</t>
  </si>
  <si>
    <t>sales tax</t>
  </si>
  <si>
    <t>1.1.2 Yoke</t>
  </si>
  <si>
    <t>1.1.2.1 Yoke Detailed Design</t>
  </si>
  <si>
    <t>1.1.2.2 Yoke Tie-rod Detailed Design</t>
  </si>
  <si>
    <t>1.1.2.3 Yoke bushing Detailed Design</t>
  </si>
  <si>
    <t>1.1.2.4 Tension rig Detailed Design</t>
  </si>
  <si>
    <t>1.1.3 Quarter Assy Rig</t>
  </si>
  <si>
    <t>1.1.3.1 Engineer Quarter length Assembly rig</t>
  </si>
  <si>
    <t>1.1.3.2 Detailed Design QL Assembly Rig</t>
  </si>
  <si>
    <t>1.1.4 Shell Loading</t>
  </si>
  <si>
    <t>1.1.4.1 Bladders Detailed Design</t>
  </si>
  <si>
    <t>1.1.4.2 Load Key Detailed Design</t>
  </si>
  <si>
    <t>1.1.4.3 Load Shim Detailed Design</t>
  </si>
  <si>
    <t>1.1.4.4 Bladder shim Detailed Design</t>
  </si>
  <si>
    <t>1.1.5 Coilpack Load Pads Design</t>
  </si>
  <si>
    <t>1.1.5.1 Load pad Detailed Design</t>
  </si>
  <si>
    <t>1.1.5.2 Load pad bushing Detailed Design</t>
  </si>
  <si>
    <t>1.1.5.3 Load pad tie-rod Detailed Design</t>
  </si>
  <si>
    <t>1.1.5.4 Tension rod assembly rig Detailed Design</t>
  </si>
  <si>
    <t>1.1.6 Coilpack Collars Design</t>
  </si>
  <si>
    <t>1.1.6.1 Coilpack Collar Detailed Design</t>
  </si>
  <si>
    <t>1.1.6.2 Coilpack Collar bushing Detailed Design</t>
  </si>
  <si>
    <t>1.1.6.3 Coilpack Collar tie-rod Detailed Design</t>
  </si>
  <si>
    <t>1.1.6.4 Tension rod assembly rig Detailed Design</t>
  </si>
  <si>
    <t>1.1.7 Master Load Key Design</t>
  </si>
  <si>
    <t>1.1.7.1 Master Load key Detailed Design</t>
  </si>
  <si>
    <t>1.1.7.2 Load key Detailed Design</t>
  </si>
  <si>
    <t>1.1.8.1 Raft engineering</t>
  </si>
  <si>
    <t>1.1.8.2 Raft detailed design</t>
  </si>
  <si>
    <t>1.1.8.3 Table top detailed design</t>
  </si>
  <si>
    <t>1.1.9 Bladder &amp; Shim winch rig</t>
  </si>
  <si>
    <t>1.1.9.1 Winch rig engineering</t>
  </si>
  <si>
    <t>1.1.9.2 Winch rig detailed design</t>
  </si>
  <si>
    <t>1.1.10 Magnet Support and Handling Structure</t>
  </si>
  <si>
    <t>1.1.10.1 Mag S&amp;H Engineering</t>
  </si>
  <si>
    <t>1.1.10.2 Mag S&amp;H detailed design</t>
  </si>
  <si>
    <t>QX Design Budgetary References</t>
    <phoneticPr fontId="11" type="noConversion"/>
  </si>
  <si>
    <t>LQ</t>
    <phoneticPr fontId="11" type="noConversion"/>
  </si>
  <si>
    <t>Hardware</t>
    <phoneticPr fontId="11" type="noConversion"/>
  </si>
  <si>
    <t>Date Purchased</t>
    <phoneticPr fontId="11" type="noConversion"/>
  </si>
  <si>
    <t>PO</t>
    <phoneticPr fontId="11" type="noConversion"/>
  </si>
  <si>
    <t>Total Cost</t>
    <phoneticPr fontId="11" type="noConversion"/>
  </si>
  <si>
    <t>LBNL?</t>
    <phoneticPr fontId="11" type="noConversion"/>
  </si>
  <si>
    <t>Outside</t>
    <phoneticPr fontId="11" type="noConversion"/>
  </si>
  <si>
    <t>ARO</t>
    <phoneticPr fontId="11" type="noConversion"/>
  </si>
  <si>
    <t>Qty</t>
    <phoneticPr fontId="11" type="noConversion"/>
  </si>
  <si>
    <t>Dimensions</t>
    <phoneticPr fontId="11" type="noConversion"/>
  </si>
  <si>
    <t>Material</t>
    <phoneticPr fontId="11" type="noConversion"/>
  </si>
  <si>
    <t>Weight</t>
    <phoneticPr fontId="11" type="noConversion"/>
  </si>
  <si>
    <t>Shell</t>
    <phoneticPr fontId="11" type="noConversion"/>
  </si>
  <si>
    <t>LQ sections</t>
    <phoneticPr fontId="11" type="noConversion"/>
  </si>
  <si>
    <t>$48725 + $5k additional costs</t>
    <phoneticPr fontId="11" type="noConversion"/>
  </si>
  <si>
    <t>No</t>
    <phoneticPr fontId="11" type="noConversion"/>
  </si>
  <si>
    <t>Scot Industries</t>
    <phoneticPr fontId="11" type="noConversion"/>
  </si>
  <si>
    <t>23 weeks</t>
    <phoneticPr fontId="11" type="noConversion"/>
  </si>
  <si>
    <t>17.95" ID x 19.76" OD x 33.46"</t>
    <phoneticPr fontId="11" type="noConversion"/>
  </si>
  <si>
    <t>6061-T6</t>
    <phoneticPr fontId="11" type="noConversion"/>
  </si>
  <si>
    <t>machined from one long tube then cut later</t>
    <phoneticPr fontId="11" type="noConversion"/>
  </si>
  <si>
    <t>Strain Gages</t>
    <phoneticPr fontId="11" type="noConversion"/>
  </si>
  <si>
    <t>Assembly plates</t>
    <phoneticPr fontId="11" type="noConversion"/>
  </si>
  <si>
    <t>yes</t>
    <phoneticPr fontId="11" type="noConversion"/>
  </si>
  <si>
    <t>Yokes</t>
    <phoneticPr fontId="11" type="noConversion"/>
  </si>
  <si>
    <t>LQ quadrants</t>
    <phoneticPr fontId="11" type="noConversion"/>
  </si>
  <si>
    <t>Humb. Inst.</t>
    <phoneticPr fontId="11" type="noConversion"/>
  </si>
  <si>
    <t>8 weeks</t>
    <phoneticPr fontId="11" type="noConversion"/>
  </si>
  <si>
    <t>8.98"R x 1.93" quad; 4.57 opening</t>
    <phoneticPr fontId="11" type="noConversion"/>
  </si>
  <si>
    <t>Yoke Tierod hardware (mat'l)</t>
    <phoneticPr fontId="11" type="noConversion"/>
  </si>
  <si>
    <t>Metal Suppl Online</t>
    <phoneticPr fontId="11" type="noConversion"/>
  </si>
  <si>
    <t>2 weeks</t>
    <phoneticPr fontId="11" type="noConversion"/>
  </si>
  <si>
    <t>20/30</t>
    <phoneticPr fontId="11" type="noConversion"/>
  </si>
  <si>
    <t>.25" dia x 12'/.75 dia x 12'</t>
    <phoneticPr fontId="11" type="noConversion"/>
  </si>
  <si>
    <t>Nitronic 50</t>
    <phoneticPr fontId="11" type="noConversion"/>
  </si>
  <si>
    <t>Yoke tierod machining</t>
    <phoneticPr fontId="11" type="noConversion"/>
  </si>
  <si>
    <t>Myers Precision Grinding</t>
    <phoneticPr fontId="11" type="noConversion"/>
  </si>
  <si>
    <t>Yoke tierod, quarter length</t>
    <phoneticPr fontId="11" type="noConversion"/>
  </si>
  <si>
    <t>Yoke tierod, half-length</t>
    <phoneticPr fontId="11" type="noConversion"/>
  </si>
  <si>
    <t>Load Pads</t>
    <phoneticPr fontId="11" type="noConversion"/>
  </si>
  <si>
    <t>X &amp; Y Pads</t>
    <phoneticPr fontId="11" type="noConversion"/>
  </si>
  <si>
    <t>Humb. Inst.</t>
    <phoneticPr fontId="11" type="noConversion"/>
  </si>
  <si>
    <t>10 weeks</t>
    <phoneticPr fontId="11" type="noConversion"/>
  </si>
  <si>
    <t>X &amp; Y Pads (stainless)</t>
    <phoneticPr fontId="11" type="noConversion"/>
  </si>
  <si>
    <t>304 SS</t>
    <phoneticPr fontId="11" type="noConversion"/>
  </si>
  <si>
    <t>load pad ends (stainless)</t>
    <phoneticPr fontId="11" type="noConversion"/>
  </si>
  <si>
    <t>Master Keys</t>
    <phoneticPr fontId="11" type="noConversion"/>
  </si>
  <si>
    <t>Yoke side (half-length)</t>
    <phoneticPr fontId="11" type="noConversion"/>
  </si>
  <si>
    <t>Humb Inst.</t>
    <phoneticPr fontId="11" type="noConversion"/>
  </si>
  <si>
    <t>6 weeks</t>
    <phoneticPr fontId="11" type="noConversion"/>
  </si>
  <si>
    <t>Pad side (half-length)</t>
    <phoneticPr fontId="11" type="noConversion"/>
  </si>
  <si>
    <t>Bladders</t>
    <phoneticPr fontId="11" type="noConversion"/>
  </si>
  <si>
    <t>Full length (~4m)</t>
    <phoneticPr fontId="11" type="noConversion"/>
  </si>
  <si>
    <t>Directed Light</t>
    <phoneticPr fontId="11" type="noConversion"/>
  </si>
  <si>
    <t>Quarter length (~1m)</t>
    <phoneticPr fontId="11" type="noConversion"/>
  </si>
  <si>
    <t>5 weeks</t>
    <phoneticPr fontId="11" type="noConversion"/>
  </si>
  <si>
    <t>Quarter length loading rig (for quarter-length pre assembly)</t>
    <phoneticPr fontId="11" type="noConversion"/>
  </si>
  <si>
    <t>HiP fittings</t>
    <phoneticPr fontId="11" type="noConversion"/>
  </si>
  <si>
    <t>Axial Rods</t>
    <phoneticPr fontId="11" type="noConversion"/>
  </si>
  <si>
    <t>Rod machining</t>
    <phoneticPr fontId="11" type="noConversion"/>
  </si>
  <si>
    <t>no</t>
    <phoneticPr fontId="11" type="noConversion"/>
  </si>
  <si>
    <t>4 weeks</t>
    <phoneticPr fontId="11" type="noConversion"/>
  </si>
  <si>
    <t>1" od x 145.5 long</t>
    <phoneticPr fontId="11" type="noConversion"/>
  </si>
  <si>
    <t>Strain gages</t>
    <phoneticPr fontId="11" type="noConversion"/>
  </si>
  <si>
    <t>Pre-assembly quarter length rods</t>
    <phoneticPr fontId="11" type="noConversion"/>
  </si>
  <si>
    <t>Pre-assembly axial loading rig</t>
    <phoneticPr fontId="11" type="noConversion"/>
  </si>
  <si>
    <t>Pre-assembly half-length rods</t>
    <phoneticPr fontId="11" type="noConversion"/>
  </si>
  <si>
    <t>Axial Endplates</t>
    <phoneticPr fontId="11" type="noConversion"/>
  </si>
  <si>
    <t>Plate Machining</t>
    <phoneticPr fontId="11" type="noConversion"/>
  </si>
  <si>
    <t>Axial Hardware</t>
    <phoneticPr fontId="11" type="noConversion"/>
  </si>
  <si>
    <t>Nuts</t>
    <phoneticPr fontId="11" type="noConversion"/>
  </si>
  <si>
    <t>Spherical washers</t>
    <phoneticPr fontId="11" type="noConversion"/>
  </si>
  <si>
    <t>LD1/HD3 Info</t>
    <phoneticPr fontId="11" type="noConversion"/>
  </si>
  <si>
    <t>Material</t>
    <phoneticPr fontId="11" type="noConversion"/>
  </si>
  <si>
    <t>HD2/HD3</t>
    <phoneticPr fontId="11" type="noConversion"/>
  </si>
  <si>
    <t>$16895 + $1500 Inspection</t>
    <phoneticPr fontId="11" type="noConversion"/>
  </si>
  <si>
    <t>No</t>
    <phoneticPr fontId="11" type="noConversion"/>
  </si>
  <si>
    <t>OMW</t>
    <phoneticPr fontId="11" type="noConversion"/>
  </si>
  <si>
    <t>21 weeks</t>
    <phoneticPr fontId="11" type="noConversion"/>
  </si>
  <si>
    <t>24.5" ID x 27.75" OD x 40.32"</t>
    <phoneticPr fontId="11" type="noConversion"/>
  </si>
  <si>
    <t>7075-T6</t>
    <phoneticPr fontId="11" type="noConversion"/>
  </si>
  <si>
    <t>LD-1</t>
    <phoneticPr fontId="11" type="noConversion"/>
  </si>
  <si>
    <t>25 weeks</t>
    <phoneticPr fontId="11" type="noConversion"/>
  </si>
  <si>
    <t>5000 lbs.</t>
    <phoneticPr fontId="11" type="noConversion"/>
  </si>
  <si>
    <t>No</t>
    <phoneticPr fontId="11" type="noConversion"/>
  </si>
  <si>
    <t>12.25"R x 1.92"; 13" x 6" opening</t>
    <phoneticPr fontId="11" type="noConversion"/>
  </si>
  <si>
    <t>1020 Steel</t>
    <phoneticPr fontId="11" type="noConversion"/>
  </si>
  <si>
    <t>Yoke Tierod hardware</t>
    <phoneticPr fontId="11" type="noConversion"/>
  </si>
  <si>
    <t>Horizontal Pads (3pc)</t>
    <phoneticPr fontId="11" type="noConversion"/>
  </si>
  <si>
    <t>Prowest</t>
    <phoneticPr fontId="11" type="noConversion"/>
  </si>
  <si>
    <t>SS304/1020</t>
    <phoneticPr fontId="11" type="noConversion"/>
  </si>
  <si>
    <t>Vertical Pads (3pc)</t>
    <phoneticPr fontId="11" type="noConversion"/>
  </si>
  <si>
    <t>Field Shaper (3pc)</t>
    <phoneticPr fontId="11" type="noConversion"/>
  </si>
  <si>
    <t>New Order</t>
    <phoneticPr fontId="11" type="noConversion"/>
  </si>
  <si>
    <t>Rod material</t>
    <phoneticPr fontId="11" type="noConversion"/>
  </si>
  <si>
    <t>McMaster</t>
    <phoneticPr fontId="11" type="noConversion"/>
  </si>
  <si>
    <t>1 day</t>
    <phoneticPr fontId="11" type="noConversion"/>
  </si>
  <si>
    <t>9063K236</t>
  </si>
  <si>
    <t>7075-T6 Al ground rod</t>
    <phoneticPr fontId="11" type="noConversion"/>
  </si>
  <si>
    <t>Horspool &amp; Romine</t>
    <phoneticPr fontId="11" type="noConversion"/>
  </si>
  <si>
    <t>1-1/2" OD x 58" long</t>
    <phoneticPr fontId="11" type="noConversion"/>
  </si>
  <si>
    <t>7075-T6 Al</t>
    <phoneticPr fontId="11" type="noConversion"/>
  </si>
  <si>
    <t>Scot Forge</t>
    <phoneticPr fontId="11" type="noConversion"/>
  </si>
  <si>
    <t>6-7 weeks</t>
    <phoneticPr fontId="11" type="noConversion"/>
  </si>
  <si>
    <t>3 x 7.375x 14.25</t>
    <phoneticPr fontId="11" type="noConversion"/>
  </si>
  <si>
    <t>Nitronic 40</t>
    <phoneticPr fontId="11" type="noConversion"/>
  </si>
  <si>
    <t>~90 lbs each</t>
    <phoneticPr fontId="11" type="noConversion"/>
  </si>
  <si>
    <t>Yes</t>
    <phoneticPr fontId="11" type="noConversion"/>
  </si>
  <si>
    <t>LR Info</t>
    <phoneticPr fontId="11" type="noConversion"/>
  </si>
  <si>
    <t>LR</t>
    <phoneticPr fontId="11" type="noConversion"/>
  </si>
  <si>
    <t>11" ID x 12" OD x 142"</t>
    <phoneticPr fontId="11" type="noConversion"/>
  </si>
  <si>
    <t>6061-T6</t>
    <phoneticPr fontId="11" type="noConversion"/>
  </si>
  <si>
    <t>Rod material + machining</t>
    <phoneticPr fontId="11" type="noConversion"/>
  </si>
  <si>
    <t>3 weeks</t>
    <phoneticPr fontId="11" type="noConversion"/>
  </si>
  <si>
    <t>1/2" x 150"</t>
    <phoneticPr fontId="11" type="noConversion"/>
  </si>
  <si>
    <t>LBNL Estimate</t>
  </si>
  <si>
    <t>Tech</t>
  </si>
  <si>
    <t>Engineer (LBNL Estimate)</t>
  </si>
  <si>
    <t>Engineer (FNAL Estimate)</t>
  </si>
  <si>
    <t>Designer (LBNL Estimate)</t>
  </si>
  <si>
    <t>Tech (LBNL Estimate)</t>
  </si>
  <si>
    <t>Quantity of Cold Masses Complete</t>
  </si>
  <si>
    <t>Prototype</t>
  </si>
  <si>
    <t>Production</t>
  </si>
  <si>
    <t>Labor in FTE</t>
  </si>
  <si>
    <t>Phase</t>
  </si>
  <si>
    <t>Burdened Labor in $AY</t>
  </si>
  <si>
    <t>1 MQXF Structures Production Estimates</t>
    <phoneticPr fontId="13" type="noConversion"/>
  </si>
  <si>
    <t>DWCheng, 10/25/2012</t>
    <phoneticPr fontId="13" type="noConversion"/>
  </si>
  <si>
    <t>Assumptions/Comments:</t>
    <phoneticPr fontId="13" type="noConversion"/>
  </si>
  <si>
    <t>Magnet Struct. analyses/x-sect not accounted for in engineering time.</t>
    <phoneticPr fontId="13" type="noConversion"/>
  </si>
  <si>
    <t>LQ</t>
    <phoneticPr fontId="13" type="noConversion"/>
  </si>
  <si>
    <t>HQ</t>
    <phoneticPr fontId="13" type="noConversion"/>
  </si>
  <si>
    <t>4.4m length "scaling" from 3.7m LQ costs; or 1.2m HQ cost basis</t>
    <phoneticPr fontId="13" type="noConversion"/>
  </si>
  <si>
    <t>days/year</t>
    <phoneticPr fontId="13" type="noConversion"/>
  </si>
  <si>
    <t>wks/year</t>
    <phoneticPr fontId="13" type="noConversion"/>
  </si>
  <si>
    <t>Total inflation from 2007 (LQ) or 2009 (HQ) to 2012</t>
    <phoneticPr fontId="13" type="noConversion"/>
  </si>
  <si>
    <t>P/E</t>
    <phoneticPr fontId="13" type="noConversion"/>
  </si>
  <si>
    <t>D/EA/ST</t>
    <phoneticPr fontId="13" type="noConversion"/>
  </si>
  <si>
    <t>Tech</t>
    <phoneticPr fontId="13" type="noConversion"/>
  </si>
  <si>
    <t>Yellow subtask M&amp;S costs incorporate scaling and inflation above</t>
    <phoneticPr fontId="13" type="noConversion"/>
  </si>
  <si>
    <t>FY12 FTE</t>
    <phoneticPr fontId="13" type="noConversion"/>
  </si>
  <si>
    <t>Green subtask M&amp;S costs incorporate procurement burdens</t>
    <phoneticPr fontId="13" type="noConversion"/>
  </si>
  <si>
    <t>Not sure of sales tax; not applied</t>
    <phoneticPr fontId="13" type="noConversion"/>
  </si>
  <si>
    <t>$/FTE rates based on FY12 ALS data</t>
    <phoneticPr fontId="13" type="noConversion"/>
  </si>
  <si>
    <t>Green subtask days may be partially parallel; values should be examined further if used for scheduling</t>
    <phoneticPr fontId="13" type="noConversion"/>
  </si>
  <si>
    <t>Red items in Section 1.6 aren't rolled up here, but may provide guidance for Coil Instrumentation task budgeting</t>
    <phoneticPr fontId="13" type="noConversion"/>
  </si>
  <si>
    <t>Does not include transportation/shipping container or for transport of assembled magnet(s)</t>
    <phoneticPr fontId="13" type="noConversion"/>
  </si>
  <si>
    <t>Task Estimate (days)</t>
    <phoneticPr fontId="13" type="noConversion"/>
  </si>
  <si>
    <t>Total</t>
    <phoneticPr fontId="13" type="noConversion"/>
  </si>
  <si>
    <t>FTE</t>
    <phoneticPr fontId="13" type="noConversion"/>
  </si>
  <si>
    <t>One-time</t>
    <phoneticPr fontId="13" type="noConversion"/>
  </si>
  <si>
    <t>One-time</t>
    <phoneticPr fontId="13" type="noConversion"/>
  </si>
  <si>
    <t>Per-Assy</t>
    <phoneticPr fontId="13" type="noConversion"/>
  </si>
  <si>
    <t>Per-Assy</t>
    <phoneticPr fontId="13" type="noConversion"/>
  </si>
  <si>
    <t>P/E</t>
    <phoneticPr fontId="13" type="noConversion"/>
  </si>
  <si>
    <t>D/EA/ST</t>
    <phoneticPr fontId="13" type="noConversion"/>
  </si>
  <si>
    <t>Tech</t>
    <phoneticPr fontId="13" type="noConversion"/>
  </si>
  <si>
    <t># T.</t>
    <phoneticPr fontId="13" type="noConversion"/>
  </si>
  <si>
    <t>Tech Time</t>
    <phoneticPr fontId="13" type="noConversion"/>
  </si>
  <si>
    <t>P/E</t>
    <phoneticPr fontId="13" type="noConversion"/>
  </si>
  <si>
    <t>D/EA/ST</t>
    <phoneticPr fontId="13" type="noConversion"/>
  </si>
  <si>
    <t>Tech</t>
    <phoneticPr fontId="13" type="noConversion"/>
  </si>
  <si>
    <t>Labor</t>
    <phoneticPr fontId="13" type="noConversion"/>
  </si>
  <si>
    <t>M&amp;S</t>
    <phoneticPr fontId="13" type="noConversion"/>
  </si>
  <si>
    <t>M&amp;S</t>
    <phoneticPr fontId="13" type="noConversion"/>
  </si>
  <si>
    <t>Comments</t>
    <phoneticPr fontId="13" type="noConversion"/>
  </si>
  <si>
    <t>1.1 Engineering &amp; Detailed Design (One-time cost)</t>
    <phoneticPr fontId="13" type="noConversion"/>
  </si>
  <si>
    <t>1.1.1 Shell Detailed Design</t>
  </si>
  <si>
    <t>1.1.4.5 Bladder key design</t>
  </si>
  <si>
    <t>1.1.7.3 Load key shim Detailed Design</t>
    <phoneticPr fontId="13" type="noConversion"/>
  </si>
  <si>
    <t>1.1.8 Magnet &amp; Coilpack Assembly Tables</t>
    <phoneticPr fontId="13" type="noConversion"/>
  </si>
  <si>
    <t>1.2 Tooling &amp; Fixtures Fabrication (One-time, or per-unit)</t>
  </si>
  <si>
    <t>1.2.1 Quarter Assy Rig (1.1m)</t>
    <phoneticPr fontId="13" type="noConversion"/>
  </si>
  <si>
    <t>1.2.1.1 Fabricate QL assembly rig</t>
  </si>
  <si>
    <t>??</t>
    <phoneticPr fontId="13" type="noConversion"/>
  </si>
  <si>
    <t>1.2.1.2 Assemble QL assembly rig</t>
  </si>
  <si>
    <t>?? Hardware tooling costs</t>
    <phoneticPr fontId="13" type="noConversion"/>
  </si>
  <si>
    <t>1.2.2 Shell Loading</t>
  </si>
  <si>
    <t>1.2.2.1 Bladder key and shim fabrication</t>
  </si>
  <si>
    <t>1.2.3 Coilpack Load Pads</t>
  </si>
  <si>
    <t>1.2.3.1 Fabricate Tension rod assembly rig</t>
  </si>
  <si>
    <t>1.2.4 Coilpack Collars</t>
  </si>
  <si>
    <t>1.2.4.1 Tension rod assembly rig fabrication</t>
  </si>
  <si>
    <t>1.2.5 Magnet &amp; Coilpack Assembly Tables</t>
    <phoneticPr fontId="13" type="noConversion"/>
  </si>
  <si>
    <t>1.2.5.1 Insertion table components fabrication</t>
  </si>
  <si>
    <t>1.2.5.2 Insertion table assembly</t>
  </si>
  <si>
    <t>1.2.6 Bladder &amp; Shim winch rig</t>
  </si>
  <si>
    <t>1.2.6.1 Winch rig fabrication</t>
  </si>
  <si>
    <t>1.2.6.2 Winch rig assembly</t>
  </si>
  <si>
    <t>1.2.7 Magnet Support and Handling Structure</t>
  </si>
  <si>
    <t>1.2.7.1 Mag S&amp;H fabrication</t>
  </si>
  <si>
    <t>(6859110) * LQ scaleup factors</t>
    <phoneticPr fontId="13" type="noConversion"/>
  </si>
  <si>
    <t>1.2.7.2 Mag S&amp;H Assembly</t>
  </si>
  <si>
    <t>1.2.7.3 Mag S&amp;H Certification &amp; test</t>
  </si>
  <si>
    <t>Assumes a crew of riggers &amp; prep time</t>
    <phoneticPr fontId="13" type="noConversion"/>
  </si>
  <si>
    <t>1.3 Shell &amp; Yoke Assembly</t>
    <phoneticPr fontId="13" type="noConversion"/>
  </si>
  <si>
    <t>1.3.1 Shell Fabrication</t>
  </si>
  <si>
    <t>1.3.1.1 Shell Fabrication</t>
  </si>
  <si>
    <t>$50k (LQ/HD2) * LQ scale up factors</t>
    <phoneticPr fontId="13" type="noConversion"/>
  </si>
  <si>
    <t>1.3.1.2 Shell alignment pin machining</t>
    <phoneticPr fontId="13" type="noConversion"/>
  </si>
  <si>
    <t>1.3.1.3 Shell Inspection</t>
  </si>
  <si>
    <t>1.3.2 Yoke Fabrication</t>
  </si>
  <si>
    <t>1.3.2.1 Yoke Fabrication</t>
  </si>
  <si>
    <t>$31k HQ yokes * HQ scaleup factors</t>
    <phoneticPr fontId="13" type="noConversion"/>
  </si>
  <si>
    <t>1.3.2.2 Yoke Inspection</t>
  </si>
  <si>
    <t>1.3.3 Yoke Tie-rod hardware</t>
  </si>
  <si>
    <t>1.3.3.1 Yoke Quarter tie-rod fabrication</t>
  </si>
  <si>
    <t>See below</t>
    <phoneticPr fontId="13" type="noConversion"/>
  </si>
  <si>
    <t>1.3.3.2 Yoke half-length tie-rod fabrication</t>
  </si>
  <si>
    <t>1.3.3.3 Yoke full-length tie-rod fab.</t>
  </si>
  <si>
    <t>all rod lengths; $23k * LQ scale up factors</t>
    <phoneticPr fontId="13" type="noConversion"/>
  </si>
  <si>
    <t>1.3.3.4 Yoke bushing fabrication</t>
  </si>
  <si>
    <t>??</t>
    <phoneticPr fontId="13" type="noConversion"/>
  </si>
  <si>
    <t>1.3.3.5 Yoke tie-rod nuts &amp; washers</t>
  </si>
  <si>
    <t>1.3.4 Yoke Tie-rod tension rig</t>
  </si>
  <si>
    <t>1.3.4.1 Tension rig fabrication</t>
  </si>
  <si>
    <t>1.3.5 High Pressure bladders</t>
  </si>
  <si>
    <t>1.3.5.1 Bladder fabrication (half)</t>
  </si>
  <si>
    <t>14 LQ half-length bladders * LQ scaleup factors</t>
    <phoneticPr fontId="13" type="noConversion"/>
  </si>
  <si>
    <t>1.3.5.2 Bladder fabrication (full-length)</t>
  </si>
  <si>
    <t>14 LQ full-length bladders * LQ scaleup factors</t>
    <phoneticPr fontId="13" type="noConversion"/>
  </si>
  <si>
    <t>1.3.5.3 Mount High pressure glands and fittings on bladders</t>
    <phoneticPr fontId="13" type="noConversion"/>
  </si>
  <si>
    <t>1.3.6 Load Keys (including alignment keys)</t>
  </si>
  <si>
    <t>1.3.6.1 Load Key fabrication</t>
  </si>
  <si>
    <t>1.3.6.2 Load Shim fabrication</t>
  </si>
  <si>
    <t>1.3.7 Shell &amp; Yoke Assembly</t>
  </si>
  <si>
    <t>1.3.7.1 Quarter length yoke assy (x4)</t>
  </si>
  <si>
    <t>1.3.7.1.1 Deburr &amp; prep yoke laminations</t>
  </si>
  <si>
    <t>Raw FTE was mulitplied by 4 for each assy</t>
    <phoneticPr fontId="13" type="noConversion"/>
  </si>
  <si>
    <t>1.3.7.1.2 Assemble &amp; stack yokes with bushings</t>
    <phoneticPr fontId="13" type="noConversion"/>
  </si>
  <si>
    <t>1.3.7.1.3 Tension yoke stack; tighten nuts</t>
  </si>
  <si>
    <t>1.3.7.1.4 Mount shell vertically on plate</t>
  </si>
  <si>
    <t>1.3.7.1.5 Insert yoke stacks, align with pins, wedge in place</t>
  </si>
  <si>
    <t>1.3.7.1.6 Connect SG system</t>
  </si>
  <si>
    <t>1.3.7.1.7 Pressurize yokes and insert gap keys</t>
  </si>
  <si>
    <t>1.3.7.2 Shell &amp; Yoke half-length assembly (2x)</t>
  </si>
  <si>
    <t>1.3.7.2.1 Move two quarter length segments onto pneumatic plates</t>
  </si>
  <si>
    <t>Raw FTE was multiplied by 2 for each assy</t>
    <phoneticPr fontId="13" type="noConversion"/>
  </si>
  <si>
    <t>1.3.7.2.2 Remove yoke tension rods and alignment pins</t>
  </si>
  <si>
    <t>1.3.7.2.3 Insert alignment engagement pins</t>
  </si>
  <si>
    <t>1.3.7.2.4 Float segments together</t>
  </si>
  <si>
    <t>1.3.7.2.5 Insert half-length tension rod</t>
  </si>
  <si>
    <t>1.3.7.2.6 Tension rods and tighten nuts</t>
  </si>
  <si>
    <t>1.3.7.3 Full length Shell Assembly</t>
  </si>
  <si>
    <t>1.3.7.3.1 Mount two half-length segments on table</t>
  </si>
  <si>
    <t>1.3.7.3.2 Remove tension rods, alignment pins</t>
  </si>
  <si>
    <t>1.3.7.3.3 Insert alignment engagement pins</t>
  </si>
  <si>
    <t>1.3.7.3.4 Float segments together</t>
  </si>
  <si>
    <t>1.3.7.3.5 Insert full-length tension rods</t>
  </si>
  <si>
    <t>1.3.7.3.6 Tension rods and tighten nuts</t>
  </si>
  <si>
    <t>1.4 Coilpack Assembly</t>
    <phoneticPr fontId="13" type="noConversion"/>
  </si>
  <si>
    <t>1.4.1 Coilpack Load Pads</t>
  </si>
  <si>
    <t>1.4.1.1 Fabrication</t>
  </si>
  <si>
    <t>1.4.1.1.1 Load pad fabrication</t>
  </si>
  <si>
    <t>$51k HQ * HQ scaleup factors</t>
    <phoneticPr fontId="13" type="noConversion"/>
  </si>
  <si>
    <t>1.4.1.1.2 Load pad bushing fabrication</t>
  </si>
  <si>
    <t>1.4.1.1.3 Load pad tie-rod fabrication</t>
    <phoneticPr fontId="13" type="noConversion"/>
  </si>
  <si>
    <t>??</t>
    <phoneticPr fontId="13" type="noConversion"/>
  </si>
  <si>
    <t>1.4.1.2 Parts received and  inspection</t>
  </si>
  <si>
    <t>1.4.1.3 Assembly of 4.4m-long pads (x4)</t>
    <phoneticPr fontId="13" type="noConversion"/>
  </si>
  <si>
    <t>1.4.1.3.1 Deburr, lube, and prep laminations</t>
    <phoneticPr fontId="13" type="noConversion"/>
  </si>
  <si>
    <t>1.4.1.3.2 Assemble all laminations on bushings</t>
    <phoneticPr fontId="13" type="noConversion"/>
  </si>
  <si>
    <t>1.4.1.3.3 Insert tension rods and tighten</t>
    <phoneticPr fontId="13" type="noConversion"/>
  </si>
  <si>
    <t>1.4.2 Coilpack collars</t>
  </si>
  <si>
    <t>1.4.2.1 Fabrication</t>
  </si>
  <si>
    <t>1.4.2.1.1 Coilpack Collar fabrication</t>
  </si>
  <si>
    <t>$6.5k HQ * HQ scaleup factors</t>
    <phoneticPr fontId="13" type="noConversion"/>
  </si>
  <si>
    <t>1.4.2.1.2 Coilpack Collar bushing fabrication</t>
  </si>
  <si>
    <t>??</t>
    <phoneticPr fontId="13" type="noConversion"/>
  </si>
  <si>
    <t>1.4.2.1.3 Coilpack Collar tie-rod fabrication</t>
    <phoneticPr fontId="13" type="noConversion"/>
  </si>
  <si>
    <t>1.4.2.2 Parts received and  inspection</t>
  </si>
  <si>
    <t>1.4.2.3 Assembly of 4m-long Coilpack Collar (x4)</t>
  </si>
  <si>
    <t>1.4.2.3.1 Deburr, lube, and prep laminations</t>
  </si>
  <si>
    <t>1.4.2.3.2 Assemble all laminations on bushings</t>
  </si>
  <si>
    <t>1.4.2.3.3 Insert tension rods and tighten</t>
  </si>
  <si>
    <t>1.4.3 Master Load Keys</t>
  </si>
  <si>
    <t>1.4.3.1 Fabrication</t>
  </si>
  <si>
    <t>1.4.3.1.1 Master Load key fabrication</t>
  </si>
  <si>
    <t>$5.5k HQ * HQ scaleup factors</t>
    <phoneticPr fontId="13" type="noConversion"/>
  </si>
  <si>
    <t>1.4.3.1.2 Load key fabrication</t>
  </si>
  <si>
    <t>1.4.3.1.3 Load Shim fabrication</t>
    <phoneticPr fontId="13" type="noConversion"/>
  </si>
  <si>
    <t>1.4.3.2 Inspection</t>
  </si>
  <si>
    <t>1.4.4 Assemble Coilpack</t>
  </si>
  <si>
    <t>1.4.4.1 Mount lower load pad onto assembly table</t>
  </si>
  <si>
    <t>1.4.4.2 Mount lower collar assembly onto lower load pad</t>
  </si>
  <si>
    <t>1.4.4.3 Shim coils for alignment tuniing (includes iterations as well)</t>
    <phoneticPr fontId="13" type="noConversion"/>
  </si>
  <si>
    <t>1.4.4.4 Align side collars</t>
  </si>
  <si>
    <t>1.4.4.5 Pick up and align two side coils with fixture</t>
  </si>
  <si>
    <t>1.4.4.6 Insert coils, fasten with angle plates</t>
  </si>
  <si>
    <t>1.4.4.7 Maneuver top coil onto coilpack</t>
  </si>
  <si>
    <t>1.4.4.8 Place top collar on top</t>
  </si>
  <si>
    <t>1.4.4.9 Bolt and torque collars</t>
  </si>
  <si>
    <t>1.4.4.10 Mount side load pads</t>
  </si>
  <si>
    <t>1.4.4.11 Mount upper load pad</t>
  </si>
  <si>
    <t>1.4.4.12 Bolt and torque load pad assembly</t>
  </si>
  <si>
    <t>1.5 Magnet Assembly</t>
    <phoneticPr fontId="13" type="noConversion"/>
  </si>
  <si>
    <t>1.5.1 Mount Shell &amp; yoke on assembly surface</t>
    <phoneticPr fontId="13" type="noConversion"/>
  </si>
  <si>
    <t>1.5.2 Mount &amp; align coilpack on staging table (includes 1st master key assy)</t>
    <phoneticPr fontId="13" type="noConversion"/>
  </si>
  <si>
    <t>1.5.3 Insert Coilpack</t>
  </si>
  <si>
    <t>1.5.4 Assemble and Insert master key assemblies</t>
    <phoneticPr fontId="13" type="noConversion"/>
  </si>
  <si>
    <t>1.5.5 Prepare for bladder operations</t>
  </si>
  <si>
    <t>1.5.6 Bladder ops</t>
  </si>
  <si>
    <t>1.5.7 Install Axial load rig</t>
  </si>
  <si>
    <t>1.5.8 Tension axial rods</t>
  </si>
  <si>
    <t>1.5.9 Final bladder operations</t>
  </si>
  <si>
    <t>1.5.10 Mount Pizza Box &amp; splice</t>
  </si>
  <si>
    <t>1.5.11 Package magnet and cables for shipment</t>
  </si>
  <si>
    <t>1.5.12 Magnet mechanical completeness QA</t>
  </si>
  <si>
    <t>1.6 Diagnostics and Instrumentation, Protection</t>
    <phoneticPr fontId="13" type="noConversion"/>
  </si>
  <si>
    <t>1.6.1 Detail Design Magnet Schematics</t>
  </si>
  <si>
    <t>1.6.2 Detail Design Coil Schematics</t>
  </si>
  <si>
    <t>This section not calculated in green task rollup</t>
    <phoneticPr fontId="13" type="noConversion"/>
  </si>
  <si>
    <t>1.6.3 Shell Instrumentation</t>
  </si>
  <si>
    <t>1.6.3.1 SG installation</t>
  </si>
  <si>
    <t>1.6.3.2 Cabling and connectorizing</t>
  </si>
  <si>
    <t>1.6.3.3 Shell connector QA</t>
  </si>
  <si>
    <t>1.6.4 VT/Heater Traces</t>
  </si>
  <si>
    <t>1.6.4.1 Detail Design Trace</t>
  </si>
  <si>
    <t>1.6.4.2 Trace artwork (Possibly one-time cost)</t>
    <phoneticPr fontId="13" type="noConversion"/>
  </si>
  <si>
    <t>LQ (6891393) * LQ scaleup factors</t>
    <phoneticPr fontId="13" type="noConversion"/>
  </si>
  <si>
    <t>1.6.4.3 Trace Fabrication</t>
    <phoneticPr fontId="13" type="noConversion"/>
  </si>
  <si>
    <t>1.6.4.4 Trace QA</t>
    <phoneticPr fontId="13" type="noConversion"/>
  </si>
  <si>
    <t>1.6.5 Coil Instrumentation</t>
  </si>
  <si>
    <t>1.6.5.1 SG Installation</t>
  </si>
  <si>
    <t>1.6.5.2 Cabling and Connectors</t>
  </si>
  <si>
    <t>1.6.5.3 Coil QA (post-Instrumentation)</t>
  </si>
  <si>
    <t>1.6.6 Coilpack QA</t>
  </si>
  <si>
    <t>1.6.7 Magnet Connector and wiring placements</t>
    <phoneticPr fontId="13" type="noConversion"/>
  </si>
  <si>
    <t>1.6.8 Magnet QA (pre-bladder ops)</t>
    <phoneticPr fontId="13" type="noConversion"/>
  </si>
  <si>
    <t>1.6.9 Magnet QA (post-bladder ops)</t>
    <phoneticPr fontId="13" type="noConversion"/>
  </si>
  <si>
    <t>LBNL Estimate (includes M&amp;S OH)</t>
  </si>
  <si>
    <t>Aperture increase factor</t>
  </si>
  <si>
    <t>Cable thickness increase factor</t>
  </si>
  <si>
    <t>Length of magnet factor</t>
  </si>
  <si>
    <t xml:space="preserve">UL of cable </t>
  </si>
  <si>
    <t>Wire diam increase factor</t>
  </si>
  <si>
    <t>Total strand length in cable</t>
  </si>
  <si>
    <t>meters</t>
  </si>
  <si>
    <t>With 10% Waste in Mapping</t>
  </si>
  <si>
    <t>Weight of strand /UL</t>
  </si>
  <si>
    <t>kg</t>
  </si>
  <si>
    <t>Total Req.</t>
  </si>
  <si>
    <t>Strand-Present cost W/OH</t>
  </si>
  <si>
    <t>Cabling Cost at LBNL</t>
  </si>
  <si>
    <t>Insulation cost at NEWTC</t>
  </si>
  <si>
    <t>Total Cost of UL</t>
  </si>
  <si>
    <t xml:space="preserve">QA </t>
  </si>
  <si>
    <t>Total QA</t>
  </si>
  <si>
    <t>Witness Samples/coil reaction</t>
  </si>
  <si>
    <t>Total Witness</t>
  </si>
  <si>
    <t>Number of coils</t>
  </si>
  <si>
    <t>Wire Requirement in Kg</t>
  </si>
  <si>
    <t>PO placed, Kg</t>
  </si>
  <si>
    <t>BNL estimate (Includes OH)</t>
  </si>
  <si>
    <t xml:space="preserve"> </t>
  </si>
  <si>
    <t>A. Nobrega ($250k in 2006) + ancillary</t>
  </si>
  <si>
    <t>CMs complete</t>
  </si>
  <si>
    <t>Subtotal Tooling and Equipment</t>
  </si>
  <si>
    <t>Mirror in R&amp;D</t>
  </si>
  <si>
    <t>Coil Parts full length Prototype</t>
  </si>
  <si>
    <t>Doubled from "25%" estimate</t>
  </si>
  <si>
    <t>Same as "25%" estimate</t>
  </si>
  <si>
    <t>Design same, rest doubled from "25%"</t>
  </si>
  <si>
    <t>Assumes all test at FNAL</t>
  </si>
  <si>
    <t xml:space="preserve"> 150 mm Prototype Conductor  Cost Estimate for 3 m Magnet</t>
  </si>
  <si>
    <t>ALL in FY12$</t>
  </si>
  <si>
    <t xml:space="preserve">scaled from LHQ UL +25 m </t>
  </si>
  <si>
    <t>Total Cost xx UL</t>
  </si>
  <si>
    <t>Total per coil</t>
  </si>
  <si>
    <t>Design and Infrastructure</t>
  </si>
  <si>
    <t>Prototype Cable</t>
  </si>
  <si>
    <t>Prototype Materials with OH</t>
  </si>
  <si>
    <t>Production Material with OH</t>
  </si>
  <si>
    <t>Total Material w/o Contingency</t>
  </si>
  <si>
    <t>Production Materials</t>
  </si>
  <si>
    <t>Production Labor</t>
  </si>
  <si>
    <r>
      <t>IR Quadrupole (MQXF) Cold Mass Estimate using 150mm aperture, "half-length" (~4m) coils.  Includes twenty</t>
    </r>
    <r>
      <rPr>
        <b/>
        <sz val="11"/>
        <color theme="1"/>
        <rFont val="Calibri"/>
        <family val="2"/>
        <scheme val="minor"/>
      </rPr>
      <t>(20)</t>
    </r>
    <r>
      <rPr>
        <sz val="11"/>
        <color theme="1"/>
        <rFont val="Calibri"/>
        <family val="2"/>
        <scheme val="minor"/>
      </rPr>
      <t xml:space="preserve"> production cold masses using FNAL Rates.  Overall project management not included.  At-year dollars and all burdens included.
DRAFT 03-Dec-2012
 </t>
    </r>
    <r>
      <rPr>
        <sz val="11"/>
        <color rgb="FFC00000"/>
        <rFont val="Calibri"/>
        <family val="2"/>
        <scheme val="minor"/>
      </rPr>
      <t>NOTE: LQXF, SQXF, WPDS-LQ-HQ-HQM, LHQ, test facility upgrades, cold mass assembly tooling assumed to be part of LARP R&amp;D and not included here.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</si>
</sst>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"/>
    <numFmt numFmtId="166" formatCode="0.0"/>
    <numFmt numFmtId="167" formatCode="&quot;$&quot;#,##0.00"/>
    <numFmt numFmtId="168" formatCode="mmmm\ d\,\ yyyy"/>
    <numFmt numFmtId="169" formatCode="dd\-mmm\-yy"/>
    <numFmt numFmtId="170" formatCode="0.0%"/>
    <numFmt numFmtId="171" formatCode="_(&quot;$&quot;* #,##0_);_(&quot;$&quot;* \(#,##0\);_(&quot;$&quot;* &quot;-&quot;??_);_(@_)"/>
    <numFmt numFmtId="172" formatCode="0.000%"/>
    <numFmt numFmtId="173" formatCode="0.0000"/>
    <numFmt numFmtId="174" formatCode="0.000"/>
  </numFmts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G Times (W1)"/>
    </font>
    <font>
      <b/>
      <sz val="8"/>
      <name val="Times New Roman"/>
      <family val="1"/>
    </font>
    <font>
      <b/>
      <sz val="11"/>
      <color theme="5" tint="-0.249977111117893"/>
      <name val="Calibri"/>
      <family val="2"/>
      <scheme val="minor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b/>
      <i/>
      <sz val="12"/>
      <color indexed="10"/>
      <name val="Arial"/>
      <family val="2"/>
    </font>
    <font>
      <b/>
      <sz val="10"/>
      <name val="Verdana"/>
      <family val="2"/>
    </font>
    <font>
      <b/>
      <i/>
      <sz val="10"/>
      <name val="Arial"/>
      <family val="2"/>
    </font>
    <font>
      <b/>
      <i/>
      <sz val="10"/>
      <name val="Verdana"/>
      <family val="2"/>
    </font>
    <font>
      <i/>
      <sz val="10"/>
      <name val="Verdana"/>
      <family val="2"/>
    </font>
    <font>
      <sz val="10"/>
      <color indexed="17"/>
      <name val="Verdana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indexed="10"/>
      <name val="Verdana"/>
      <family val="2"/>
    </font>
    <font>
      <b/>
      <sz val="8"/>
      <color indexed="10"/>
      <name val="Verdana"/>
      <family val="2"/>
    </font>
    <font>
      <strike/>
      <sz val="10"/>
      <color indexed="10"/>
      <name val="Verdana"/>
      <family val="2"/>
    </font>
    <font>
      <b/>
      <strike/>
      <sz val="10"/>
      <color indexed="10"/>
      <name val="Verdana"/>
      <family val="2"/>
    </font>
    <font>
      <b/>
      <sz val="16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slantDashDot">
        <color theme="9" tint="-0.24994659260841701"/>
      </left>
      <right/>
      <top style="slantDashDot">
        <color theme="9" tint="-0.24994659260841701"/>
      </top>
      <bottom/>
      <diagonal/>
    </border>
    <border>
      <left/>
      <right/>
      <top style="slantDashDot">
        <color theme="9" tint="-0.24994659260841701"/>
      </top>
      <bottom/>
      <diagonal/>
    </border>
    <border>
      <left/>
      <right style="slantDashDot">
        <color theme="9" tint="-0.24994659260841701"/>
      </right>
      <top style="slantDashDot">
        <color theme="9" tint="-0.24994659260841701"/>
      </top>
      <bottom/>
      <diagonal/>
    </border>
    <border>
      <left style="slantDashDot">
        <color theme="9" tint="-0.24994659260841701"/>
      </left>
      <right/>
      <top/>
      <bottom/>
      <diagonal/>
    </border>
    <border>
      <left/>
      <right style="slantDashDot">
        <color theme="9" tint="-0.24994659260841701"/>
      </right>
      <top/>
      <bottom/>
      <diagonal/>
    </border>
    <border>
      <left style="slantDashDot">
        <color theme="9" tint="-0.24994659260841701"/>
      </left>
      <right/>
      <top/>
      <bottom style="slantDashDot">
        <color theme="9" tint="-0.24994659260841701"/>
      </bottom>
      <diagonal/>
    </border>
    <border>
      <left/>
      <right/>
      <top/>
      <bottom style="slantDashDot">
        <color theme="9" tint="-0.24994659260841701"/>
      </bottom>
      <diagonal/>
    </border>
    <border>
      <left/>
      <right style="slantDashDot">
        <color theme="9" tint="-0.24994659260841701"/>
      </right>
      <top/>
      <bottom style="slantDashDot">
        <color theme="9" tint="-0.24994659260841701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27" fillId="0" borderId="0"/>
    <xf numFmtId="0" fontId="32" fillId="0" borderId="0"/>
    <xf numFmtId="0" fontId="33" fillId="0" borderId="0"/>
    <xf numFmtId="0" fontId="22" fillId="0" borderId="0"/>
  </cellStyleXfs>
  <cellXfs count="6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Font="1" applyFill="1" applyBorder="1"/>
    <xf numFmtId="0" fontId="0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horizontal="left"/>
    </xf>
    <xf numFmtId="164" fontId="0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0" fontId="5" fillId="0" borderId="0" xfId="1" applyFont="1" applyAlignment="1"/>
    <xf numFmtId="168" fontId="5" fillId="0" borderId="0" xfId="1" applyNumberFormat="1" applyFont="1" applyAlignment="1"/>
    <xf numFmtId="168" fontId="5" fillId="0" borderId="8" xfId="1" applyNumberFormat="1" applyFont="1" applyBorder="1" applyAlignment="1"/>
    <xf numFmtId="0" fontId="5" fillId="0" borderId="9" xfId="1" applyFont="1" applyBorder="1" applyAlignment="1"/>
    <xf numFmtId="169" fontId="5" fillId="0" borderId="1" xfId="1" applyNumberFormat="1" applyFont="1" applyBorder="1" applyAlignment="1"/>
    <xf numFmtId="0" fontId="5" fillId="0" borderId="8" xfId="1" applyFont="1" applyBorder="1" applyAlignment="1"/>
    <xf numFmtId="0" fontId="5" fillId="0" borderId="10" xfId="1" applyFont="1" applyBorder="1" applyAlignment="1"/>
    <xf numFmtId="0" fontId="5" fillId="0" borderId="0" xfId="1" applyFont="1"/>
    <xf numFmtId="170" fontId="5" fillId="0" borderId="1" xfId="1" applyNumberFormat="1" applyFont="1" applyBorder="1" applyAlignment="1"/>
    <xf numFmtId="0" fontId="6" fillId="8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164" fontId="5" fillId="0" borderId="0" xfId="2" applyNumberFormat="1" applyFont="1" applyAlignment="1"/>
    <xf numFmtId="164" fontId="5" fillId="0" borderId="1" xfId="1" applyNumberFormat="1" applyFont="1" applyBorder="1" applyAlignment="1"/>
    <xf numFmtId="0" fontId="5" fillId="0" borderId="1" xfId="1" applyFont="1" applyBorder="1"/>
    <xf numFmtId="2" fontId="5" fillId="0" borderId="1" xfId="1" applyNumberFormat="1" applyFont="1" applyBorder="1"/>
    <xf numFmtId="164" fontId="5" fillId="0" borderId="1" xfId="1" applyNumberFormat="1" applyFont="1" applyBorder="1"/>
    <xf numFmtId="0" fontId="5" fillId="0" borderId="0" xfId="1" applyFont="1" applyBorder="1" applyAlignment="1"/>
    <xf numFmtId="0" fontId="5" fillId="0" borderId="0" xfId="1" applyFont="1" applyBorder="1" applyAlignment="1">
      <alignment horizontal="center"/>
    </xf>
    <xf numFmtId="164" fontId="5" fillId="0" borderId="0" xfId="1" applyNumberFormat="1" applyFont="1" applyBorder="1" applyAlignment="1"/>
    <xf numFmtId="164" fontId="5" fillId="0" borderId="0" xfId="2" applyNumberFormat="1" applyFont="1" applyBorder="1" applyAlignment="1"/>
    <xf numFmtId="164" fontId="6" fillId="0" borderId="10" xfId="1" applyNumberFormat="1" applyFont="1" applyBorder="1" applyAlignment="1"/>
    <xf numFmtId="0" fontId="5" fillId="0" borderId="10" xfId="1" applyFont="1" applyBorder="1"/>
    <xf numFmtId="164" fontId="6" fillId="0" borderId="9" xfId="1" applyNumberFormat="1" applyFont="1" applyBorder="1" applyAlignment="1"/>
    <xf numFmtId="0" fontId="3" fillId="0" borderId="0" xfId="1"/>
    <xf numFmtId="0" fontId="6" fillId="8" borderId="1" xfId="1" applyFont="1" applyFill="1" applyBorder="1" applyAlignment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/>
    <xf numFmtId="167" fontId="5" fillId="0" borderId="1" xfId="1" applyNumberFormat="1" applyFont="1" applyBorder="1" applyAlignment="1"/>
    <xf numFmtId="167" fontId="5" fillId="0" borderId="1" xfId="2" applyNumberFormat="1" applyFont="1" applyBorder="1" applyAlignment="1"/>
    <xf numFmtId="0" fontId="5" fillId="0" borderId="11" xfId="1" applyFont="1" applyBorder="1" applyAlignment="1">
      <alignment horizontal="left"/>
    </xf>
    <xf numFmtId="0" fontId="5" fillId="0" borderId="11" xfId="1" applyFont="1" applyBorder="1" applyAlignment="1"/>
    <xf numFmtId="164" fontId="5" fillId="0" borderId="11" xfId="1" applyNumberFormat="1" applyFont="1" applyBorder="1" applyAlignment="1"/>
    <xf numFmtId="2" fontId="5" fillId="0" borderId="11" xfId="1" applyNumberFormat="1" applyFont="1" applyBorder="1"/>
    <xf numFmtId="0" fontId="6" fillId="8" borderId="8" xfId="1" applyFont="1" applyFill="1" applyBorder="1" applyAlignment="1">
      <alignment horizontal="left"/>
    </xf>
    <xf numFmtId="0" fontId="6" fillId="8" borderId="9" xfId="1" applyFont="1" applyFill="1" applyBorder="1" applyAlignment="1">
      <alignment horizontal="left"/>
    </xf>
    <xf numFmtId="9" fontId="5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 applyProtection="1">
      <alignment horizontal="center"/>
    </xf>
    <xf numFmtId="2" fontId="5" fillId="0" borderId="0" xfId="1" applyNumberFormat="1" applyFont="1" applyAlignment="1"/>
    <xf numFmtId="0" fontId="6" fillId="0" borderId="8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6" fillId="9" borderId="8" xfId="1" applyFont="1" applyFill="1" applyBorder="1" applyAlignment="1">
      <alignment horizontal="left"/>
    </xf>
    <xf numFmtId="0" fontId="6" fillId="9" borderId="10" xfId="1" applyFont="1" applyFill="1" applyBorder="1" applyAlignment="1">
      <alignment horizontal="left"/>
    </xf>
    <xf numFmtId="0" fontId="5" fillId="9" borderId="10" xfId="1" applyFont="1" applyFill="1" applyBorder="1" applyAlignment="1"/>
    <xf numFmtId="164" fontId="6" fillId="9" borderId="10" xfId="1" applyNumberFormat="1" applyFont="1" applyFill="1" applyBorder="1" applyAlignment="1"/>
    <xf numFmtId="164" fontId="6" fillId="9" borderId="9" xfId="1" applyNumberFormat="1" applyFont="1" applyFill="1" applyBorder="1" applyAlignment="1"/>
    <xf numFmtId="0" fontId="3" fillId="10" borderId="0" xfId="1" applyFill="1"/>
    <xf numFmtId="164" fontId="3" fillId="10" borderId="0" xfId="1" applyNumberFormat="1" applyFill="1"/>
    <xf numFmtId="164" fontId="6" fillId="0" borderId="0" xfId="1" applyNumberFormat="1" applyFont="1" applyBorder="1" applyAlignment="1"/>
    <xf numFmtId="0" fontId="5" fillId="0" borderId="0" xfId="1" applyFont="1" applyBorder="1"/>
    <xf numFmtId="4" fontId="0" fillId="0" borderId="1" xfId="0" applyNumberFormat="1" applyBorder="1"/>
    <xf numFmtId="0" fontId="0" fillId="10" borderId="1" xfId="0" applyFill="1" applyBorder="1"/>
    <xf numFmtId="4" fontId="1" fillId="0" borderId="1" xfId="0" applyNumberFormat="1" applyFont="1" applyBorder="1"/>
    <xf numFmtId="2" fontId="0" fillId="0" borderId="0" xfId="0" quotePrefix="1" applyNumberFormat="1"/>
    <xf numFmtId="0" fontId="5" fillId="0" borderId="0" xfId="3" applyFont="1" applyAlignment="1"/>
    <xf numFmtId="168" fontId="5" fillId="0" borderId="0" xfId="3" applyNumberFormat="1" applyFont="1" applyAlignment="1"/>
    <xf numFmtId="168" fontId="5" fillId="0" borderId="8" xfId="3" applyNumberFormat="1" applyFont="1" applyBorder="1" applyAlignment="1"/>
    <xf numFmtId="0" fontId="5" fillId="0" borderId="9" xfId="3" applyFont="1" applyBorder="1" applyAlignment="1"/>
    <xf numFmtId="169" fontId="5" fillId="0" borderId="1" xfId="3" applyNumberFormat="1" applyFont="1" applyBorder="1" applyAlignment="1"/>
    <xf numFmtId="0" fontId="5" fillId="0" borderId="8" xfId="3" applyFont="1" applyBorder="1" applyAlignment="1"/>
    <xf numFmtId="0" fontId="5" fillId="0" borderId="10" xfId="3" applyFont="1" applyBorder="1" applyAlignment="1"/>
    <xf numFmtId="0" fontId="5" fillId="0" borderId="0" xfId="3" applyFont="1"/>
    <xf numFmtId="170" fontId="5" fillId="0" borderId="1" xfId="3" applyNumberFormat="1" applyFont="1" applyBorder="1" applyAlignment="1"/>
    <xf numFmtId="0" fontId="6" fillId="8" borderId="1" xfId="3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164" fontId="5" fillId="0" borderId="0" xfId="4" applyNumberFormat="1" applyFont="1" applyAlignment="1"/>
    <xf numFmtId="164" fontId="5" fillId="0" borderId="1" xfId="3" applyNumberFormat="1" applyFont="1" applyBorder="1" applyAlignment="1"/>
    <xf numFmtId="0" fontId="5" fillId="0" borderId="1" xfId="3" applyFont="1" applyBorder="1"/>
    <xf numFmtId="2" fontId="5" fillId="0" borderId="1" xfId="3" applyNumberFormat="1" applyFont="1" applyBorder="1"/>
    <xf numFmtId="164" fontId="5" fillId="0" borderId="1" xfId="3" applyNumberFormat="1" applyFont="1" applyBorder="1"/>
    <xf numFmtId="0" fontId="5" fillId="0" borderId="0" xfId="3" applyFont="1" applyBorder="1" applyAlignment="1"/>
    <xf numFmtId="0" fontId="5" fillId="0" borderId="0" xfId="3" applyFont="1" applyBorder="1" applyAlignment="1">
      <alignment horizontal="center"/>
    </xf>
    <xf numFmtId="164" fontId="5" fillId="0" borderId="0" xfId="3" applyNumberFormat="1" applyFont="1" applyBorder="1" applyAlignment="1"/>
    <xf numFmtId="164" fontId="5" fillId="0" borderId="0" xfId="4" applyNumberFormat="1" applyFont="1" applyBorder="1" applyAlignment="1"/>
    <xf numFmtId="164" fontId="6" fillId="0" borderId="10" xfId="3" applyNumberFormat="1" applyFont="1" applyBorder="1" applyAlignment="1"/>
    <xf numFmtId="0" fontId="5" fillId="0" borderId="10" xfId="3" applyFont="1" applyBorder="1"/>
    <xf numFmtId="164" fontId="6" fillId="0" borderId="9" xfId="3" applyNumberFormat="1" applyFont="1" applyBorder="1" applyAlignment="1"/>
    <xf numFmtId="0" fontId="7" fillId="0" borderId="0" xfId="3"/>
    <xf numFmtId="0" fontId="6" fillId="8" borderId="1" xfId="3" applyFont="1" applyFill="1" applyBorder="1" applyAlignment="1"/>
    <xf numFmtId="0" fontId="5" fillId="0" borderId="1" xfId="3" applyFont="1" applyBorder="1" applyAlignment="1">
      <alignment horizontal="left"/>
    </xf>
    <xf numFmtId="0" fontId="5" fillId="0" borderId="1" xfId="3" applyFont="1" applyBorder="1" applyAlignment="1"/>
    <xf numFmtId="167" fontId="5" fillId="0" borderId="1" xfId="3" applyNumberFormat="1" applyFont="1" applyBorder="1" applyAlignment="1"/>
    <xf numFmtId="167" fontId="5" fillId="0" borderId="1" xfId="4" applyNumberFormat="1" applyFont="1" applyBorder="1" applyAlignment="1"/>
    <xf numFmtId="0" fontId="5" fillId="0" borderId="11" xfId="3" applyFont="1" applyBorder="1" applyAlignment="1">
      <alignment horizontal="left"/>
    </xf>
    <xf numFmtId="0" fontId="5" fillId="0" borderId="11" xfId="3" applyFont="1" applyBorder="1" applyAlignment="1"/>
    <xf numFmtId="164" fontId="5" fillId="0" borderId="11" xfId="3" applyNumberFormat="1" applyFont="1" applyBorder="1" applyAlignment="1"/>
    <xf numFmtId="2" fontId="5" fillId="0" borderId="11" xfId="3" applyNumberFormat="1" applyFont="1" applyBorder="1"/>
    <xf numFmtId="0" fontId="6" fillId="8" borderId="8" xfId="3" applyFont="1" applyFill="1" applyBorder="1" applyAlignment="1">
      <alignment horizontal="left"/>
    </xf>
    <xf numFmtId="0" fontId="6" fillId="8" borderId="9" xfId="3" applyFont="1" applyFill="1" applyBorder="1" applyAlignment="1">
      <alignment horizontal="left"/>
    </xf>
    <xf numFmtId="9" fontId="5" fillId="0" borderId="1" xfId="3" applyNumberFormat="1" applyFont="1" applyBorder="1" applyAlignment="1">
      <alignment horizontal="center"/>
    </xf>
    <xf numFmtId="164" fontId="5" fillId="0" borderId="1" xfId="3" applyNumberFormat="1" applyFont="1" applyBorder="1" applyAlignment="1" applyProtection="1">
      <alignment horizontal="center"/>
    </xf>
    <xf numFmtId="2" fontId="5" fillId="0" borderId="0" xfId="3" applyNumberFormat="1" applyFont="1" applyAlignment="1"/>
    <xf numFmtId="0" fontId="6" fillId="0" borderId="8" xfId="3" applyFont="1" applyBorder="1" applyAlignment="1">
      <alignment horizontal="left"/>
    </xf>
    <xf numFmtId="0" fontId="6" fillId="0" borderId="10" xfId="3" applyFont="1" applyBorder="1" applyAlignment="1">
      <alignment horizontal="left"/>
    </xf>
    <xf numFmtId="0" fontId="6" fillId="9" borderId="8" xfId="3" applyFont="1" applyFill="1" applyBorder="1" applyAlignment="1">
      <alignment horizontal="left"/>
    </xf>
    <xf numFmtId="0" fontId="6" fillId="9" borderId="10" xfId="3" applyFont="1" applyFill="1" applyBorder="1" applyAlignment="1">
      <alignment horizontal="left"/>
    </xf>
    <xf numFmtId="0" fontId="5" fillId="9" borderId="10" xfId="3" applyFont="1" applyFill="1" applyBorder="1" applyAlignment="1"/>
    <xf numFmtId="164" fontId="6" fillId="9" borderId="10" xfId="3" applyNumberFormat="1" applyFont="1" applyFill="1" applyBorder="1" applyAlignment="1"/>
    <xf numFmtId="164" fontId="6" fillId="9" borderId="9" xfId="3" applyNumberFormat="1" applyFont="1" applyFill="1" applyBorder="1" applyAlignment="1"/>
    <xf numFmtId="164" fontId="6" fillId="0" borderId="0" xfId="3" applyNumberFormat="1" applyFont="1" applyBorder="1" applyAlignment="1"/>
    <xf numFmtId="0" fontId="5" fillId="0" borderId="0" xfId="3" applyFont="1" applyBorder="1"/>
    <xf numFmtId="0" fontId="8" fillId="11" borderId="12" xfId="0" applyFont="1" applyFill="1" applyBorder="1" applyAlignment="1">
      <alignment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10" fontId="9" fillId="0" borderId="15" xfId="0" applyNumberFormat="1" applyFont="1" applyBorder="1" applyAlignment="1">
      <alignment horizontal="right" vertical="center"/>
    </xf>
    <xf numFmtId="8" fontId="9" fillId="0" borderId="15" xfId="0" applyNumberFormat="1" applyFont="1" applyBorder="1" applyAlignment="1">
      <alignment horizontal="right" vertical="center"/>
    </xf>
    <xf numFmtId="0" fontId="12" fillId="0" borderId="0" xfId="0" applyFont="1"/>
    <xf numFmtId="0" fontId="13" fillId="12" borderId="0" xfId="0" applyFont="1" applyFill="1"/>
    <xf numFmtId="164" fontId="0" fillId="0" borderId="0" xfId="0" applyNumberFormat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164" fontId="14" fillId="12" borderId="0" xfId="0" applyNumberFormat="1" applyFont="1" applyFill="1"/>
    <xf numFmtId="0" fontId="15" fillId="0" borderId="0" xfId="0" applyFont="1"/>
    <xf numFmtId="164" fontId="16" fillId="0" borderId="0" xfId="0" applyNumberFormat="1" applyFont="1"/>
    <xf numFmtId="164" fontId="17" fillId="12" borderId="0" xfId="0" applyNumberFormat="1" applyFont="1" applyFill="1"/>
    <xf numFmtId="0" fontId="0" fillId="0" borderId="0" xfId="0" applyFont="1"/>
    <xf numFmtId="0" fontId="0" fillId="0" borderId="0" xfId="0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16" xfId="0" applyFont="1" applyBorder="1" applyAlignment="1">
      <alignment vertical="top" wrapText="1"/>
    </xf>
    <xf numFmtId="0" fontId="20" fillId="0" borderId="17" xfId="0" applyFont="1" applyBorder="1" applyAlignment="1">
      <alignment horizontal="center" vertical="top" wrapText="1"/>
    </xf>
    <xf numFmtId="0" fontId="20" fillId="0" borderId="17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164" fontId="5" fillId="0" borderId="20" xfId="0" applyNumberFormat="1" applyFont="1" applyBorder="1" applyAlignment="1">
      <alignment horizontal="center" vertical="top" wrapText="1"/>
    </xf>
    <xf numFmtId="0" fontId="0" fillId="0" borderId="19" xfId="0" applyBorder="1" applyAlignment="1">
      <alignment horizontal="center"/>
    </xf>
    <xf numFmtId="0" fontId="20" fillId="0" borderId="20" xfId="0" applyFont="1" applyBorder="1" applyAlignment="1">
      <alignment horizontal="center" vertical="top" wrapText="1"/>
    </xf>
    <xf numFmtId="164" fontId="5" fillId="0" borderId="19" xfId="0" applyNumberFormat="1" applyFont="1" applyBorder="1" applyAlignment="1">
      <alignment horizontal="center" vertical="top" wrapText="1"/>
    </xf>
    <xf numFmtId="164" fontId="5" fillId="0" borderId="23" xfId="0" applyNumberFormat="1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20" fillId="0" borderId="19" xfId="0" applyFont="1" applyBorder="1" applyAlignment="1">
      <alignment horizontal="center" vertical="top" wrapText="1"/>
    </xf>
    <xf numFmtId="0" fontId="21" fillId="0" borderId="18" xfId="0" applyFont="1" applyBorder="1" applyAlignment="1">
      <alignment vertical="top" wrapText="1"/>
    </xf>
    <xf numFmtId="164" fontId="21" fillId="0" borderId="20" xfId="0" applyNumberFormat="1" applyFont="1" applyBorder="1" applyAlignment="1">
      <alignment horizontal="center" vertical="top" wrapText="1"/>
    </xf>
    <xf numFmtId="0" fontId="22" fillId="0" borderId="24" xfId="0" applyFont="1" applyBorder="1"/>
    <xf numFmtId="167" fontId="0" fillId="0" borderId="24" xfId="0" applyNumberFormat="1" applyFont="1" applyBorder="1" applyAlignment="1">
      <alignment horizontal="center"/>
    </xf>
    <xf numFmtId="0" fontId="5" fillId="0" borderId="20" xfId="0" applyNumberFormat="1" applyFont="1" applyBorder="1" applyAlignment="1">
      <alignment horizontal="center" vertical="top" wrapText="1"/>
    </xf>
    <xf numFmtId="1" fontId="5" fillId="0" borderId="20" xfId="0" applyNumberFormat="1" applyFont="1" applyBorder="1" applyAlignment="1">
      <alignment horizontal="center" vertical="top" wrapText="1"/>
    </xf>
    <xf numFmtId="0" fontId="0" fillId="0" borderId="25" xfId="0" applyBorder="1" applyAlignment="1">
      <alignment vertical="top" wrapText="1"/>
    </xf>
    <xf numFmtId="164" fontId="0" fillId="0" borderId="26" xfId="0" applyNumberFormat="1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20" fillId="0" borderId="27" xfId="0" applyFont="1" applyBorder="1" applyAlignment="1">
      <alignment horizontal="center" vertical="top" wrapText="1"/>
    </xf>
    <xf numFmtId="0" fontId="5" fillId="0" borderId="27" xfId="0" applyNumberFormat="1" applyFont="1" applyBorder="1" applyAlignment="1">
      <alignment horizontal="center" vertical="top" wrapText="1"/>
    </xf>
    <xf numFmtId="164" fontId="5" fillId="0" borderId="27" xfId="0" applyNumberFormat="1" applyFont="1" applyBorder="1" applyAlignment="1">
      <alignment horizontal="center" vertical="top" wrapText="1"/>
    </xf>
    <xf numFmtId="0" fontId="21" fillId="0" borderId="24" xfId="0" applyFont="1" applyBorder="1" applyAlignment="1">
      <alignment vertical="top" wrapText="1"/>
    </xf>
    <xf numFmtId="164" fontId="5" fillId="0" borderId="24" xfId="0" applyNumberFormat="1" applyFont="1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20" fillId="0" borderId="24" xfId="0" applyFont="1" applyBorder="1" applyAlignment="1">
      <alignment horizontal="center" vertical="top" wrapText="1"/>
    </xf>
    <xf numFmtId="0" fontId="5" fillId="0" borderId="24" xfId="0" applyNumberFormat="1" applyFont="1" applyBorder="1" applyAlignment="1">
      <alignment horizontal="center" vertical="top" wrapText="1"/>
    </xf>
    <xf numFmtId="0" fontId="0" fillId="0" borderId="24" xfId="0" applyBorder="1" applyAlignment="1">
      <alignment vertical="top" wrapText="1"/>
    </xf>
    <xf numFmtId="164" fontId="0" fillId="0" borderId="24" xfId="0" applyNumberFormat="1" applyBorder="1" applyAlignment="1">
      <alignment horizontal="center" vertical="top" wrapText="1"/>
    </xf>
    <xf numFmtId="0" fontId="1" fillId="0" borderId="28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164" fontId="23" fillId="0" borderId="20" xfId="0" applyNumberFormat="1" applyFont="1" applyBorder="1" applyAlignment="1">
      <alignment horizontal="center" vertical="top" wrapText="1"/>
    </xf>
    <xf numFmtId="0" fontId="23" fillId="0" borderId="20" xfId="0" applyNumberFormat="1" applyFont="1" applyBorder="1" applyAlignment="1">
      <alignment horizontal="center" vertical="top" wrapText="1"/>
    </xf>
    <xf numFmtId="164" fontId="16" fillId="0" borderId="20" xfId="0" applyNumberFormat="1" applyFont="1" applyBorder="1" applyAlignment="1">
      <alignment horizontal="center" vertical="top" wrapText="1"/>
    </xf>
    <xf numFmtId="0" fontId="1" fillId="0" borderId="29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164" fontId="5" fillId="0" borderId="25" xfId="0" applyNumberFormat="1" applyFont="1" applyBorder="1" applyAlignment="1">
      <alignment horizontal="center" vertical="top" wrapText="1"/>
    </xf>
    <xf numFmtId="0" fontId="0" fillId="0" borderId="30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67" fontId="16" fillId="0" borderId="20" xfId="0" applyNumberFormat="1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164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5" fillId="0" borderId="0" xfId="0" applyNumberFormat="1" applyFont="1" applyBorder="1" applyAlignment="1">
      <alignment horizontal="center" vertical="top" wrapText="1"/>
    </xf>
    <xf numFmtId="164" fontId="5" fillId="0" borderId="0" xfId="0" applyNumberFormat="1" applyFont="1" applyBorder="1" applyAlignment="1">
      <alignment horizontal="center" vertical="top" wrapText="1"/>
    </xf>
    <xf numFmtId="0" fontId="23" fillId="0" borderId="0" xfId="0" applyNumberFormat="1" applyFont="1" applyBorder="1" applyAlignment="1">
      <alignment horizontal="center" vertical="top" wrapText="1"/>
    </xf>
    <xf numFmtId="167" fontId="16" fillId="0" borderId="0" xfId="0" applyNumberFormat="1" applyFont="1" applyBorder="1" applyAlignment="1">
      <alignment horizontal="center" vertical="top" wrapText="1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16" fillId="0" borderId="0" xfId="0" applyNumberFormat="1" applyFont="1"/>
    <xf numFmtId="0" fontId="0" fillId="0" borderId="31" xfId="0" applyBorder="1"/>
    <xf numFmtId="0" fontId="24" fillId="0" borderId="32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35" xfId="0" applyFont="1" applyBorder="1"/>
    <xf numFmtId="0" fontId="20" fillId="0" borderId="19" xfId="0" applyFont="1" applyBorder="1" applyAlignment="1">
      <alignment vertical="top" wrapText="1"/>
    </xf>
    <xf numFmtId="0" fontId="0" fillId="0" borderId="35" xfId="0" applyBorder="1"/>
    <xf numFmtId="0" fontId="0" fillId="0" borderId="22" xfId="0" applyBorder="1" applyAlignment="1">
      <alignment vertical="top" wrapText="1"/>
    </xf>
    <xf numFmtId="164" fontId="21" fillId="0" borderId="19" xfId="0" applyNumberFormat="1" applyFont="1" applyBorder="1" applyAlignment="1">
      <alignment horizontal="center" vertical="top" wrapText="1"/>
    </xf>
    <xf numFmtId="0" fontId="21" fillId="0" borderId="22" xfId="0" applyFont="1" applyBorder="1" applyAlignment="1">
      <alignment vertical="top" wrapText="1"/>
    </xf>
    <xf numFmtId="0" fontId="20" fillId="0" borderId="20" xfId="0" applyNumberFormat="1" applyFont="1" applyBorder="1" applyAlignment="1">
      <alignment horizontal="center" vertical="top" wrapText="1"/>
    </xf>
    <xf numFmtId="0" fontId="0" fillId="0" borderId="19" xfId="0" applyBorder="1"/>
    <xf numFmtId="164" fontId="11" fillId="0" borderId="19" xfId="0" applyNumberFormat="1" applyFont="1" applyBorder="1" applyAlignment="1">
      <alignment horizontal="center"/>
    </xf>
    <xf numFmtId="164" fontId="11" fillId="0" borderId="20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164" fontId="16" fillId="0" borderId="0" xfId="0" applyNumberFormat="1" applyFont="1" applyBorder="1" applyAlignment="1">
      <alignment horizontal="center" vertical="top" wrapText="1"/>
    </xf>
    <xf numFmtId="164" fontId="23" fillId="0" borderId="0" xfId="0" applyNumberFormat="1" applyFont="1" applyBorder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0" fillId="0" borderId="0" xfId="0" applyNumberFormat="1" applyFont="1" applyBorder="1" applyAlignment="1">
      <alignment horizontal="center" vertical="top" wrapText="1"/>
    </xf>
    <xf numFmtId="164" fontId="21" fillId="0" borderId="0" xfId="0" applyNumberFormat="1" applyFont="1" applyBorder="1" applyAlignment="1">
      <alignment horizontal="center" vertical="top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9" fillId="0" borderId="0" xfId="0" applyFont="1"/>
    <xf numFmtId="0" fontId="25" fillId="0" borderId="0" xfId="0" applyFont="1" applyAlignment="1">
      <alignment horizontal="center"/>
    </xf>
    <xf numFmtId="167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 wrapText="1"/>
    </xf>
    <xf numFmtId="0" fontId="22" fillId="0" borderId="0" xfId="0" applyFont="1"/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" fontId="22" fillId="0" borderId="0" xfId="0" applyNumberFormat="1" applyFont="1" applyAlignment="1">
      <alignment horizontal="center"/>
    </xf>
    <xf numFmtId="0" fontId="25" fillId="0" borderId="0" xfId="0" applyFont="1"/>
    <xf numFmtId="0" fontId="22" fillId="0" borderId="0" xfId="0" applyFont="1" applyBorder="1"/>
    <xf numFmtId="167" fontId="16" fillId="0" borderId="0" xfId="0" applyNumberFormat="1" applyFont="1" applyAlignment="1">
      <alignment horizontal="center"/>
    </xf>
    <xf numFmtId="167" fontId="26" fillId="0" borderId="0" xfId="0" applyNumberFormat="1" applyFont="1" applyAlignment="1">
      <alignment horizontal="center"/>
    </xf>
    <xf numFmtId="6" fontId="1" fillId="0" borderId="0" xfId="0" applyNumberFormat="1" applyFont="1"/>
    <xf numFmtId="171" fontId="0" fillId="0" borderId="0" xfId="5" applyNumberFormat="1" applyFont="1" applyAlignment="1">
      <alignment horizontal="center"/>
    </xf>
    <xf numFmtId="171" fontId="10" fillId="0" borderId="0" xfId="5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20" fillId="0" borderId="0" xfId="0" applyNumberFormat="1" applyFont="1" applyAlignment="1">
      <alignment horizontal="center"/>
    </xf>
    <xf numFmtId="171" fontId="16" fillId="0" borderId="0" xfId="5" applyNumberFormat="1" applyFont="1" applyAlignment="1">
      <alignment horizontal="center"/>
    </xf>
    <xf numFmtId="0" fontId="22" fillId="0" borderId="0" xfId="0" applyFont="1" applyAlignment="1">
      <alignment horizontal="left"/>
    </xf>
    <xf numFmtId="167" fontId="22" fillId="0" borderId="0" xfId="0" applyNumberFormat="1" applyFont="1" applyAlignment="1">
      <alignment horizontal="center"/>
    </xf>
    <xf numFmtId="0" fontId="22" fillId="0" borderId="39" xfId="0" applyFont="1" applyBorder="1"/>
    <xf numFmtId="3" fontId="0" fillId="0" borderId="0" xfId="0" applyNumberFormat="1" applyBorder="1" applyAlignment="1">
      <alignment horizontal="center" vertical="top" wrapText="1"/>
    </xf>
    <xf numFmtId="171" fontId="26" fillId="0" borderId="0" xfId="5" applyNumberFormat="1" applyFont="1" applyAlignment="1">
      <alignment horizontal="center"/>
    </xf>
    <xf numFmtId="167" fontId="26" fillId="0" borderId="0" xfId="0" applyNumberFormat="1" applyFont="1"/>
    <xf numFmtId="0" fontId="0" fillId="0" borderId="32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24" fillId="0" borderId="0" xfId="0" applyFont="1"/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5" fillId="0" borderId="34" xfId="0" applyFont="1" applyBorder="1" applyAlignment="1">
      <alignment horizontal="center"/>
    </xf>
    <xf numFmtId="14" fontId="25" fillId="0" borderId="0" xfId="0" applyNumberFormat="1" applyFont="1" applyBorder="1" applyAlignment="1">
      <alignment horizontal="center"/>
    </xf>
    <xf numFmtId="0" fontId="22" fillId="0" borderId="34" xfId="0" applyFont="1" applyBorder="1"/>
    <xf numFmtId="14" fontId="22" fillId="0" borderId="0" xfId="0" applyNumberFormat="1" applyFont="1" applyBorder="1" applyAlignment="1">
      <alignment horizontal="center"/>
    </xf>
    <xf numFmtId="0" fontId="25" fillId="0" borderId="34" xfId="0" applyFont="1" applyBorder="1"/>
    <xf numFmtId="0" fontId="22" fillId="0" borderId="3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15" fillId="0" borderId="0" xfId="0" applyFont="1" applyAlignment="1">
      <alignment wrapText="1"/>
    </xf>
    <xf numFmtId="44" fontId="0" fillId="0" borderId="1" xfId="5" applyNumberFormat="1" applyFont="1" applyBorder="1"/>
    <xf numFmtId="44" fontId="0" fillId="0" borderId="1" xfId="5" applyFont="1" applyBorder="1"/>
    <xf numFmtId="1" fontId="0" fillId="0" borderId="1" xfId="0" applyNumberFormat="1" applyBorder="1"/>
    <xf numFmtId="7" fontId="0" fillId="0" borderId="1" xfId="5" applyNumberFormat="1" applyFont="1" applyBorder="1"/>
    <xf numFmtId="44" fontId="1" fillId="0" borderId="1" xfId="0" applyNumberFormat="1" applyFont="1" applyBorder="1"/>
    <xf numFmtId="44" fontId="26" fillId="0" borderId="1" xfId="0" applyNumberFormat="1" applyFont="1" applyBorder="1"/>
    <xf numFmtId="44" fontId="1" fillId="0" borderId="0" xfId="0" applyNumberFormat="1" applyFont="1" applyBorder="1"/>
    <xf numFmtId="44" fontId="26" fillId="0" borderId="0" xfId="0" applyNumberFormat="1" applyFont="1" applyBorder="1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10" borderId="0" xfId="0" applyFill="1"/>
    <xf numFmtId="22" fontId="0" fillId="10" borderId="0" xfId="0" applyNumberFormat="1" applyFill="1"/>
    <xf numFmtId="14" fontId="0" fillId="10" borderId="0" xfId="0" applyNumberFormat="1" applyFill="1"/>
    <xf numFmtId="3" fontId="0" fillId="10" borderId="0" xfId="0" applyNumberFormat="1" applyFill="1"/>
    <xf numFmtId="0" fontId="0" fillId="0" borderId="0" xfId="0" applyFill="1"/>
    <xf numFmtId="22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40" xfId="0" applyFont="1" applyBorder="1"/>
    <xf numFmtId="2" fontId="0" fillId="0" borderId="41" xfId="0" applyNumberFormat="1" applyBorder="1"/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3" xfId="0" applyFill="1" applyBorder="1"/>
    <xf numFmtId="0" fontId="1" fillId="0" borderId="43" xfId="0" applyFont="1" applyBorder="1"/>
    <xf numFmtId="0" fontId="0" fillId="0" borderId="44" xfId="0" applyFill="1" applyBorder="1"/>
    <xf numFmtId="0" fontId="1" fillId="0" borderId="43" xfId="0" applyFont="1" applyFill="1" applyBorder="1"/>
    <xf numFmtId="164" fontId="0" fillId="0" borderId="44" xfId="0" applyNumberFormat="1" applyBorder="1"/>
    <xf numFmtId="0" fontId="0" fillId="0" borderId="1" xfId="0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wrapText="1"/>
    </xf>
    <xf numFmtId="164" fontId="0" fillId="0" borderId="1" xfId="0" applyNumberFormat="1" applyFill="1" applyBorder="1"/>
    <xf numFmtId="0" fontId="24" fillId="0" borderId="40" xfId="0" applyFont="1" applyFill="1" applyBorder="1"/>
    <xf numFmtId="0" fontId="0" fillId="0" borderId="41" xfId="0" applyBorder="1"/>
    <xf numFmtId="0" fontId="0" fillId="0" borderId="48" xfId="0" applyFill="1" applyBorder="1" applyAlignment="1">
      <alignment horizontal="center"/>
    </xf>
    <xf numFmtId="0" fontId="0" fillId="0" borderId="41" xfId="0" applyFill="1" applyBorder="1" applyAlignment="1">
      <alignment wrapText="1"/>
    </xf>
    <xf numFmtId="0" fontId="0" fillId="0" borderId="42" xfId="0" applyBorder="1"/>
    <xf numFmtId="0" fontId="24" fillId="0" borderId="43" xfId="0" applyFont="1" applyFill="1" applyBorder="1"/>
    <xf numFmtId="0" fontId="0" fillId="0" borderId="43" xfId="0" applyFont="1" applyBorder="1"/>
    <xf numFmtId="0" fontId="1" fillId="0" borderId="45" xfId="0" applyFont="1" applyBorder="1"/>
    <xf numFmtId="2" fontId="1" fillId="0" borderId="46" xfId="0" applyNumberFormat="1" applyFont="1" applyBorder="1"/>
    <xf numFmtId="0" fontId="0" fillId="0" borderId="47" xfId="0" applyBorder="1"/>
    <xf numFmtId="164" fontId="1" fillId="0" borderId="46" xfId="0" applyNumberFormat="1" applyFont="1" applyBorder="1"/>
    <xf numFmtId="164" fontId="1" fillId="0" borderId="46" xfId="0" applyNumberFormat="1" applyFont="1" applyFill="1" applyBorder="1"/>
    <xf numFmtId="164" fontId="0" fillId="0" borderId="0" xfId="0" applyNumberFormat="1" applyBorder="1"/>
    <xf numFmtId="9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0" fontId="30" fillId="0" borderId="49" xfId="0" applyFont="1" applyBorder="1" applyAlignment="1">
      <alignment vertical="center"/>
    </xf>
    <xf numFmtId="0" fontId="30" fillId="0" borderId="49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13" borderId="51" xfId="0" applyFont="1" applyFill="1" applyBorder="1" applyAlignment="1">
      <alignment horizontal="center" vertical="center"/>
    </xf>
    <xf numFmtId="0" fontId="30" fillId="13" borderId="51" xfId="0" applyFont="1" applyFill="1" applyBorder="1" applyAlignment="1">
      <alignment vertical="center"/>
    </xf>
    <xf numFmtId="10" fontId="30" fillId="0" borderId="51" xfId="0" applyNumberFormat="1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1" xfId="0" applyNumberFormat="1" applyBorder="1"/>
    <xf numFmtId="0" fontId="0" fillId="0" borderId="44" xfId="0" applyFill="1" applyBorder="1" applyAlignment="1">
      <alignment horizontal="center" wrapText="1"/>
    </xf>
    <xf numFmtId="9" fontId="1" fillId="0" borderId="46" xfId="0" applyNumberFormat="1" applyFont="1" applyBorder="1"/>
    <xf numFmtId="164" fontId="1" fillId="0" borderId="47" xfId="0" applyNumberFormat="1" applyFont="1" applyBorder="1"/>
    <xf numFmtId="164" fontId="1" fillId="0" borderId="1" xfId="0" applyNumberFormat="1" applyFont="1" applyBorder="1"/>
    <xf numFmtId="164" fontId="1" fillId="0" borderId="44" xfId="0" applyNumberFormat="1" applyFont="1" applyBorder="1"/>
    <xf numFmtId="0" fontId="0" fillId="0" borderId="43" xfId="0" applyFont="1" applyFill="1" applyBorder="1"/>
    <xf numFmtId="167" fontId="0" fillId="0" borderId="1" xfId="0" applyNumberFormat="1" applyFill="1" applyBorder="1" applyAlignment="1">
      <alignment horizontal="center"/>
    </xf>
    <xf numFmtId="0" fontId="32" fillId="0" borderId="0" xfId="7"/>
    <xf numFmtId="0" fontId="34" fillId="14" borderId="2" xfId="8" applyFont="1" applyFill="1" applyBorder="1" applyAlignment="1">
      <alignment horizontal="center"/>
    </xf>
    <xf numFmtId="0" fontId="35" fillId="14" borderId="3" xfId="8" applyFont="1" applyFill="1" applyBorder="1" applyAlignment="1">
      <alignment horizontal="center"/>
    </xf>
    <xf numFmtId="0" fontId="35" fillId="14" borderId="3" xfId="8" applyFont="1" applyFill="1" applyBorder="1"/>
    <xf numFmtId="0" fontId="35" fillId="14" borderId="60" xfId="8" applyFont="1" applyFill="1" applyBorder="1" applyAlignment="1">
      <alignment horizontal="right"/>
    </xf>
    <xf numFmtId="0" fontId="36" fillId="14" borderId="60" xfId="8" applyFont="1" applyFill="1" applyBorder="1"/>
    <xf numFmtId="0" fontId="35" fillId="14" borderId="0" xfId="8" applyFont="1" applyFill="1" applyBorder="1" applyAlignment="1">
      <alignment horizontal="right"/>
    </xf>
    <xf numFmtId="0" fontId="34" fillId="14" borderId="61" xfId="8" applyFont="1" applyFill="1" applyBorder="1"/>
    <xf numFmtId="0" fontId="35" fillId="14" borderId="0" xfId="8" applyFont="1" applyFill="1" applyBorder="1"/>
    <xf numFmtId="0" fontId="32" fillId="14" borderId="0" xfId="7" applyFill="1"/>
    <xf numFmtId="0" fontId="37" fillId="14" borderId="0" xfId="7" applyFont="1" applyFill="1" applyAlignment="1">
      <alignment horizontal="center"/>
    </xf>
    <xf numFmtId="0" fontId="38" fillId="14" borderId="0" xfId="8" applyFont="1" applyFill="1" applyBorder="1" applyAlignment="1">
      <alignment horizontal="center"/>
    </xf>
    <xf numFmtId="0" fontId="38" fillId="14" borderId="61" xfId="8" applyFont="1" applyFill="1" applyBorder="1" applyAlignment="1">
      <alignment horizontal="center"/>
    </xf>
    <xf numFmtId="0" fontId="36" fillId="14" borderId="0" xfId="8" applyFont="1" applyFill="1" applyBorder="1" applyAlignment="1">
      <alignment horizontal="left"/>
    </xf>
    <xf numFmtId="0" fontId="32" fillId="0" borderId="0" xfId="7" applyFill="1" applyBorder="1"/>
    <xf numFmtId="164" fontId="36" fillId="14" borderId="0" xfId="8" applyNumberFormat="1" applyFont="1" applyFill="1" applyBorder="1" applyAlignment="1">
      <alignment horizontal="center"/>
    </xf>
    <xf numFmtId="164" fontId="36" fillId="14" borderId="60" xfId="8" applyNumberFormat="1" applyFont="1" applyFill="1" applyBorder="1" applyAlignment="1">
      <alignment horizontal="center"/>
    </xf>
    <xf numFmtId="0" fontId="35" fillId="14" borderId="6" xfId="8" applyFont="1" applyFill="1" applyBorder="1" applyAlignment="1">
      <alignment horizontal="right"/>
    </xf>
    <xf numFmtId="0" fontId="36" fillId="14" borderId="6" xfId="8" applyFont="1" applyFill="1" applyBorder="1" applyAlignment="1">
      <alignment horizontal="left"/>
    </xf>
    <xf numFmtId="0" fontId="32" fillId="0" borderId="0" xfId="7" applyFont="1" applyAlignment="1">
      <alignment horizontal="center"/>
    </xf>
    <xf numFmtId="0" fontId="32" fillId="0" borderId="0" xfId="7" applyFont="1" applyBorder="1" applyAlignment="1">
      <alignment horizontal="center"/>
    </xf>
    <xf numFmtId="0" fontId="32" fillId="0" borderId="61" xfId="7" applyBorder="1"/>
    <xf numFmtId="0" fontId="37" fillId="0" borderId="0" xfId="7" applyFont="1" applyBorder="1" applyAlignment="1">
      <alignment horizontal="center"/>
    </xf>
    <xf numFmtId="0" fontId="37" fillId="0" borderId="61" xfId="7" applyFont="1" applyBorder="1" applyAlignment="1">
      <alignment horizontal="center"/>
    </xf>
    <xf numFmtId="0" fontId="37" fillId="0" borderId="0" xfId="7" applyFont="1" applyAlignment="1">
      <alignment horizontal="center"/>
    </xf>
    <xf numFmtId="0" fontId="37" fillId="0" borderId="61" xfId="7" applyFont="1" applyFill="1" applyBorder="1" applyAlignment="1">
      <alignment horizontal="center"/>
    </xf>
    <xf numFmtId="0" fontId="37" fillId="0" borderId="0" xfId="7" applyFont="1"/>
    <xf numFmtId="0" fontId="32" fillId="15" borderId="0" xfId="7" applyFont="1" applyFill="1" applyBorder="1" applyAlignment="1">
      <alignment horizontal="center"/>
    </xf>
    <xf numFmtId="0" fontId="32" fillId="15" borderId="0" xfId="7" applyFill="1"/>
    <xf numFmtId="0" fontId="32" fillId="0" borderId="61" xfId="7" applyFont="1" applyFill="1" applyBorder="1" applyAlignment="1">
      <alignment horizontal="center"/>
    </xf>
    <xf numFmtId="0" fontId="37" fillId="0" borderId="0" xfId="7" applyFont="1" applyFill="1" applyBorder="1" applyAlignment="1">
      <alignment horizontal="center"/>
    </xf>
    <xf numFmtId="0" fontId="32" fillId="15" borderId="0" xfId="7" applyFill="1" applyBorder="1"/>
    <xf numFmtId="174" fontId="32" fillId="0" borderId="0" xfId="7" applyNumberFormat="1" applyBorder="1"/>
    <xf numFmtId="174" fontId="32" fillId="0" borderId="61" xfId="7" applyNumberFormat="1" applyBorder="1"/>
    <xf numFmtId="164" fontId="32" fillId="0" borderId="0" xfId="7" applyNumberFormat="1"/>
    <xf numFmtId="174" fontId="32" fillId="0" borderId="0" xfId="7" applyNumberFormat="1"/>
    <xf numFmtId="0" fontId="37" fillId="16" borderId="0" xfId="7" applyFont="1" applyFill="1"/>
    <xf numFmtId="0" fontId="37" fillId="16" borderId="61" xfId="7" applyFont="1" applyFill="1" applyBorder="1"/>
    <xf numFmtId="174" fontId="37" fillId="16" borderId="0" xfId="7" applyNumberFormat="1" applyFont="1" applyFill="1"/>
    <xf numFmtId="164" fontId="37" fillId="16" borderId="0" xfId="7" applyNumberFormat="1" applyFont="1" applyFill="1"/>
    <xf numFmtId="0" fontId="32" fillId="9" borderId="0" xfId="7" applyFill="1"/>
    <xf numFmtId="0" fontId="32" fillId="9" borderId="61" xfId="7" applyFill="1" applyBorder="1"/>
    <xf numFmtId="174" fontId="32" fillId="9" borderId="0" xfId="7" applyNumberFormat="1" applyFill="1"/>
    <xf numFmtId="174" fontId="32" fillId="9" borderId="61" xfId="7" applyNumberFormat="1" applyFill="1" applyBorder="1"/>
    <xf numFmtId="164" fontId="37" fillId="9" borderId="0" xfId="7" applyNumberFormat="1" applyFont="1" applyFill="1"/>
    <xf numFmtId="164" fontId="37" fillId="9" borderId="61" xfId="7" applyNumberFormat="1" applyFont="1" applyFill="1" applyBorder="1"/>
    <xf numFmtId="6" fontId="32" fillId="0" borderId="61" xfId="7" applyNumberFormat="1" applyBorder="1"/>
    <xf numFmtId="164" fontId="32" fillId="0" borderId="62" xfId="7" applyNumberFormat="1" applyBorder="1"/>
    <xf numFmtId="0" fontId="32" fillId="0" borderId="0" xfId="7" applyFill="1"/>
    <xf numFmtId="164" fontId="32" fillId="0" borderId="0" xfId="7" applyNumberFormat="1" applyBorder="1"/>
    <xf numFmtId="0" fontId="37" fillId="16" borderId="0" xfId="7" applyFont="1" applyFill="1" applyBorder="1"/>
    <xf numFmtId="164" fontId="37" fillId="16" borderId="61" xfId="7" applyNumberFormat="1" applyFont="1" applyFill="1" applyBorder="1"/>
    <xf numFmtId="0" fontId="32" fillId="16" borderId="0" xfId="7" applyFont="1" applyFill="1"/>
    <xf numFmtId="0" fontId="32" fillId="16" borderId="0" xfId="7" applyFont="1" applyFill="1" applyBorder="1"/>
    <xf numFmtId="0" fontId="32" fillId="16" borderId="61" xfId="7" applyFont="1" applyFill="1" applyBorder="1"/>
    <xf numFmtId="174" fontId="32" fillId="16" borderId="0" xfId="7" applyNumberFormat="1" applyFont="1" applyFill="1"/>
    <xf numFmtId="174" fontId="32" fillId="16" borderId="61" xfId="7" applyNumberFormat="1" applyFont="1" applyFill="1" applyBorder="1"/>
    <xf numFmtId="0" fontId="37" fillId="9" borderId="61" xfId="7" applyFont="1" applyFill="1" applyBorder="1"/>
    <xf numFmtId="174" fontId="32" fillId="9" borderId="0" xfId="7" applyNumberFormat="1" applyFill="1" applyBorder="1"/>
    <xf numFmtId="0" fontId="39" fillId="0" borderId="0" xfId="7" applyFont="1"/>
    <xf numFmtId="0" fontId="37" fillId="0" borderId="0" xfId="7" applyFont="1" applyAlignment="1">
      <alignment horizontal="center" wrapText="1"/>
    </xf>
    <xf numFmtId="0" fontId="37" fillId="0" borderId="0" xfId="7" applyFont="1" applyAlignment="1"/>
    <xf numFmtId="0" fontId="32" fillId="0" borderId="0" xfId="7" applyAlignment="1">
      <alignment wrapText="1"/>
    </xf>
    <xf numFmtId="14" fontId="32" fillId="0" borderId="0" xfId="7" applyNumberFormat="1" applyAlignment="1">
      <alignment wrapText="1"/>
    </xf>
    <xf numFmtId="0" fontId="32" fillId="0" borderId="0" xfId="7" applyNumberFormat="1" applyAlignment="1">
      <alignment wrapText="1"/>
    </xf>
    <xf numFmtId="6" fontId="32" fillId="0" borderId="0" xfId="7" applyNumberFormat="1" applyAlignment="1">
      <alignment wrapText="1"/>
    </xf>
    <xf numFmtId="0" fontId="37" fillId="0" borderId="0" xfId="7" applyNumberFormat="1" applyFont="1" applyAlignment="1"/>
    <xf numFmtId="0" fontId="37" fillId="0" borderId="0" xfId="7" applyFont="1" applyAlignment="1">
      <alignment wrapText="1"/>
    </xf>
    <xf numFmtId="0" fontId="37" fillId="0" borderId="0" xfId="7" applyNumberFormat="1" applyFont="1" applyAlignment="1">
      <alignment wrapText="1"/>
    </xf>
    <xf numFmtId="0" fontId="32" fillId="0" borderId="0" xfId="7" applyAlignment="1"/>
    <xf numFmtId="14" fontId="32" fillId="0" borderId="0" xfId="7" applyNumberFormat="1" applyAlignment="1"/>
    <xf numFmtId="6" fontId="32" fillId="0" borderId="0" xfId="7" applyNumberFormat="1" applyAlignment="1"/>
    <xf numFmtId="14" fontId="37" fillId="0" borderId="0" xfId="7" applyNumberFormat="1" applyFont="1" applyAlignment="1"/>
    <xf numFmtId="6" fontId="37" fillId="0" borderId="0" xfId="7" applyNumberFormat="1" applyFont="1" applyAlignment="1"/>
    <xf numFmtId="0" fontId="40" fillId="0" borderId="0" xfId="7" applyFont="1" applyAlignment="1">
      <alignment wrapText="1"/>
    </xf>
    <xf numFmtId="0" fontId="32" fillId="0" borderId="0" xfId="7" applyNumberFormat="1" applyAlignment="1"/>
    <xf numFmtId="14" fontId="32" fillId="0" borderId="0" xfId="7" applyNumberFormat="1"/>
    <xf numFmtId="6" fontId="32" fillId="0" borderId="0" xfId="7" applyNumberFormat="1"/>
    <xf numFmtId="0" fontId="40" fillId="0" borderId="0" xfId="7" applyFont="1"/>
    <xf numFmtId="6" fontId="41" fillId="0" borderId="0" xfId="7" applyNumberFormat="1" applyFont="1"/>
    <xf numFmtId="17" fontId="32" fillId="0" borderId="0" xfId="7" applyNumberFormat="1" applyAlignment="1">
      <alignment wrapText="1"/>
    </xf>
    <xf numFmtId="0" fontId="0" fillId="0" borderId="63" xfId="0" applyFill="1" applyBorder="1"/>
    <xf numFmtId="0" fontId="0" fillId="0" borderId="5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32" fillId="0" borderId="0" xfId="7" applyAlignment="1">
      <alignment horizontal="right"/>
    </xf>
    <xf numFmtId="0" fontId="44" fillId="14" borderId="0" xfId="7" applyFont="1" applyFill="1" applyAlignment="1">
      <alignment horizontal="right"/>
    </xf>
    <xf numFmtId="0" fontId="32" fillId="14" borderId="0" xfId="7" applyFill="1" applyAlignment="1">
      <alignment horizontal="right"/>
    </xf>
    <xf numFmtId="2" fontId="45" fillId="14" borderId="0" xfId="7" applyNumberFormat="1" applyFont="1" applyFill="1" applyAlignment="1">
      <alignment horizontal="right"/>
    </xf>
    <xf numFmtId="0" fontId="32" fillId="14" borderId="0" xfId="7" applyFill="1" applyBorder="1"/>
    <xf numFmtId="0" fontId="44" fillId="0" borderId="0" xfId="7" applyFont="1"/>
    <xf numFmtId="0" fontId="46" fillId="9" borderId="0" xfId="7" applyFont="1" applyFill="1"/>
    <xf numFmtId="0" fontId="46" fillId="15" borderId="0" xfId="7" applyFont="1" applyFill="1" applyBorder="1"/>
    <xf numFmtId="0" fontId="46" fillId="15" borderId="0" xfId="7" applyFont="1" applyFill="1"/>
    <xf numFmtId="0" fontId="46" fillId="9" borderId="61" xfId="7" applyFont="1" applyFill="1" applyBorder="1"/>
    <xf numFmtId="174" fontId="46" fillId="9" borderId="0" xfId="7" applyNumberFormat="1" applyFont="1" applyFill="1" applyBorder="1"/>
    <xf numFmtId="174" fontId="46" fillId="9" borderId="61" xfId="7" applyNumberFormat="1" applyFont="1" applyFill="1" applyBorder="1"/>
    <xf numFmtId="164" fontId="47" fillId="9" borderId="0" xfId="7" applyNumberFormat="1" applyFont="1" applyFill="1"/>
    <xf numFmtId="174" fontId="46" fillId="9" borderId="0" xfId="7" applyNumberFormat="1" applyFont="1" applyFill="1"/>
    <xf numFmtId="164" fontId="47" fillId="9" borderId="61" xfId="7" applyNumberFormat="1" applyFont="1" applyFill="1" applyBorder="1"/>
    <xf numFmtId="0" fontId="46" fillId="0" borderId="0" xfId="7" applyFont="1"/>
    <xf numFmtId="0" fontId="46" fillId="0" borderId="61" xfId="7" applyFont="1" applyBorder="1"/>
    <xf numFmtId="174" fontId="46" fillId="0" borderId="0" xfId="7" applyNumberFormat="1" applyFont="1" applyBorder="1"/>
    <xf numFmtId="174" fontId="46" fillId="0" borderId="61" xfId="7" applyNumberFormat="1" applyFont="1" applyBorder="1"/>
    <xf numFmtId="164" fontId="46" fillId="0" borderId="0" xfId="7" applyNumberFormat="1" applyFont="1"/>
    <xf numFmtId="174" fontId="46" fillId="0" borderId="0" xfId="7" applyNumberFormat="1" applyFont="1"/>
    <xf numFmtId="6" fontId="46" fillId="0" borderId="61" xfId="7" applyNumberFormat="1" applyFont="1" applyBorder="1"/>
    <xf numFmtId="0" fontId="48" fillId="0" borderId="0" xfId="9" quotePrefix="1" applyFont="1" applyAlignment="1">
      <alignment horizontal="left"/>
    </xf>
    <xf numFmtId="0" fontId="22" fillId="0" borderId="0" xfId="9"/>
    <xf numFmtId="0" fontId="22" fillId="0" borderId="0" xfId="9" applyAlignment="1">
      <alignment horizontal="center"/>
    </xf>
    <xf numFmtId="0" fontId="49" fillId="0" borderId="0" xfId="9" applyFont="1"/>
    <xf numFmtId="0" fontId="49" fillId="0" borderId="2" xfId="9" applyFont="1" applyBorder="1"/>
    <xf numFmtId="0" fontId="49" fillId="0" borderId="3" xfId="9" applyFont="1" applyBorder="1"/>
    <xf numFmtId="0" fontId="49" fillId="0" borderId="4" xfId="9" applyFont="1" applyBorder="1"/>
    <xf numFmtId="0" fontId="49" fillId="0" borderId="1" xfId="9" applyFont="1" applyBorder="1"/>
    <xf numFmtId="0" fontId="50" fillId="0" borderId="1" xfId="9" applyFont="1" applyBorder="1"/>
    <xf numFmtId="0" fontId="49" fillId="0" borderId="0" xfId="9" applyFont="1" applyAlignment="1">
      <alignment horizontal="center"/>
    </xf>
    <xf numFmtId="0" fontId="49" fillId="0" borderId="60" xfId="9" applyFont="1" applyBorder="1"/>
    <xf numFmtId="0" fontId="49" fillId="0" borderId="0" xfId="9" applyFont="1" applyBorder="1"/>
    <xf numFmtId="0" fontId="49" fillId="0" borderId="61" xfId="9" applyFont="1" applyBorder="1"/>
    <xf numFmtId="2" fontId="49" fillId="0" borderId="1" xfId="9" applyNumberFormat="1" applyFont="1" applyBorder="1"/>
    <xf numFmtId="0" fontId="49" fillId="0" borderId="60" xfId="9" quotePrefix="1" applyFont="1" applyBorder="1" applyAlignment="1">
      <alignment horizontal="left"/>
    </xf>
    <xf numFmtId="3" fontId="49" fillId="0" borderId="1" xfId="9" applyNumberFormat="1" applyFont="1" applyBorder="1"/>
    <xf numFmtId="1" fontId="49" fillId="0" borderId="1" xfId="9" applyNumberFormat="1" applyFont="1" applyBorder="1"/>
    <xf numFmtId="0" fontId="49" fillId="0" borderId="0" xfId="9" quotePrefix="1" applyFont="1" applyBorder="1" applyAlignment="1">
      <alignment horizontal="left"/>
    </xf>
    <xf numFmtId="1" fontId="51" fillId="0" borderId="0" xfId="9" applyNumberFormat="1" applyFont="1" applyBorder="1" applyAlignment="1">
      <alignment horizontal="center"/>
    </xf>
    <xf numFmtId="0" fontId="51" fillId="0" borderId="60" xfId="9" quotePrefix="1" applyFont="1" applyBorder="1" applyAlignment="1">
      <alignment horizontal="left"/>
    </xf>
    <xf numFmtId="164" fontId="49" fillId="0" borderId="1" xfId="9" applyNumberFormat="1" applyFont="1" applyBorder="1"/>
    <xf numFmtId="0" fontId="49" fillId="0" borderId="0" xfId="9" applyFont="1" applyBorder="1" applyAlignment="1">
      <alignment horizontal="center"/>
    </xf>
    <xf numFmtId="0" fontId="51" fillId="0" borderId="5" xfId="9" quotePrefix="1" applyFont="1" applyBorder="1" applyAlignment="1">
      <alignment horizontal="left"/>
    </xf>
    <xf numFmtId="0" fontId="49" fillId="0" borderId="6" xfId="9" applyFont="1" applyBorder="1"/>
    <xf numFmtId="0" fontId="49" fillId="0" borderId="7" xfId="9" applyFont="1" applyBorder="1"/>
    <xf numFmtId="0" fontId="51" fillId="0" borderId="0" xfId="9" applyFont="1"/>
    <xf numFmtId="164" fontId="51" fillId="0" borderId="0" xfId="9" applyNumberFormat="1" applyFont="1"/>
    <xf numFmtId="164" fontId="51" fillId="0" borderId="0" xfId="9" applyNumberFormat="1" applyFont="1" applyBorder="1" applyAlignment="1">
      <alignment horizontal="center"/>
    </xf>
    <xf numFmtId="0" fontId="51" fillId="0" borderId="0" xfId="9" quotePrefix="1" applyFont="1" applyAlignment="1">
      <alignment horizontal="left"/>
    </xf>
    <xf numFmtId="9" fontId="49" fillId="0" borderId="0" xfId="9" applyNumberFormat="1" applyFont="1"/>
    <xf numFmtId="164" fontId="49" fillId="0" borderId="0" xfId="9" applyNumberFormat="1" applyFont="1"/>
    <xf numFmtId="0" fontId="52" fillId="0" borderId="1" xfId="0" applyFont="1" applyBorder="1" applyAlignment="1">
      <alignment horizontal="center"/>
    </xf>
    <xf numFmtId="0" fontId="49" fillId="0" borderId="1" xfId="9" applyFont="1" applyBorder="1" applyAlignment="1">
      <alignment horizontal="center"/>
    </xf>
    <xf numFmtId="0" fontId="53" fillId="0" borderId="0" xfId="9" applyFont="1" applyAlignment="1">
      <alignment horizontal="center"/>
    </xf>
    <xf numFmtId="0" fontId="52" fillId="0" borderId="1" xfId="0" applyFont="1" applyBorder="1"/>
    <xf numFmtId="0" fontId="52" fillId="0" borderId="1" xfId="0" quotePrefix="1" applyFont="1" applyBorder="1" applyAlignment="1">
      <alignment horizontal="left"/>
    </xf>
    <xf numFmtId="1" fontId="49" fillId="0" borderId="1" xfId="9" applyNumberFormat="1" applyFont="1" applyBorder="1" applyAlignment="1">
      <alignment horizontal="center"/>
    </xf>
    <xf numFmtId="1" fontId="52" fillId="0" borderId="1" xfId="0" applyNumberFormat="1" applyFont="1" applyBorder="1" applyAlignment="1">
      <alignment horizontal="center"/>
    </xf>
    <xf numFmtId="0" fontId="49" fillId="0" borderId="1" xfId="9" quotePrefix="1" applyFont="1" applyBorder="1" applyAlignment="1">
      <alignment horizontal="left"/>
    </xf>
    <xf numFmtId="167" fontId="32" fillId="0" borderId="0" xfId="7" applyNumberFormat="1"/>
    <xf numFmtId="38" fontId="28" fillId="0" borderId="1" xfId="6" applyNumberFormat="1" applyFont="1" applyFill="1" applyBorder="1" applyAlignment="1">
      <alignment horizontal="center" vertical="center" wrapText="1"/>
    </xf>
    <xf numFmtId="172" fontId="29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3" fontId="0" fillId="0" borderId="1" xfId="0" applyNumberFormat="1" applyFill="1" applyBorder="1"/>
    <xf numFmtId="1" fontId="0" fillId="0" borderId="1" xfId="0" applyNumberFormat="1" applyFill="1" applyBorder="1"/>
    <xf numFmtId="172" fontId="21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/>
    <xf numFmtId="0" fontId="21" fillId="0" borderId="1" xfId="0" applyFont="1" applyFill="1" applyBorder="1"/>
    <xf numFmtId="170" fontId="0" fillId="0" borderId="1" xfId="0" applyNumberFormat="1" applyFont="1" applyFill="1" applyBorder="1"/>
    <xf numFmtId="0" fontId="0" fillId="0" borderId="1" xfId="0" applyNumberFormat="1" applyFill="1" applyBorder="1"/>
    <xf numFmtId="9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ont="1" applyFill="1" applyBorder="1"/>
    <xf numFmtId="164" fontId="14" fillId="0" borderId="1" xfId="0" applyNumberFormat="1" applyFont="1" applyFill="1" applyBorder="1"/>
    <xf numFmtId="0" fontId="0" fillId="0" borderId="1" xfId="0" applyBorder="1" applyAlignment="1">
      <alignment horizontal="right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9" fillId="0" borderId="0" xfId="9" applyFont="1" applyAlignment="1">
      <alignment horizontal="left"/>
    </xf>
    <xf numFmtId="164" fontId="51" fillId="0" borderId="0" xfId="9" applyNumberFormat="1" applyFont="1" applyAlignment="1">
      <alignment horizontal="center"/>
    </xf>
    <xf numFmtId="0" fontId="0" fillId="0" borderId="11" xfId="0" applyBorder="1"/>
    <xf numFmtId="0" fontId="0" fillId="0" borderId="40" xfId="0" applyBorder="1"/>
    <xf numFmtId="0" fontId="1" fillId="0" borderId="41" xfId="0" applyFont="1" applyFill="1" applyBorder="1" applyAlignment="1">
      <alignment horizontal="left"/>
    </xf>
    <xf numFmtId="0" fontId="1" fillId="0" borderId="41" xfId="0" applyFont="1" applyFill="1" applyBorder="1"/>
    <xf numFmtId="170" fontId="0" fillId="0" borderId="44" xfId="0" applyNumberFormat="1" applyBorder="1"/>
    <xf numFmtId="0" fontId="0" fillId="0" borderId="44" xfId="0" applyBorder="1" applyAlignment="1">
      <alignment horizontal="right"/>
    </xf>
    <xf numFmtId="0" fontId="0" fillId="0" borderId="45" xfId="0" applyBorder="1"/>
    <xf numFmtId="0" fontId="0" fillId="0" borderId="46" xfId="0" applyBorder="1"/>
    <xf numFmtId="0" fontId="0" fillId="0" borderId="46" xfId="0" applyBorder="1" applyAlignment="1">
      <alignment horizontal="right"/>
    </xf>
    <xf numFmtId="164" fontId="0" fillId="0" borderId="47" xfId="0" applyNumberFormat="1" applyBorder="1"/>
    <xf numFmtId="0" fontId="0" fillId="0" borderId="70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167" fontId="0" fillId="0" borderId="1" xfId="0" applyNumberFormat="1" applyBorder="1"/>
    <xf numFmtId="167" fontId="0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10" borderId="43" xfId="0" applyFill="1" applyBorder="1"/>
    <xf numFmtId="164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172" fontId="21" fillId="10" borderId="1" xfId="0" applyNumberFormat="1" applyFont="1" applyFill="1" applyBorder="1" applyAlignment="1">
      <alignment horizontal="center"/>
    </xf>
    <xf numFmtId="3" fontId="0" fillId="10" borderId="1" xfId="0" applyNumberFormat="1" applyFill="1" applyBorder="1"/>
    <xf numFmtId="0" fontId="0" fillId="10" borderId="44" xfId="0" applyFill="1" applyBorder="1"/>
    <xf numFmtId="0" fontId="0" fillId="10" borderId="0" xfId="0" applyFill="1" applyBorder="1"/>
    <xf numFmtId="0" fontId="30" fillId="10" borderId="49" xfId="0" applyFont="1" applyFill="1" applyBorder="1" applyAlignment="1">
      <alignment horizontal="center" vertical="center"/>
    </xf>
    <xf numFmtId="10" fontId="30" fillId="10" borderId="51" xfId="0" applyNumberFormat="1" applyFont="1" applyFill="1" applyBorder="1" applyAlignment="1">
      <alignment horizontal="center" vertical="center"/>
    </xf>
    <xf numFmtId="167" fontId="0" fillId="10" borderId="1" xfId="0" applyNumberFormat="1" applyFill="1" applyBorder="1"/>
    <xf numFmtId="42" fontId="0" fillId="10" borderId="1" xfId="0" applyNumberFormat="1" applyFill="1" applyBorder="1"/>
    <xf numFmtId="172" fontId="21" fillId="10" borderId="1" xfId="0" applyNumberFormat="1" applyFont="1" applyFill="1" applyBorder="1"/>
    <xf numFmtId="164" fontId="14" fillId="10" borderId="1" xfId="0" applyNumberFormat="1" applyFont="1" applyFill="1" applyBorder="1"/>
    <xf numFmtId="164" fontId="0" fillId="10" borderId="1" xfId="0" applyNumberFormat="1" applyFont="1" applyFill="1" applyBorder="1"/>
    <xf numFmtId="0" fontId="0" fillId="0" borderId="56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30" fillId="0" borderId="52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43" fillId="0" borderId="5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42" fillId="0" borderId="64" xfId="0" applyFont="1" applyFill="1" applyBorder="1" applyAlignment="1">
      <alignment horizontal="right"/>
    </xf>
    <xf numFmtId="0" fontId="24" fillId="0" borderId="65" xfId="0" applyFont="1" applyFill="1" applyBorder="1" applyAlignment="1">
      <alignment horizontal="right"/>
    </xf>
    <xf numFmtId="0" fontId="24" fillId="0" borderId="66" xfId="0" applyFont="1" applyFill="1" applyBorder="1" applyAlignment="1">
      <alignment horizontal="right"/>
    </xf>
    <xf numFmtId="164" fontId="5" fillId="0" borderId="19" xfId="0" applyNumberFormat="1" applyFont="1" applyBorder="1" applyAlignment="1">
      <alignment horizontal="center" vertical="top" wrapText="1"/>
    </xf>
    <xf numFmtId="164" fontId="5" fillId="0" borderId="21" xfId="0" applyNumberFormat="1" applyFont="1" applyBorder="1" applyAlignment="1">
      <alignment horizontal="center" vertical="top" wrapText="1"/>
    </xf>
    <xf numFmtId="164" fontId="5" fillId="0" borderId="22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3" applyFont="1" applyBorder="1" applyAlignment="1">
      <alignment horizontal="left"/>
    </xf>
    <xf numFmtId="0" fontId="5" fillId="0" borderId="10" xfId="3" applyFont="1" applyBorder="1" applyAlignment="1">
      <alignment horizontal="left"/>
    </xf>
    <xf numFmtId="0" fontId="6" fillId="8" borderId="8" xfId="3" applyFont="1" applyFill="1" applyBorder="1" applyAlignment="1">
      <alignment horizontal="center"/>
    </xf>
    <xf numFmtId="0" fontId="6" fillId="8" borderId="10" xfId="3" applyFont="1" applyFill="1" applyBorder="1" applyAlignment="1">
      <alignment horizontal="center"/>
    </xf>
    <xf numFmtId="0" fontId="6" fillId="8" borderId="9" xfId="3" applyFont="1" applyFill="1" applyBorder="1" applyAlignment="1">
      <alignment horizontal="center"/>
    </xf>
    <xf numFmtId="0" fontId="4" fillId="8" borderId="2" xfId="3" applyFont="1" applyFill="1" applyBorder="1" applyAlignment="1">
      <alignment horizontal="center"/>
    </xf>
    <xf numFmtId="0" fontId="4" fillId="8" borderId="3" xfId="3" applyFont="1" applyFill="1" applyBorder="1" applyAlignment="1">
      <alignment horizontal="center"/>
    </xf>
    <xf numFmtId="0" fontId="4" fillId="8" borderId="4" xfId="3" applyFont="1" applyFill="1" applyBorder="1" applyAlignment="1">
      <alignment horizontal="center"/>
    </xf>
    <xf numFmtId="168" fontId="4" fillId="8" borderId="5" xfId="3" applyNumberFormat="1" applyFont="1" applyFill="1" applyBorder="1" applyAlignment="1">
      <alignment horizontal="center"/>
    </xf>
    <xf numFmtId="168" fontId="4" fillId="8" borderId="6" xfId="3" applyNumberFormat="1" applyFont="1" applyFill="1" applyBorder="1" applyAlignment="1">
      <alignment horizontal="center"/>
    </xf>
    <xf numFmtId="168" fontId="4" fillId="8" borderId="7" xfId="3" applyNumberFormat="1" applyFont="1" applyFill="1" applyBorder="1" applyAlignment="1">
      <alignment horizontal="center"/>
    </xf>
    <xf numFmtId="0" fontId="5" fillId="0" borderId="8" xfId="1" applyFont="1" applyBorder="1" applyAlignment="1">
      <alignment horizontal="left"/>
    </xf>
    <xf numFmtId="0" fontId="5" fillId="0" borderId="10" xfId="1" applyFont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0" xfId="1" applyFont="1" applyFill="1" applyBorder="1" applyAlignment="1">
      <alignment horizontal="center"/>
    </xf>
    <xf numFmtId="0" fontId="6" fillId="8" borderId="9" xfId="1" applyFont="1" applyFill="1" applyBorder="1" applyAlignment="1">
      <alignment horizontal="center"/>
    </xf>
    <xf numFmtId="0" fontId="4" fillId="8" borderId="2" xfId="1" applyFont="1" applyFill="1" applyBorder="1" applyAlignment="1">
      <alignment horizontal="center"/>
    </xf>
    <xf numFmtId="0" fontId="4" fillId="8" borderId="3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168" fontId="4" fillId="8" borderId="5" xfId="1" applyNumberFormat="1" applyFont="1" applyFill="1" applyBorder="1" applyAlignment="1">
      <alignment horizontal="center"/>
    </xf>
    <xf numFmtId="168" fontId="4" fillId="8" borderId="6" xfId="1" applyNumberFormat="1" applyFont="1" applyFill="1" applyBorder="1" applyAlignment="1">
      <alignment horizontal="center"/>
    </xf>
    <xf numFmtId="168" fontId="4" fillId="8" borderId="7" xfId="1" applyNumberFormat="1" applyFont="1" applyFill="1" applyBorder="1" applyAlignment="1">
      <alignment horizontal="center"/>
    </xf>
  </cellXfs>
  <cellStyles count="10">
    <cellStyle name="Currency" xfId="5" builtinId="4"/>
    <cellStyle name="Currency 2" xfId="2"/>
    <cellStyle name="Currency 3" xfId="4"/>
    <cellStyle name="Normal" xfId="0" builtinId="0"/>
    <cellStyle name="Normal 2" xfId="1"/>
    <cellStyle name="Normal 2 2" xfId="8"/>
    <cellStyle name="Normal 2 3" xfId="9"/>
    <cellStyle name="Normal 3" xfId="3"/>
    <cellStyle name="Normal 4" xfId="7"/>
    <cellStyle name="Normal_FY04 Year End Estimate" xfId="6"/>
  </cellStyles>
  <dxfs count="12"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142876</xdr:rowOff>
    </xdr:from>
    <xdr:to>
      <xdr:col>15</xdr:col>
      <xdr:colOff>276225</xdr:colOff>
      <xdr:row>2</xdr:row>
      <xdr:rowOff>1</xdr:rowOff>
    </xdr:to>
    <xdr:sp macro="" textlink="">
      <xdr:nvSpPr>
        <xdr:cNvPr id="2" name="TextBox 1"/>
        <xdr:cNvSpPr txBox="1"/>
      </xdr:nvSpPr>
      <xdr:spPr>
        <a:xfrm>
          <a:off x="6448425" y="142876"/>
          <a:ext cx="49530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 b="1"/>
            <a:t>Reference: if reuse</a:t>
          </a:r>
          <a:r>
            <a:rPr lang="en-US" sz="1000" b="1" baseline="0"/>
            <a:t> 3.3 m long tooling, procure additional to make up 4.5 m long tooling </a:t>
          </a:r>
          <a:endParaRPr lang="en-US" sz="1000" b="1"/>
        </a:p>
      </xdr:txBody>
    </xdr:sp>
    <xdr:clientData/>
  </xdr:twoCellAnchor>
  <xdr:twoCellAnchor>
    <xdr:from>
      <xdr:col>6</xdr:col>
      <xdr:colOff>581025</xdr:colOff>
      <xdr:row>0</xdr:row>
      <xdr:rowOff>104775</xdr:rowOff>
    </xdr:from>
    <xdr:to>
      <xdr:col>7</xdr:col>
      <xdr:colOff>257175</xdr:colOff>
      <xdr:row>1</xdr:row>
      <xdr:rowOff>66676</xdr:rowOff>
    </xdr:to>
    <xdr:cxnSp macro="">
      <xdr:nvCxnSpPr>
        <xdr:cNvPr id="3" name="Straight Arrow Connector 2"/>
        <xdr:cNvCxnSpPr>
          <a:stCxn id="2" idx="1"/>
        </xdr:cNvCxnSpPr>
      </xdr:nvCxnSpPr>
      <xdr:spPr>
        <a:xfrm rot="10800000">
          <a:off x="6029325" y="104775"/>
          <a:ext cx="419100" cy="1619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10</xdr:row>
      <xdr:rowOff>85725</xdr:rowOff>
    </xdr:from>
    <xdr:to>
      <xdr:col>10</xdr:col>
      <xdr:colOff>1304924</xdr:colOff>
      <xdr:row>12</xdr:row>
      <xdr:rowOff>151257</xdr:rowOff>
    </xdr:to>
    <xdr:sp macro="" textlink="">
      <xdr:nvSpPr>
        <xdr:cNvPr id="2" name="Right Arrow 1"/>
        <xdr:cNvSpPr/>
      </xdr:nvSpPr>
      <xdr:spPr>
        <a:xfrm>
          <a:off x="7524750" y="2352675"/>
          <a:ext cx="123824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161925</xdr:colOff>
      <xdr:row>8</xdr:row>
      <xdr:rowOff>190500</xdr:rowOff>
    </xdr:from>
    <xdr:to>
      <xdr:col>10</xdr:col>
      <xdr:colOff>1066800</xdr:colOff>
      <xdr:row>10</xdr:row>
      <xdr:rowOff>57150</xdr:rowOff>
    </xdr:to>
    <xdr:sp macro="" textlink="">
      <xdr:nvSpPr>
        <xdr:cNvPr id="3" name="TextBox 2"/>
        <xdr:cNvSpPr txBox="1"/>
      </xdr:nvSpPr>
      <xdr:spPr>
        <a:xfrm>
          <a:off x="7620000" y="2038350"/>
          <a:ext cx="9048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/>
            <a:t>Scale</a:t>
          </a:r>
          <a:r>
            <a:rPr lang="en-US" sz="1600" b="1" baseline="0"/>
            <a:t> Up</a:t>
          </a:r>
          <a:endParaRPr lang="en-US" sz="1600" b="1"/>
        </a:p>
      </xdr:txBody>
    </xdr:sp>
    <xdr:clientData/>
  </xdr:twoCellAnchor>
  <xdr:twoCellAnchor editAs="oneCell">
    <xdr:from>
      <xdr:col>3</xdr:col>
      <xdr:colOff>171450</xdr:colOff>
      <xdr:row>71</xdr:row>
      <xdr:rowOff>81599</xdr:rowOff>
    </xdr:from>
    <xdr:to>
      <xdr:col>19</xdr:col>
      <xdr:colOff>581025</xdr:colOff>
      <xdr:row>89</xdr:row>
      <xdr:rowOff>12327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57475" y="15578774"/>
          <a:ext cx="12630150" cy="3512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457200</xdr:colOff>
      <xdr:row>88</xdr:row>
      <xdr:rowOff>83449</xdr:rowOff>
    </xdr:from>
    <xdr:to>
      <xdr:col>19</xdr:col>
      <xdr:colOff>209548</xdr:colOff>
      <xdr:row>118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43225" y="18961999"/>
          <a:ext cx="11972923" cy="585062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39</xdr:row>
      <xdr:rowOff>104775</xdr:rowOff>
    </xdr:from>
    <xdr:to>
      <xdr:col>9</xdr:col>
      <xdr:colOff>1352549</xdr:colOff>
      <xdr:row>43</xdr:row>
      <xdr:rowOff>8382</xdr:rowOff>
    </xdr:to>
    <xdr:sp macro="" textlink="">
      <xdr:nvSpPr>
        <xdr:cNvPr id="2" name="Right Arrow 1"/>
        <xdr:cNvSpPr/>
      </xdr:nvSpPr>
      <xdr:spPr>
        <a:xfrm>
          <a:off x="7305675" y="7543800"/>
          <a:ext cx="1314449" cy="6656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85725</xdr:colOff>
      <xdr:row>37</xdr:row>
      <xdr:rowOff>133350</xdr:rowOff>
    </xdr:from>
    <xdr:to>
      <xdr:col>9</xdr:col>
      <xdr:colOff>990600</xdr:colOff>
      <xdr:row>39</xdr:row>
      <xdr:rowOff>38100</xdr:rowOff>
    </xdr:to>
    <xdr:sp macro="" textlink="">
      <xdr:nvSpPr>
        <xdr:cNvPr id="3" name="TextBox 2"/>
        <xdr:cNvSpPr txBox="1"/>
      </xdr:nvSpPr>
      <xdr:spPr>
        <a:xfrm>
          <a:off x="7353300" y="7191375"/>
          <a:ext cx="9048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/>
            <a:t>Scale</a:t>
          </a:r>
          <a:r>
            <a:rPr lang="en-US" sz="1600" b="1" baseline="0"/>
            <a:t> Up</a:t>
          </a:r>
          <a:endParaRPr lang="en-US" sz="1600" b="1"/>
        </a:p>
      </xdr:txBody>
    </xdr:sp>
    <xdr:clientData/>
  </xdr:twoCellAnchor>
  <xdr:twoCellAnchor editAs="oneCell">
    <xdr:from>
      <xdr:col>9</xdr:col>
      <xdr:colOff>133350</xdr:colOff>
      <xdr:row>126</xdr:row>
      <xdr:rowOff>142875</xdr:rowOff>
    </xdr:from>
    <xdr:to>
      <xdr:col>20</xdr:col>
      <xdr:colOff>228600</xdr:colOff>
      <xdr:row>157</xdr:row>
      <xdr:rowOff>180975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925" y="24269700"/>
          <a:ext cx="11620500" cy="5943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352425</xdr:colOff>
      <xdr:row>96</xdr:row>
      <xdr:rowOff>57150</xdr:rowOff>
    </xdr:from>
    <xdr:to>
      <xdr:col>15</xdr:col>
      <xdr:colOff>266700</xdr:colOff>
      <xdr:row>116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0" y="18449925"/>
          <a:ext cx="5991225" cy="38862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228599</xdr:colOff>
      <xdr:row>25</xdr:row>
      <xdr:rowOff>123825</xdr:rowOff>
    </xdr:from>
    <xdr:to>
      <xdr:col>17</xdr:col>
      <xdr:colOff>1057274</xdr:colOff>
      <xdr:row>36</xdr:row>
      <xdr:rowOff>28575</xdr:rowOff>
    </xdr:to>
    <xdr:sp macro="" textlink="">
      <xdr:nvSpPr>
        <xdr:cNvPr id="6" name="U-Turn Arrow 5"/>
        <xdr:cNvSpPr/>
      </xdr:nvSpPr>
      <xdr:spPr>
        <a:xfrm>
          <a:off x="7496174" y="4876800"/>
          <a:ext cx="9153525" cy="2019300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438149</xdr:colOff>
      <xdr:row>24</xdr:row>
      <xdr:rowOff>57150</xdr:rowOff>
    </xdr:from>
    <xdr:to>
      <xdr:col>19</xdr:col>
      <xdr:colOff>228600</xdr:colOff>
      <xdr:row>27</xdr:row>
      <xdr:rowOff>123825</xdr:rowOff>
    </xdr:to>
    <xdr:sp macro="" textlink="">
      <xdr:nvSpPr>
        <xdr:cNvPr id="7" name="TextBox 6"/>
        <xdr:cNvSpPr txBox="1"/>
      </xdr:nvSpPr>
      <xdr:spPr>
        <a:xfrm>
          <a:off x="13782674" y="4619625"/>
          <a:ext cx="4629151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/>
            <a:t>Reuse</a:t>
          </a:r>
          <a:r>
            <a:rPr lang="en-US" sz="1600" b="1" baseline="0"/>
            <a:t> 3.3 m long tooling, procure additional to make up 4.5 m long tooling </a:t>
          </a:r>
          <a:endParaRPr lang="en-US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38</xdr:row>
      <xdr:rowOff>171450</xdr:rowOff>
    </xdr:from>
    <xdr:to>
      <xdr:col>10</xdr:col>
      <xdr:colOff>1285874</xdr:colOff>
      <xdr:row>42</xdr:row>
      <xdr:rowOff>75057</xdr:rowOff>
    </xdr:to>
    <xdr:sp macro="" textlink="">
      <xdr:nvSpPr>
        <xdr:cNvPr id="2" name="Right Arrow 1"/>
        <xdr:cNvSpPr/>
      </xdr:nvSpPr>
      <xdr:spPr>
        <a:xfrm>
          <a:off x="9610725" y="7620000"/>
          <a:ext cx="1238249" cy="6656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95250</xdr:colOff>
      <xdr:row>37</xdr:row>
      <xdr:rowOff>9525</xdr:rowOff>
    </xdr:from>
    <xdr:to>
      <xdr:col>10</xdr:col>
      <xdr:colOff>1000125</xdr:colOff>
      <xdr:row>38</xdr:row>
      <xdr:rowOff>104775</xdr:rowOff>
    </xdr:to>
    <xdr:sp macro="" textlink="">
      <xdr:nvSpPr>
        <xdr:cNvPr id="3" name="TextBox 2"/>
        <xdr:cNvSpPr txBox="1"/>
      </xdr:nvSpPr>
      <xdr:spPr>
        <a:xfrm>
          <a:off x="9658350" y="7267575"/>
          <a:ext cx="9048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/>
            <a:t>Scale</a:t>
          </a:r>
          <a:r>
            <a:rPr lang="en-US" sz="1600" b="1" baseline="0"/>
            <a:t> Up</a:t>
          </a:r>
          <a:endParaRPr lang="en-US" sz="1600" b="1"/>
        </a:p>
      </xdr:txBody>
    </xdr:sp>
    <xdr:clientData/>
  </xdr:twoCellAnchor>
  <xdr:twoCellAnchor editAs="oneCell">
    <xdr:from>
      <xdr:col>10</xdr:col>
      <xdr:colOff>171450</xdr:colOff>
      <xdr:row>74</xdr:row>
      <xdr:rowOff>47625</xdr:rowOff>
    </xdr:from>
    <xdr:to>
      <xdr:col>19</xdr:col>
      <xdr:colOff>1266825</xdr:colOff>
      <xdr:row>101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34550" y="14411325"/>
          <a:ext cx="10915650" cy="51149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1295400</xdr:colOff>
      <xdr:row>87</xdr:row>
      <xdr:rowOff>133350</xdr:rowOff>
    </xdr:from>
    <xdr:to>
      <xdr:col>19</xdr:col>
      <xdr:colOff>880574</xdr:colOff>
      <xdr:row>100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687800" y="16973550"/>
          <a:ext cx="3576149" cy="25050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171450</xdr:colOff>
      <xdr:row>102</xdr:row>
      <xdr:rowOff>85725</xdr:rowOff>
    </xdr:from>
    <xdr:to>
      <xdr:col>20</xdr:col>
      <xdr:colOff>171450</xdr:colOff>
      <xdr:row>131</xdr:row>
      <xdr:rowOff>123825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734550" y="19783425"/>
          <a:ext cx="11220450" cy="55626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1514476</xdr:colOff>
      <xdr:row>117</xdr:row>
      <xdr:rowOff>95251</xdr:rowOff>
    </xdr:from>
    <xdr:to>
      <xdr:col>19</xdr:col>
      <xdr:colOff>1009651</xdr:colOff>
      <xdr:row>130</xdr:row>
      <xdr:rowOff>133004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906876" y="22650451"/>
          <a:ext cx="3486150" cy="2514253"/>
        </a:xfrm>
        <a:prstGeom prst="rect">
          <a:avLst/>
        </a:prstGeom>
        <a:noFill/>
      </xdr:spPr>
    </xdr:pic>
    <xdr:clientData/>
  </xdr:twoCellAnchor>
  <xdr:twoCellAnchor>
    <xdr:from>
      <xdr:col>9</xdr:col>
      <xdr:colOff>695325</xdr:colOff>
      <xdr:row>0</xdr:row>
      <xdr:rowOff>0</xdr:rowOff>
    </xdr:from>
    <xdr:to>
      <xdr:col>20</xdr:col>
      <xdr:colOff>1800225</xdr:colOff>
      <xdr:row>10</xdr:row>
      <xdr:rowOff>114300</xdr:rowOff>
    </xdr:to>
    <xdr:sp macro="" textlink="">
      <xdr:nvSpPr>
        <xdr:cNvPr id="8" name="U-Turn Arrow 7"/>
        <xdr:cNvSpPr/>
      </xdr:nvSpPr>
      <xdr:spPr>
        <a:xfrm>
          <a:off x="9420225" y="0"/>
          <a:ext cx="13163550" cy="2019300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390525</xdr:colOff>
      <xdr:row>0</xdr:row>
      <xdr:rowOff>180975</xdr:rowOff>
    </xdr:from>
    <xdr:to>
      <xdr:col>20</xdr:col>
      <xdr:colOff>47625</xdr:colOff>
      <xdr:row>2</xdr:row>
      <xdr:rowOff>152400</xdr:rowOff>
    </xdr:to>
    <xdr:sp macro="" textlink="">
      <xdr:nvSpPr>
        <xdr:cNvPr id="9" name="TextBox 8"/>
        <xdr:cNvSpPr txBox="1"/>
      </xdr:nvSpPr>
      <xdr:spPr>
        <a:xfrm>
          <a:off x="14001750" y="180975"/>
          <a:ext cx="68294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Reuse</a:t>
          </a:r>
          <a:r>
            <a:rPr lang="en-US" sz="16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3.3 m long tooling, procure additional to make up 4.5 m long tooling </a:t>
          </a:r>
          <a:endParaRPr lang="en-US" sz="16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en/AppData/Local/Temp/ITER%20EOI%20Estimate%20Template%20-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aducak/AppData/Local/Microsoft/Windows/Temporary%20Internet%20Files/Content.Outlook/QF4PMWPF/MQXF%20Prototype%20Conductor%20Cost-10-29-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Operating"/>
    </sheetNames>
    <sheetDataSet>
      <sheetData sheetId="0" refreshError="1"/>
      <sheetData sheetId="1">
        <row r="3">
          <cell r="A3" t="str">
            <v>Cryo System</v>
          </cell>
          <cell r="C3" t="str">
            <v>Design</v>
          </cell>
          <cell r="E3" t="str">
            <v>Vendor quote</v>
          </cell>
        </row>
        <row r="4">
          <cell r="A4" t="str">
            <v>Power System</v>
          </cell>
          <cell r="C4" t="str">
            <v>Procurement</v>
          </cell>
          <cell r="E4" t="str">
            <v>Prior procurement</v>
          </cell>
        </row>
        <row r="5">
          <cell r="A5" t="str">
            <v>Test Cryostat</v>
          </cell>
          <cell r="C5" t="str">
            <v>Fabrication</v>
          </cell>
          <cell r="E5" t="str">
            <v>Past experience</v>
          </cell>
        </row>
        <row r="6">
          <cell r="A6" t="str">
            <v>DAQ and Controls</v>
          </cell>
          <cell r="C6" t="str">
            <v>Installation</v>
          </cell>
          <cell r="E6" t="str">
            <v>Engr. estimate</v>
          </cell>
        </row>
        <row r="7">
          <cell r="A7" t="str">
            <v>Quench Protection</v>
          </cell>
          <cell r="C7" t="str">
            <v>Modifications</v>
          </cell>
        </row>
        <row r="8">
          <cell r="C8" t="str">
            <v>Commissioning</v>
          </cell>
        </row>
        <row r="9">
          <cell r="C9" t="str">
            <v>Removal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 cost MQXF  "/>
      <sheetName val="Cable cost SQXF "/>
      <sheetName val="Cable cost LQXF"/>
      <sheetName val="Cost Basis"/>
    </sheetNames>
    <sheetDataSet>
      <sheetData sheetId="0"/>
      <sheetData sheetId="1"/>
      <sheetData sheetId="2"/>
      <sheetData sheetId="3">
        <row r="8">
          <cell r="S8">
            <v>37565.217391304352</v>
          </cell>
        </row>
        <row r="10">
          <cell r="C10">
            <v>1496.904</v>
          </cell>
          <cell r="G10">
            <v>15.681600000000001</v>
          </cell>
        </row>
        <row r="17">
          <cell r="G17">
            <v>5500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ben" refreshedDate="41064.413734606482" createdVersion="4" refreshedVersion="4" minRefreshableVersion="3" recordCount="76">
  <cacheSource type="worksheet">
    <worksheetSource ref="B4:K80" sheet="Test Stand Details"/>
  </cacheSource>
  <cacheFields count="10">
    <cacheField name="System" numFmtId="0">
      <sharedItems count="7">
        <s v="Project"/>
        <s v="Feed Can"/>
        <s v="Power System"/>
        <s v="Magnetic Measurement System"/>
        <s v="Vacuum System"/>
        <s v="Cryogenic System"/>
        <s v="Quench Protecton, DAQ upgrades"/>
      </sharedItems>
    </cacheField>
    <cacheField name="Sub-System" numFmtId="0">
      <sharedItems containsBlank="1" count="26">
        <s v="Management"/>
        <m/>
        <s v="Lambda Plate"/>
        <s v="Top Plate"/>
        <s v="Flexible Cables"/>
        <s v="Power Leads"/>
        <s v="Horizontal Bed"/>
        <s v="Auxilliary Services"/>
        <s v="Adapter"/>
        <s v="Interconnect"/>
        <s v="Measurement Probe"/>
        <s v="Warm Finger Assembly"/>
        <s v="Magnetic Measurement Table"/>
        <s v="Pumping Cart"/>
        <s v="Test Stand"/>
        <s v="Quench Line"/>
        <s v="Relief Discharge Header"/>
        <s v="Pumping Line"/>
        <s v="Facility"/>
        <s v="Safety"/>
        <s v="Current Receiver"/>
        <s v="Isolation Amplifiers"/>
        <s v="Quench Management System"/>
        <s v="Slow Scan System"/>
        <s v="Instrumentation"/>
        <s v="Cables and Connectors"/>
      </sharedItems>
    </cacheField>
    <cacheField name="Task or Item" numFmtId="0">
      <sharedItems containsBlank="1" count="59">
        <m/>
        <s v="Dissassemble and Relocate External Piping and Transfer Lines"/>
        <s v="Remove Lambda Plate &quot;tie-down&quot; rods"/>
        <s v="Remove the Top Plate Assembly and store on support structure"/>
        <s v="1500 MCM Flexible Cables - 2 pairs"/>
        <s v="Disconnect existing flexible cables"/>
        <s v="Prep 1500 MCM cables and install at VMTF and Stand 4"/>
        <s v="Construct and Install LTS bus section and flag"/>
        <s v="Mofidy the Vacuum Sleeve Assembly around the power leads"/>
        <s v="Prep 20 kA Power Leads and VTaps"/>
        <s v="20 kA Vapor Cooled Leads"/>
        <s v="Clean and Prep Lambda Plate surface"/>
        <s v="Install Power Leads on top plate"/>
        <s v="Install Top Plate Assembly and tie-down the Lambda plate"/>
        <s v="Check that the lambda plate sealed"/>
        <s v="Modify the test stand supports and install supports"/>
        <s v="Install Feed Box auxilliary services (air, water, etc.)"/>
        <s v="Adapt Interconnect piping (Feedbox to magnet)"/>
        <s v="Leak checking fixtures"/>
        <s v="Materials"/>
        <s v="Welder"/>
        <s v="Machining"/>
        <s v="Seals"/>
        <s v="Indium Ribbon"/>
        <s v="Design, fabricate, assemble, and test larger diameter probe"/>
        <s v="Design, fabricate, assemble, and test larger diameter assembly"/>
        <s v="Inner and Outer Tube"/>
        <s v="Bellows"/>
        <s v="Quench Antenna"/>
        <s v="Vacuum Insulation Valve and Pumpout port"/>
        <s v="Lead Wire (Lakeshore)"/>
        <s v="Multi-pin connectors"/>
        <s v="Heaters"/>
        <s v="RTDs"/>
        <s v="Spiders, Flangers, Adapters, etc"/>
        <s v="Replace toothed belt, photo-eyes, covers on flexible coupling, translation slides"/>
        <s v="Spares to refurbish measurement table"/>
        <s v="Driveshaft and Probe Bearings"/>
        <s v="Bearing Housings"/>
        <s v="Flexible Couplings"/>
        <s v="Optical Sensors"/>
        <s v="Material for Probe Assemblies"/>
        <s v="Slot Machining"/>
        <s v="Bridge between Measurement Table and Stand 4"/>
        <s v="Blower"/>
        <s v="Roughing Pump"/>
        <s v="Controls"/>
        <s v="Vacuum Gages and readouts"/>
        <s v="Cart"/>
        <s v="Specify and Procure Valves and Instruments"/>
        <s v="Test Stand Hardening to reduce He losses"/>
        <s v="Valves, instruments, pipe, hoses, fitting"/>
        <s v="Design and analysis"/>
        <s v="Fabrication"/>
        <s v="Cryo Controls Upgrade and Modifications"/>
        <s v="Commissioning"/>
        <s v="Documentation"/>
        <s v="Review"/>
        <s v="Replacement, Repair, or calibration"/>
      </sharedItems>
    </cacheField>
    <cacheField name="Engineer (m-wks)" numFmtId="0">
      <sharedItems containsString="0" containsBlank="1" containsNumber="1" minValue="0.2" maxValue="12"/>
    </cacheField>
    <cacheField name="Designer (m-wks)" numFmtId="0">
      <sharedItems containsString="0" containsBlank="1" containsNumber="1" minValue="1" maxValue="12"/>
    </cacheField>
    <cacheField name="Technician (m-wks)" numFmtId="0">
      <sharedItems containsString="0" containsBlank="1" containsNumber="1" minValue="0.2" maxValue="24"/>
    </cacheField>
    <cacheField name="Unit" numFmtId="0">
      <sharedItems containsNonDate="0" containsString="0" containsBlank="1"/>
    </cacheField>
    <cacheField name="Qty" numFmtId="0">
      <sharedItems containsBlank="1" containsMixedTypes="1" containsNumber="1" minValue="0" maxValue="1000"/>
    </cacheField>
    <cacheField name="Price Per Unit ($K)" numFmtId="0">
      <sharedItems containsString="0" containsBlank="1" containsNumber="1" minValue="0" maxValue="1"/>
    </cacheField>
    <cacheField name="Total ($K)" numFmtId="0">
      <sharedItems containsString="0" containsBlank="1" containsNumber="1" minValue="0" maxValue="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ben" refreshedDate="41064.540535416665" createdVersion="4" refreshedVersion="4" minRefreshableVersion="3" recordCount="8">
  <cacheSource type="worksheet">
    <worksheetSource ref="A1:P1048576" sheet="Operation Details"/>
  </cacheSource>
  <cacheFields count="16">
    <cacheField name="Step" numFmtId="0">
      <sharedItems containsBlank="1" count="9">
        <s v="Setup - Mechanical"/>
        <s v="Setup- Electrical"/>
        <s v="Leak Checking"/>
        <s v="Test Support"/>
        <s v="Dissasembly"/>
        <s v="Consumables - He (4 wks of testing)"/>
        <s v="Consumables - N2 (4 wks of testing)"/>
        <m/>
        <s v="Setuo- Electrical" u="1"/>
      </sharedItems>
    </cacheField>
    <cacheField name="Engineer (m-wks)" numFmtId="0">
      <sharedItems containsNonDate="0" containsString="0" containsBlank="1"/>
    </cacheField>
    <cacheField name="Designer (m-wks)" numFmtId="0">
      <sharedItems containsNonDate="0" containsString="0" containsBlank="1"/>
    </cacheField>
    <cacheField name="Technician (m-wks)" numFmtId="0">
      <sharedItems containsString="0" containsBlank="1" containsNumber="1" minValue="1.5" maxValue="12"/>
    </cacheField>
    <cacheField name="Unit" numFmtId="0">
      <sharedItems containsNonDate="0" containsString="0" containsBlank="1"/>
    </cacheField>
    <cacheField name="Qty" numFmtId="0">
      <sharedItems containsNonDate="0" containsString="0" containsBlank="1"/>
    </cacheField>
    <cacheField name="Price Per Unit ($K)" numFmtId="0">
      <sharedItems containsNonDate="0" containsString="0" containsBlank="1"/>
    </cacheField>
    <cacheField name="Total ($K)" numFmtId="0">
      <sharedItems containsString="0" containsBlank="1" containsNumber="1" containsInteger="1" minValue="10" maxValue="24"/>
    </cacheField>
    <cacheField name="Estimate Basis" numFmtId="0">
      <sharedItems containsBlank="1"/>
    </cacheField>
    <cacheField name="Comments" numFmtId="0">
      <sharedItems containsNonDate="0" containsString="0" containsBlank="1"/>
    </cacheField>
    <cacheField name="Estimator" numFmtId="0">
      <sharedItems containsNonDate="0" containsString="0" containsBlank="1"/>
    </cacheField>
    <cacheField name="Fully Loaded Labor ($K)" numFmtId="0">
      <sharedItems containsNonDate="0" containsString="0" containsBlank="1"/>
    </cacheField>
    <cacheField name="Fully Loaded M&amp;S ($K)" numFmtId="0">
      <sharedItems containsNonDate="0" containsString="0" containsBlank="1"/>
    </cacheField>
    <cacheField name="Materials ($K)" numFmtId="0">
      <sharedItems containsNonDate="0" containsString="0" containsBlank="1"/>
    </cacheField>
    <cacheField name="Equipment ($K)" numFmtId="0">
      <sharedItems containsNonDate="0" containsString="0" containsBlank="1"/>
    </cacheField>
    <cacheField name="Construction ($K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n v="12"/>
    <m/>
    <m/>
    <m/>
    <m/>
    <m/>
    <m/>
  </r>
  <r>
    <x v="1"/>
    <x v="1"/>
    <x v="1"/>
    <m/>
    <m/>
    <n v="0.6"/>
    <m/>
    <m/>
    <m/>
    <m/>
  </r>
  <r>
    <x v="1"/>
    <x v="2"/>
    <x v="2"/>
    <m/>
    <m/>
    <n v="0.2"/>
    <m/>
    <m/>
    <m/>
    <m/>
  </r>
  <r>
    <x v="1"/>
    <x v="3"/>
    <x v="3"/>
    <m/>
    <m/>
    <n v="0.6"/>
    <m/>
    <m/>
    <m/>
    <m/>
  </r>
  <r>
    <x v="2"/>
    <x v="4"/>
    <x v="4"/>
    <n v="2.5"/>
    <m/>
    <m/>
    <m/>
    <m/>
    <m/>
    <n v="11"/>
  </r>
  <r>
    <x v="2"/>
    <x v="4"/>
    <x v="5"/>
    <m/>
    <m/>
    <n v="0.6"/>
    <m/>
    <m/>
    <m/>
    <m/>
  </r>
  <r>
    <x v="2"/>
    <x v="4"/>
    <x v="6"/>
    <m/>
    <m/>
    <n v="0.9"/>
    <m/>
    <m/>
    <m/>
    <m/>
  </r>
  <r>
    <x v="1"/>
    <x v="5"/>
    <x v="7"/>
    <m/>
    <m/>
    <n v="1.2"/>
    <m/>
    <m/>
    <m/>
    <m/>
  </r>
  <r>
    <x v="1"/>
    <x v="5"/>
    <x v="8"/>
    <n v="1"/>
    <n v="1.2"/>
    <n v="0.4"/>
    <m/>
    <m/>
    <m/>
    <m/>
  </r>
  <r>
    <x v="1"/>
    <x v="5"/>
    <x v="9"/>
    <m/>
    <m/>
    <n v="2.4"/>
    <m/>
    <m/>
    <m/>
    <m/>
  </r>
  <r>
    <x v="1"/>
    <x v="5"/>
    <x v="10"/>
    <m/>
    <m/>
    <m/>
    <m/>
    <m/>
    <m/>
    <n v="76.5"/>
  </r>
  <r>
    <x v="1"/>
    <x v="2"/>
    <x v="11"/>
    <m/>
    <m/>
    <n v="0.2"/>
    <m/>
    <m/>
    <m/>
    <m/>
  </r>
  <r>
    <x v="1"/>
    <x v="5"/>
    <x v="12"/>
    <m/>
    <m/>
    <n v="1"/>
    <m/>
    <m/>
    <m/>
    <m/>
  </r>
  <r>
    <x v="1"/>
    <x v="3"/>
    <x v="13"/>
    <m/>
    <m/>
    <n v="1.4"/>
    <m/>
    <m/>
    <m/>
    <m/>
  </r>
  <r>
    <x v="1"/>
    <x v="2"/>
    <x v="14"/>
    <m/>
    <m/>
    <n v="1.4"/>
    <m/>
    <m/>
    <m/>
    <m/>
  </r>
  <r>
    <x v="1"/>
    <x v="6"/>
    <x v="15"/>
    <n v="4"/>
    <n v="12"/>
    <n v="0.8"/>
    <m/>
    <m/>
    <m/>
    <m/>
  </r>
  <r>
    <x v="1"/>
    <x v="7"/>
    <x v="16"/>
    <n v="2"/>
    <m/>
    <n v="6"/>
    <m/>
    <m/>
    <m/>
    <m/>
  </r>
  <r>
    <x v="1"/>
    <x v="8"/>
    <x v="17"/>
    <n v="5"/>
    <n v="8"/>
    <m/>
    <m/>
    <m/>
    <m/>
    <m/>
  </r>
  <r>
    <x v="1"/>
    <x v="9"/>
    <x v="18"/>
    <n v="2"/>
    <n v="4.2"/>
    <n v="1.8"/>
    <m/>
    <m/>
    <m/>
    <m/>
  </r>
  <r>
    <x v="1"/>
    <x v="8"/>
    <x v="19"/>
    <m/>
    <m/>
    <m/>
    <m/>
    <m/>
    <m/>
    <n v="10"/>
  </r>
  <r>
    <x v="1"/>
    <x v="8"/>
    <x v="20"/>
    <m/>
    <m/>
    <m/>
    <m/>
    <m/>
    <m/>
    <n v="12"/>
  </r>
  <r>
    <x v="1"/>
    <x v="8"/>
    <x v="21"/>
    <m/>
    <m/>
    <m/>
    <m/>
    <m/>
    <m/>
    <n v="13.5"/>
  </r>
  <r>
    <x v="1"/>
    <x v="8"/>
    <x v="22"/>
    <m/>
    <m/>
    <m/>
    <m/>
    <m/>
    <m/>
    <n v="2.2200000000000002"/>
  </r>
  <r>
    <x v="1"/>
    <x v="8"/>
    <x v="23"/>
    <m/>
    <m/>
    <m/>
    <m/>
    <m/>
    <m/>
    <n v="3"/>
  </r>
  <r>
    <x v="3"/>
    <x v="10"/>
    <x v="24"/>
    <n v="6"/>
    <n v="4.2"/>
    <n v="13"/>
    <m/>
    <m/>
    <m/>
    <m/>
  </r>
  <r>
    <x v="3"/>
    <x v="11"/>
    <x v="25"/>
    <n v="6"/>
    <n v="4.2"/>
    <n v="17"/>
    <m/>
    <m/>
    <m/>
    <m/>
  </r>
  <r>
    <x v="3"/>
    <x v="11"/>
    <x v="26"/>
    <m/>
    <m/>
    <m/>
    <m/>
    <n v="100"/>
    <n v="0.16"/>
    <n v="16"/>
  </r>
  <r>
    <x v="3"/>
    <x v="11"/>
    <x v="27"/>
    <m/>
    <m/>
    <m/>
    <m/>
    <n v="1000"/>
    <n v="1E-3"/>
    <n v="1"/>
  </r>
  <r>
    <x v="3"/>
    <x v="11"/>
    <x v="28"/>
    <m/>
    <m/>
    <m/>
    <m/>
    <s v="??"/>
    <m/>
    <m/>
  </r>
  <r>
    <x v="3"/>
    <x v="11"/>
    <x v="29"/>
    <m/>
    <m/>
    <m/>
    <m/>
    <n v="500"/>
    <n v="2E-3"/>
    <n v="1"/>
  </r>
  <r>
    <x v="3"/>
    <x v="11"/>
    <x v="30"/>
    <m/>
    <m/>
    <m/>
    <m/>
    <n v="2.5"/>
    <n v="1"/>
    <n v="2.5"/>
  </r>
  <r>
    <x v="3"/>
    <x v="11"/>
    <x v="31"/>
    <m/>
    <m/>
    <m/>
    <m/>
    <n v="120"/>
    <n v="1.2E-2"/>
    <n v="1.44"/>
  </r>
  <r>
    <x v="3"/>
    <x v="11"/>
    <x v="32"/>
    <m/>
    <m/>
    <m/>
    <m/>
    <n v="50"/>
    <n v="6.0000000000000001E-3"/>
    <n v="0.3"/>
  </r>
  <r>
    <x v="3"/>
    <x v="11"/>
    <x v="33"/>
    <m/>
    <m/>
    <m/>
    <m/>
    <n v="100"/>
    <n v="2.4E-2"/>
    <n v="2.4"/>
  </r>
  <r>
    <x v="3"/>
    <x v="11"/>
    <x v="34"/>
    <m/>
    <m/>
    <m/>
    <m/>
    <s v="lot"/>
    <m/>
    <n v="5"/>
  </r>
  <r>
    <x v="3"/>
    <x v="12"/>
    <x v="35"/>
    <n v="2"/>
    <m/>
    <n v="16"/>
    <m/>
    <m/>
    <m/>
    <m/>
  </r>
  <r>
    <x v="3"/>
    <x v="12"/>
    <x v="36"/>
    <m/>
    <m/>
    <m/>
    <m/>
    <n v="478.23999999999995"/>
    <n v="3.0000000000000001E-3"/>
    <n v="1.43472"/>
  </r>
  <r>
    <x v="3"/>
    <x v="12"/>
    <x v="37"/>
    <m/>
    <m/>
    <m/>
    <m/>
    <n v="60"/>
    <n v="2.4E-2"/>
    <n v="1.44"/>
  </r>
  <r>
    <x v="3"/>
    <x v="12"/>
    <x v="38"/>
    <m/>
    <m/>
    <m/>
    <m/>
    <n v="75"/>
    <n v="0"/>
    <n v="7.5"/>
  </r>
  <r>
    <x v="3"/>
    <x v="12"/>
    <x v="39"/>
    <m/>
    <m/>
    <m/>
    <m/>
    <n v="160"/>
    <n v="1.2E-2"/>
    <n v="1.92"/>
  </r>
  <r>
    <x v="3"/>
    <x v="12"/>
    <x v="40"/>
    <m/>
    <m/>
    <m/>
    <m/>
    <n v="90"/>
    <n v="1.2E-2"/>
    <n v="1.08"/>
  </r>
  <r>
    <x v="3"/>
    <x v="12"/>
    <x v="41"/>
    <m/>
    <m/>
    <m/>
    <m/>
    <n v="250"/>
    <n v="0.03"/>
    <n v="7.5"/>
  </r>
  <r>
    <x v="3"/>
    <x v="12"/>
    <x v="42"/>
    <m/>
    <m/>
    <m/>
    <m/>
    <n v="75"/>
    <n v="0"/>
    <n v="9"/>
  </r>
  <r>
    <x v="3"/>
    <x v="12"/>
    <x v="43"/>
    <m/>
    <m/>
    <m/>
    <m/>
    <n v="0"/>
    <n v="0"/>
    <n v="0"/>
  </r>
  <r>
    <x v="4"/>
    <x v="13"/>
    <x v="44"/>
    <m/>
    <m/>
    <m/>
    <m/>
    <m/>
    <m/>
    <n v="10"/>
  </r>
  <r>
    <x v="4"/>
    <x v="13"/>
    <x v="45"/>
    <m/>
    <m/>
    <m/>
    <m/>
    <m/>
    <m/>
    <n v="6.5"/>
  </r>
  <r>
    <x v="4"/>
    <x v="13"/>
    <x v="46"/>
    <m/>
    <m/>
    <m/>
    <m/>
    <m/>
    <m/>
    <n v="3"/>
  </r>
  <r>
    <x v="4"/>
    <x v="13"/>
    <x v="47"/>
    <m/>
    <m/>
    <m/>
    <m/>
    <m/>
    <m/>
    <n v="1.2"/>
  </r>
  <r>
    <x v="4"/>
    <x v="13"/>
    <x v="48"/>
    <m/>
    <m/>
    <m/>
    <m/>
    <m/>
    <m/>
    <n v="0.5"/>
  </r>
  <r>
    <x v="5"/>
    <x v="14"/>
    <x v="49"/>
    <n v="1"/>
    <m/>
    <m/>
    <m/>
    <m/>
    <m/>
    <m/>
  </r>
  <r>
    <x v="5"/>
    <x v="14"/>
    <x v="50"/>
    <m/>
    <m/>
    <n v="2"/>
    <m/>
    <m/>
    <m/>
    <m/>
  </r>
  <r>
    <x v="5"/>
    <x v="14"/>
    <x v="51"/>
    <m/>
    <m/>
    <m/>
    <m/>
    <m/>
    <m/>
    <n v="60"/>
  </r>
  <r>
    <x v="5"/>
    <x v="14"/>
    <x v="20"/>
    <m/>
    <m/>
    <m/>
    <m/>
    <m/>
    <m/>
    <n v="3"/>
  </r>
  <r>
    <x v="5"/>
    <x v="15"/>
    <x v="52"/>
    <n v="1.2"/>
    <m/>
    <m/>
    <m/>
    <m/>
    <m/>
    <m/>
  </r>
  <r>
    <x v="5"/>
    <x v="15"/>
    <x v="53"/>
    <m/>
    <n v="3"/>
    <n v="8"/>
    <m/>
    <m/>
    <m/>
    <m/>
  </r>
  <r>
    <x v="5"/>
    <x v="15"/>
    <x v="51"/>
    <m/>
    <m/>
    <m/>
    <m/>
    <m/>
    <m/>
    <n v="20"/>
  </r>
  <r>
    <x v="5"/>
    <x v="15"/>
    <x v="20"/>
    <m/>
    <m/>
    <m/>
    <m/>
    <m/>
    <m/>
    <n v="6"/>
  </r>
  <r>
    <x v="5"/>
    <x v="16"/>
    <x v="52"/>
    <n v="0.2"/>
    <m/>
    <m/>
    <m/>
    <m/>
    <m/>
    <m/>
  </r>
  <r>
    <x v="5"/>
    <x v="16"/>
    <x v="53"/>
    <m/>
    <n v="1"/>
    <n v="2"/>
    <m/>
    <m/>
    <m/>
    <m/>
  </r>
  <r>
    <x v="5"/>
    <x v="16"/>
    <x v="51"/>
    <m/>
    <m/>
    <m/>
    <m/>
    <m/>
    <m/>
    <n v="2"/>
  </r>
  <r>
    <x v="5"/>
    <x v="16"/>
    <x v="20"/>
    <m/>
    <m/>
    <m/>
    <m/>
    <m/>
    <m/>
    <n v="1.5"/>
  </r>
  <r>
    <x v="5"/>
    <x v="17"/>
    <x v="52"/>
    <n v="0.8"/>
    <m/>
    <m/>
    <m/>
    <m/>
    <m/>
    <m/>
  </r>
  <r>
    <x v="5"/>
    <x v="17"/>
    <x v="53"/>
    <m/>
    <n v="3"/>
    <n v="2"/>
    <m/>
    <m/>
    <m/>
    <m/>
  </r>
  <r>
    <x v="5"/>
    <x v="17"/>
    <x v="51"/>
    <m/>
    <m/>
    <m/>
    <m/>
    <m/>
    <m/>
    <n v="5"/>
  </r>
  <r>
    <x v="5"/>
    <x v="17"/>
    <x v="20"/>
    <m/>
    <m/>
    <m/>
    <m/>
    <m/>
    <m/>
    <n v="1.5"/>
  </r>
  <r>
    <x v="5"/>
    <x v="18"/>
    <x v="49"/>
    <m/>
    <m/>
    <m/>
    <m/>
    <m/>
    <m/>
    <m/>
  </r>
  <r>
    <x v="5"/>
    <x v="18"/>
    <x v="54"/>
    <n v="6"/>
    <m/>
    <n v="10"/>
    <m/>
    <m/>
    <m/>
    <m/>
  </r>
  <r>
    <x v="5"/>
    <x v="18"/>
    <x v="55"/>
    <n v="4"/>
    <m/>
    <m/>
    <m/>
    <m/>
    <m/>
    <m/>
  </r>
  <r>
    <x v="5"/>
    <x v="19"/>
    <x v="56"/>
    <n v="8"/>
    <m/>
    <m/>
    <m/>
    <m/>
    <m/>
    <m/>
  </r>
  <r>
    <x v="5"/>
    <x v="19"/>
    <x v="57"/>
    <n v="1"/>
    <m/>
    <m/>
    <m/>
    <m/>
    <m/>
    <m/>
  </r>
  <r>
    <x v="6"/>
    <x v="20"/>
    <x v="0"/>
    <n v="1"/>
    <m/>
    <m/>
    <m/>
    <m/>
    <m/>
    <n v="5"/>
  </r>
  <r>
    <x v="6"/>
    <x v="21"/>
    <x v="0"/>
    <m/>
    <m/>
    <n v="24"/>
    <m/>
    <m/>
    <m/>
    <n v="35"/>
  </r>
  <r>
    <x v="6"/>
    <x v="22"/>
    <x v="0"/>
    <n v="10"/>
    <m/>
    <n v="5"/>
    <m/>
    <m/>
    <m/>
    <n v="50"/>
  </r>
  <r>
    <x v="6"/>
    <x v="23"/>
    <x v="0"/>
    <n v="4"/>
    <m/>
    <n v="1"/>
    <m/>
    <m/>
    <m/>
    <n v="28"/>
  </r>
  <r>
    <x v="6"/>
    <x v="24"/>
    <x v="58"/>
    <m/>
    <m/>
    <n v="4"/>
    <m/>
    <m/>
    <m/>
    <n v="10"/>
  </r>
  <r>
    <x v="6"/>
    <x v="25"/>
    <x v="0"/>
    <m/>
    <m/>
    <n v="1"/>
    <m/>
    <m/>
    <m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m/>
    <m/>
    <n v="2"/>
    <m/>
    <m/>
    <m/>
    <m/>
    <m/>
    <m/>
    <m/>
    <m/>
    <m/>
    <m/>
    <m/>
    <m/>
  </r>
  <r>
    <x v="1"/>
    <m/>
    <m/>
    <n v="2"/>
    <m/>
    <m/>
    <m/>
    <m/>
    <m/>
    <m/>
    <m/>
    <m/>
    <m/>
    <m/>
    <m/>
    <m/>
  </r>
  <r>
    <x v="2"/>
    <m/>
    <m/>
    <n v="2.5"/>
    <m/>
    <m/>
    <m/>
    <m/>
    <m/>
    <m/>
    <m/>
    <m/>
    <m/>
    <m/>
    <m/>
    <m/>
  </r>
  <r>
    <x v="3"/>
    <m/>
    <m/>
    <n v="12"/>
    <m/>
    <m/>
    <m/>
    <m/>
    <m/>
    <m/>
    <m/>
    <m/>
    <m/>
    <m/>
    <m/>
    <m/>
  </r>
  <r>
    <x v="4"/>
    <m/>
    <m/>
    <n v="1.5"/>
    <m/>
    <m/>
    <m/>
    <m/>
    <m/>
    <m/>
    <m/>
    <m/>
    <m/>
    <m/>
    <m/>
    <m/>
  </r>
  <r>
    <x v="5"/>
    <m/>
    <m/>
    <m/>
    <m/>
    <m/>
    <m/>
    <n v="24"/>
    <s v="IB1 He cost is $12K/week, split 50/50 between SRF and Magnet. The cost for a magnet test is 6*No of test-weeks."/>
    <m/>
    <m/>
    <m/>
    <m/>
    <m/>
    <m/>
    <m/>
  </r>
  <r>
    <x v="6"/>
    <m/>
    <m/>
    <m/>
    <m/>
    <m/>
    <m/>
    <n v="10"/>
    <s v="IB1 He cost is $5K/week, split 50/50 between SRF and Magnet. The cost for a magnet test is 2.5*No of test-weeks."/>
    <m/>
    <m/>
    <m/>
    <m/>
    <m/>
    <m/>
    <m/>
  </r>
  <r>
    <x v="7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1" firstHeaderRow="0" firstDataRow="1" firstDataCol="1"/>
  <pivotFields count="10">
    <pivotField axis="axisRow" showAll="0">
      <items count="8">
        <item sd="0" x="0"/>
        <item sd="0" x="1"/>
        <item sd="0" x="5"/>
        <item sd="0" x="2"/>
        <item sd="0" x="6"/>
        <item sd="0" x="4"/>
        <item sd="0" x="3"/>
        <item t="default"/>
      </items>
    </pivotField>
    <pivotField axis="axisRow" showAll="0">
      <items count="27">
        <item x="8"/>
        <item x="7"/>
        <item sd="0" x="25"/>
        <item sd="0" x="20"/>
        <item x="18"/>
        <item x="4"/>
        <item x="6"/>
        <item sd="0" x="24"/>
        <item x="9"/>
        <item sd="0" x="21"/>
        <item x="2"/>
        <item x="12"/>
        <item sd="0" x="0"/>
        <item x="10"/>
        <item x="5"/>
        <item x="13"/>
        <item x="17"/>
        <item x="15"/>
        <item sd="0" x="22"/>
        <item x="16"/>
        <item x="19"/>
        <item sd="0" x="23"/>
        <item x="14"/>
        <item x="3"/>
        <item x="11"/>
        <item x="1"/>
        <item t="default"/>
      </items>
    </pivotField>
    <pivotField axis="axisRow" showAll="0">
      <items count="60">
        <item x="4"/>
        <item x="10"/>
        <item x="17"/>
        <item x="38"/>
        <item x="27"/>
        <item x="44"/>
        <item x="43"/>
        <item x="48"/>
        <item x="14"/>
        <item x="11"/>
        <item x="55"/>
        <item x="7"/>
        <item x="46"/>
        <item x="54"/>
        <item x="52"/>
        <item x="25"/>
        <item x="24"/>
        <item x="5"/>
        <item x="1"/>
        <item x="56"/>
        <item x="37"/>
        <item x="53"/>
        <item x="39"/>
        <item x="32"/>
        <item x="23"/>
        <item x="26"/>
        <item x="16"/>
        <item x="12"/>
        <item x="13"/>
        <item x="30"/>
        <item x="18"/>
        <item x="21"/>
        <item x="41"/>
        <item x="19"/>
        <item x="15"/>
        <item x="8"/>
        <item x="31"/>
        <item x="40"/>
        <item x="6"/>
        <item x="9"/>
        <item x="28"/>
        <item x="2"/>
        <item x="3"/>
        <item x="35"/>
        <item x="58"/>
        <item x="57"/>
        <item x="45"/>
        <item x="33"/>
        <item x="22"/>
        <item x="42"/>
        <item x="36"/>
        <item x="49"/>
        <item x="34"/>
        <item x="50"/>
        <item x="47"/>
        <item x="29"/>
        <item x="51"/>
        <item x="20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ngineer (p-wks)" fld="3" baseField="0" baseItem="0"/>
    <dataField name="Designer (p-wks)" fld="4" baseField="0" baseItem="0"/>
    <dataField name="Technician (p-wks)" fld="5" baseField="0" baseItem="0"/>
    <dataField name="M&amp;S ($K)" fld="9" baseField="0" baseItem="0" numFmtId="165"/>
  </dataFields>
  <formats count="6"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1" firstHeaderRow="0" firstDataRow="1" firstDataCol="1"/>
  <pivotFields count="16">
    <pivotField axis="axisRow" showAll="0">
      <items count="10">
        <item m="1" x="8"/>
        <item x="0"/>
        <item x="1"/>
        <item x="2"/>
        <item x="3"/>
        <item x="4"/>
        <item h="1" x="7"/>
        <item x="5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Labor (p-wks)" fld="3" baseField="0" baseItem="0"/>
    <dataField name="M&amp;S ($K)" fld="7" baseField="0" baseItem="0" numFmtId="165"/>
  </dataFields>
  <formats count="6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14"/>
  <sheetViews>
    <sheetView tabSelected="1" topLeftCell="B1" zoomScaleNormal="100" workbookViewId="0">
      <selection activeCell="F14" sqref="F14"/>
    </sheetView>
  </sheetViews>
  <sheetFormatPr defaultRowHeight="15"/>
  <cols>
    <col min="2" max="2" width="27.28515625" customWidth="1"/>
    <col min="3" max="3" width="9.42578125" bestFit="1" customWidth="1"/>
    <col min="4" max="4" width="10.28515625" bestFit="1" customWidth="1"/>
    <col min="5" max="6" width="11" customWidth="1"/>
    <col min="7" max="7" width="11.42578125" customWidth="1"/>
    <col min="8" max="8" width="11.28515625" customWidth="1"/>
    <col min="9" max="9" width="11.85546875" customWidth="1"/>
    <col min="10" max="10" width="11.42578125" customWidth="1"/>
    <col min="11" max="11" width="10.140625" bestFit="1" customWidth="1"/>
    <col min="12" max="12" width="9.42578125" bestFit="1" customWidth="1"/>
    <col min="13" max="13" width="15.28515625" customWidth="1"/>
    <col min="14" max="14" width="13" customWidth="1"/>
    <col min="15" max="15" width="12.28515625" customWidth="1"/>
  </cols>
  <sheetData>
    <row r="3" spans="2:15" ht="3" customHeight="1" thickBot="1"/>
    <row r="4" spans="2:15" ht="15.75" thickTop="1">
      <c r="B4" s="359"/>
      <c r="C4" s="575" t="s">
        <v>1795</v>
      </c>
      <c r="D4" s="575"/>
      <c r="E4" s="575"/>
      <c r="F4" s="575"/>
      <c r="G4" s="575"/>
      <c r="H4" s="575"/>
      <c r="I4" s="575"/>
      <c r="J4" s="575"/>
      <c r="K4" s="575"/>
      <c r="L4" s="575"/>
      <c r="M4" s="360"/>
      <c r="N4" s="360"/>
      <c r="O4" s="361"/>
    </row>
    <row r="5" spans="2:15" ht="75" customHeight="1">
      <c r="B5" s="362"/>
      <c r="C5" s="576"/>
      <c r="D5" s="576"/>
      <c r="E5" s="576"/>
      <c r="F5" s="576"/>
      <c r="G5" s="576"/>
      <c r="H5" s="576"/>
      <c r="I5" s="576"/>
      <c r="J5" s="576"/>
      <c r="K5" s="576"/>
      <c r="L5" s="576"/>
      <c r="M5" s="167"/>
      <c r="N5" s="167"/>
      <c r="O5" s="363"/>
    </row>
    <row r="6" spans="2:15" ht="30">
      <c r="B6" s="325"/>
      <c r="C6" s="26" t="s">
        <v>647</v>
      </c>
      <c r="D6" s="26" t="s">
        <v>648</v>
      </c>
      <c r="E6" s="26" t="s">
        <v>649</v>
      </c>
      <c r="F6" s="26" t="s">
        <v>650</v>
      </c>
      <c r="G6" s="26" t="s">
        <v>651</v>
      </c>
      <c r="H6" s="26" t="s">
        <v>652</v>
      </c>
      <c r="I6" s="26" t="s">
        <v>653</v>
      </c>
      <c r="J6" s="26" t="s">
        <v>654</v>
      </c>
      <c r="K6" s="26" t="s">
        <v>655</v>
      </c>
      <c r="L6" s="26" t="s">
        <v>656</v>
      </c>
      <c r="M6" s="332" t="s">
        <v>1374</v>
      </c>
      <c r="N6" s="26" t="s">
        <v>1376</v>
      </c>
      <c r="O6" s="365" t="s">
        <v>1375</v>
      </c>
    </row>
    <row r="7" spans="2:15">
      <c r="B7" s="328" t="s">
        <v>1316</v>
      </c>
      <c r="C7" s="560">
        <f>Labor!E139</f>
        <v>0</v>
      </c>
      <c r="D7" s="560">
        <f>Labor!F139</f>
        <v>0</v>
      </c>
      <c r="E7" s="560">
        <f>Labor!G139</f>
        <v>3094342.1641269843</v>
      </c>
      <c r="F7" s="560">
        <f>Labor!H139</f>
        <v>4345294.9387301588</v>
      </c>
      <c r="G7" s="560">
        <v>0</v>
      </c>
      <c r="H7" s="560">
        <v>0</v>
      </c>
      <c r="I7" s="560">
        <v>0</v>
      </c>
      <c r="J7" s="560">
        <v>0</v>
      </c>
      <c r="K7" s="560">
        <v>0</v>
      </c>
      <c r="L7" s="560">
        <v>0</v>
      </c>
      <c r="M7" s="368">
        <f t="shared" ref="M7" si="0">SUM(C7:L7)</f>
        <v>7439637.1028571427</v>
      </c>
      <c r="N7" s="364">
        <v>0.3</v>
      </c>
      <c r="O7" s="369">
        <f t="shared" ref="O7" si="1">M7*(1+N7)</f>
        <v>9671528.2337142862</v>
      </c>
    </row>
    <row r="8" spans="2:15">
      <c r="B8" s="328" t="s">
        <v>1793</v>
      </c>
      <c r="C8" s="22">
        <f>Material!H44</f>
        <v>0</v>
      </c>
      <c r="D8" s="22">
        <f>Material!I44</f>
        <v>0</v>
      </c>
      <c r="E8" s="22">
        <f>Material!J44</f>
        <v>0</v>
      </c>
      <c r="F8" s="22">
        <f>Material!K44</f>
        <v>11033011.923640765</v>
      </c>
      <c r="G8" s="22">
        <f>Material!L44</f>
        <v>11532716.049472474</v>
      </c>
      <c r="H8" s="22">
        <f>Material!M44</f>
        <v>19147062.403094538</v>
      </c>
      <c r="I8" s="22">
        <f>Material!N44</f>
        <v>15972424.945914723</v>
      </c>
      <c r="J8" s="22">
        <f>Material!O44</f>
        <v>2088087.7520000001</v>
      </c>
      <c r="K8" s="22">
        <f>Material!P44</f>
        <v>152991.61199999996</v>
      </c>
      <c r="L8" s="22">
        <f>Material!Q44</f>
        <v>0</v>
      </c>
      <c r="M8" s="368">
        <f>SUM(C8:L8)</f>
        <v>59926294.686122499</v>
      </c>
      <c r="N8" s="364">
        <v>0.3</v>
      </c>
      <c r="O8" s="369">
        <f>M8*(1+N8)</f>
        <v>77904183.091959253</v>
      </c>
    </row>
    <row r="9" spans="2:15">
      <c r="B9" s="328" t="s">
        <v>1794</v>
      </c>
      <c r="C9" s="22">
        <v>0</v>
      </c>
      <c r="D9" s="22">
        <v>0</v>
      </c>
      <c r="E9" s="22">
        <v>0</v>
      </c>
      <c r="F9" s="22">
        <v>0</v>
      </c>
      <c r="G9" s="22">
        <f>Labor!I139</f>
        <v>6151915.1200000001</v>
      </c>
      <c r="H9" s="22">
        <f>Labor!J139</f>
        <v>7829077.3366349209</v>
      </c>
      <c r="I9" s="22">
        <f>Labor!K139</f>
        <v>9489099.4825396817</v>
      </c>
      <c r="J9" s="22">
        <f>Labor!L139</f>
        <v>8701868.5419047624</v>
      </c>
      <c r="K9" s="22">
        <f>Labor!M139</f>
        <v>5563847.5273015872</v>
      </c>
      <c r="L9" s="22">
        <f>Labor!N139</f>
        <v>724747.4</v>
      </c>
      <c r="M9" s="368">
        <f>SUM(C9:L9)</f>
        <v>38460555.408380948</v>
      </c>
      <c r="N9" s="364">
        <v>0.3</v>
      </c>
      <c r="O9" s="369">
        <f>M9*(1+N9)</f>
        <v>49998722.030895233</v>
      </c>
    </row>
    <row r="10" spans="2:15" ht="15.75" thickBot="1">
      <c r="B10" s="343" t="s">
        <v>153</v>
      </c>
      <c r="C10" s="346">
        <f t="shared" ref="C10:M10" si="2">SUM(C7:C9)</f>
        <v>0</v>
      </c>
      <c r="D10" s="346">
        <f t="shared" si="2"/>
        <v>0</v>
      </c>
      <c r="E10" s="346">
        <f t="shared" si="2"/>
        <v>3094342.1641269843</v>
      </c>
      <c r="F10" s="346">
        <f t="shared" si="2"/>
        <v>15378306.862370923</v>
      </c>
      <c r="G10" s="346">
        <f t="shared" si="2"/>
        <v>17684631.169472475</v>
      </c>
      <c r="H10" s="346">
        <f t="shared" si="2"/>
        <v>26976139.739729457</v>
      </c>
      <c r="I10" s="346">
        <f t="shared" si="2"/>
        <v>25461524.428454407</v>
      </c>
      <c r="J10" s="346">
        <f t="shared" si="2"/>
        <v>10789956.293904763</v>
      </c>
      <c r="K10" s="346">
        <f t="shared" si="2"/>
        <v>5716839.1393015869</v>
      </c>
      <c r="L10" s="346">
        <f t="shared" si="2"/>
        <v>724747.4</v>
      </c>
      <c r="M10" s="346">
        <f t="shared" si="2"/>
        <v>105826487.19736061</v>
      </c>
      <c r="N10" s="366">
        <v>0.3</v>
      </c>
      <c r="O10" s="367">
        <f>M10*(1+N10)</f>
        <v>137574433.35656878</v>
      </c>
    </row>
    <row r="11" spans="2:15" ht="15.75" thickTop="1"/>
    <row r="14" spans="2:15">
      <c r="M14" s="47" t="s">
        <v>1773</v>
      </c>
    </row>
  </sheetData>
  <mergeCells count="1">
    <mergeCell ref="C4:L5"/>
  </mergeCells>
  <pageMargins left="0.7" right="0.7" top="0.75" bottom="0.75" header="0.3" footer="0.3"/>
  <pageSetup scale="72" fitToHeight="0" orientation="landscape" r:id="rId1"/>
  <ignoredErrors>
    <ignoredError sqref="C7:F7 C8:L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B135"/>
  <sheetViews>
    <sheetView topLeftCell="I1" workbookViewId="0">
      <selection activeCell="O7" sqref="O7"/>
    </sheetView>
  </sheetViews>
  <sheetFormatPr defaultRowHeight="15"/>
  <cols>
    <col min="3" max="3" width="26.140625" bestFit="1" customWidth="1"/>
    <col min="4" max="4" width="13.5703125" bestFit="1" customWidth="1"/>
    <col min="5" max="5" width="9.85546875" customWidth="1"/>
    <col min="6" max="6" width="14" bestFit="1" customWidth="1"/>
    <col min="7" max="7" width="26.42578125" bestFit="1" customWidth="1"/>
    <col min="8" max="8" width="8.28515625" bestFit="1" customWidth="1"/>
    <col min="9" max="9" width="14.28515625" bestFit="1" customWidth="1"/>
    <col min="10" max="10" width="12.5703125" bestFit="1" customWidth="1"/>
    <col min="11" max="11" width="19.42578125" customWidth="1"/>
    <col min="12" max="12" width="27.7109375" customWidth="1"/>
    <col min="13" max="13" width="13.5703125" bestFit="1" customWidth="1"/>
    <col min="14" max="14" width="11" customWidth="1"/>
    <col min="15" max="15" width="15.7109375" customWidth="1"/>
    <col min="16" max="16" width="26.42578125" bestFit="1" customWidth="1"/>
    <col min="17" max="17" width="8.28515625" bestFit="1" customWidth="1"/>
    <col min="18" max="19" width="12.5703125" bestFit="1" customWidth="1"/>
    <col min="20" max="20" width="21" customWidth="1"/>
    <col min="21" max="21" width="28.7109375" customWidth="1"/>
    <col min="22" max="22" width="13.5703125" bestFit="1" customWidth="1"/>
    <col min="23" max="23" width="11.140625" customWidth="1"/>
    <col min="24" max="24" width="14" bestFit="1" customWidth="1"/>
    <col min="25" max="25" width="26.42578125" bestFit="1" customWidth="1"/>
    <col min="26" max="26" width="8.28515625" bestFit="1" customWidth="1"/>
    <col min="27" max="28" width="12.5703125" bestFit="1" customWidth="1"/>
  </cols>
  <sheetData>
    <row r="10" spans="2:28">
      <c r="C10" s="167" t="s">
        <v>331</v>
      </c>
      <c r="D10" t="s">
        <v>273</v>
      </c>
      <c r="F10" t="s">
        <v>274</v>
      </c>
      <c r="L10" s="167" t="s">
        <v>331</v>
      </c>
      <c r="M10" t="s">
        <v>273</v>
      </c>
      <c r="N10" t="s">
        <v>332</v>
      </c>
      <c r="U10" s="167" t="s">
        <v>331</v>
      </c>
      <c r="V10" t="s">
        <v>273</v>
      </c>
      <c r="W10" t="s">
        <v>332</v>
      </c>
    </row>
    <row r="11" spans="2:28">
      <c r="C11" s="42" t="s">
        <v>333</v>
      </c>
      <c r="D11" s="168" t="s">
        <v>276</v>
      </c>
      <c r="E11" s="46"/>
      <c r="F11" s="46">
        <f>150/120</f>
        <v>1.25</v>
      </c>
      <c r="L11" s="42" t="s">
        <v>333</v>
      </c>
      <c r="M11" s="169" t="s">
        <v>277</v>
      </c>
      <c r="N11" s="46">
        <f>4.5/3.3</f>
        <v>1.3636363636363638</v>
      </c>
      <c r="O11" s="46"/>
      <c r="U11" s="42" t="s">
        <v>333</v>
      </c>
      <c r="V11" s="169" t="s">
        <v>277</v>
      </c>
      <c r="W11" s="46">
        <f>4.5/3.3</f>
        <v>1.3636363636363638</v>
      </c>
      <c r="X11" s="46"/>
    </row>
    <row r="12" spans="2:28" s="293" customFormat="1" ht="31.5">
      <c r="C12" s="293" t="s">
        <v>173</v>
      </c>
      <c r="D12" s="293" t="s">
        <v>281</v>
      </c>
      <c r="E12" s="293" t="s">
        <v>524</v>
      </c>
      <c r="F12" s="293" t="s">
        <v>525</v>
      </c>
      <c r="G12" s="293" t="s">
        <v>339</v>
      </c>
      <c r="H12" s="293" t="s">
        <v>526</v>
      </c>
      <c r="I12" s="293" t="s">
        <v>527</v>
      </c>
      <c r="J12" s="293" t="s">
        <v>528</v>
      </c>
      <c r="L12" s="293" t="s">
        <v>173</v>
      </c>
      <c r="M12" s="293" t="s">
        <v>281</v>
      </c>
      <c r="N12" s="293" t="s">
        <v>524</v>
      </c>
      <c r="O12" s="293" t="s">
        <v>525</v>
      </c>
      <c r="P12" s="293" t="s">
        <v>339</v>
      </c>
      <c r="Q12" s="293" t="s">
        <v>526</v>
      </c>
      <c r="R12" s="293" t="s">
        <v>527</v>
      </c>
      <c r="S12" s="293" t="s">
        <v>528</v>
      </c>
      <c r="U12" s="293" t="s">
        <v>173</v>
      </c>
      <c r="V12" s="293" t="s">
        <v>281</v>
      </c>
      <c r="W12" s="293" t="s">
        <v>524</v>
      </c>
      <c r="X12" s="293" t="s">
        <v>525</v>
      </c>
      <c r="Y12" s="293" t="s">
        <v>339</v>
      </c>
      <c r="Z12" s="293" t="s">
        <v>526</v>
      </c>
      <c r="AA12" s="293" t="s">
        <v>527</v>
      </c>
      <c r="AB12" s="293" t="s">
        <v>528</v>
      </c>
    </row>
    <row r="13" spans="2:28">
      <c r="B13">
        <v>1</v>
      </c>
      <c r="C13" s="2" t="s">
        <v>529</v>
      </c>
      <c r="D13" s="2" t="s">
        <v>530</v>
      </c>
      <c r="E13" s="2">
        <f>E78/2</f>
        <v>70</v>
      </c>
      <c r="F13" s="2" t="s">
        <v>531</v>
      </c>
      <c r="G13" s="2" t="s">
        <v>532</v>
      </c>
      <c r="H13" s="2" t="s">
        <v>533</v>
      </c>
      <c r="I13" s="294">
        <f>J13/E13</f>
        <v>409.375</v>
      </c>
      <c r="J13" s="295">
        <f>(J78/2)*$F$11</f>
        <v>28656.25</v>
      </c>
      <c r="L13" s="2" t="s">
        <v>529</v>
      </c>
      <c r="M13" s="2" t="s">
        <v>530</v>
      </c>
      <c r="N13" s="296">
        <f>E13*$N$11</f>
        <v>95.454545454545467</v>
      </c>
      <c r="O13" s="2" t="s">
        <v>531</v>
      </c>
      <c r="P13" s="2" t="s">
        <v>532</v>
      </c>
      <c r="Q13" s="2" t="s">
        <v>533</v>
      </c>
      <c r="R13" s="294">
        <v>409.375</v>
      </c>
      <c r="S13" s="295">
        <f>N13*R13</f>
        <v>39076.704545454551</v>
      </c>
      <c r="U13" s="2" t="s">
        <v>529</v>
      </c>
      <c r="V13" s="2" t="s">
        <v>530</v>
      </c>
      <c r="W13" s="296">
        <v>25.454545454545464</v>
      </c>
      <c r="X13" s="2" t="s">
        <v>531</v>
      </c>
      <c r="Y13" s="2" t="s">
        <v>532</v>
      </c>
      <c r="Z13" s="2" t="s">
        <v>533</v>
      </c>
      <c r="AA13" s="294">
        <v>409.375</v>
      </c>
      <c r="AB13" s="295">
        <f>W13*AA13</f>
        <v>10420.45454545455</v>
      </c>
    </row>
    <row r="14" spans="2:28">
      <c r="B14">
        <v>2</v>
      </c>
      <c r="C14" s="2" t="s">
        <v>529</v>
      </c>
      <c r="D14" s="2" t="s">
        <v>534</v>
      </c>
      <c r="E14" s="2">
        <f>E79/2</f>
        <v>70</v>
      </c>
      <c r="F14" s="2" t="s">
        <v>531</v>
      </c>
      <c r="G14" s="2" t="s">
        <v>532</v>
      </c>
      <c r="H14" s="2" t="s">
        <v>533</v>
      </c>
      <c r="I14" s="294">
        <f t="shared" ref="I14:I64" si="0">J14/E14</f>
        <v>409.375</v>
      </c>
      <c r="J14" s="295">
        <f>(J79/2)*$F$11</f>
        <v>28656.25</v>
      </c>
      <c r="L14" s="2" t="s">
        <v>529</v>
      </c>
      <c r="M14" s="2" t="s">
        <v>534</v>
      </c>
      <c r="N14" s="296">
        <f>E14*$N$11</f>
        <v>95.454545454545467</v>
      </c>
      <c r="O14" s="2" t="s">
        <v>531</v>
      </c>
      <c r="P14" s="2" t="s">
        <v>532</v>
      </c>
      <c r="Q14" s="2" t="s">
        <v>533</v>
      </c>
      <c r="R14" s="294">
        <v>409.375</v>
      </c>
      <c r="S14" s="295">
        <f t="shared" ref="S14:S15" si="1">N14*R14</f>
        <v>39076.704545454551</v>
      </c>
      <c r="U14" s="2" t="s">
        <v>529</v>
      </c>
      <c r="V14" s="2" t="s">
        <v>534</v>
      </c>
      <c r="W14" s="296">
        <v>25.454545454545464</v>
      </c>
      <c r="X14" s="2" t="s">
        <v>531</v>
      </c>
      <c r="Y14" s="2" t="s">
        <v>532</v>
      </c>
      <c r="Z14" s="2" t="s">
        <v>533</v>
      </c>
      <c r="AA14" s="294">
        <v>409.375</v>
      </c>
      <c r="AB14" s="295">
        <f t="shared" ref="AB14:AB15" si="2">W14*AA14</f>
        <v>10420.45454545455</v>
      </c>
    </row>
    <row r="15" spans="2:28">
      <c r="B15">
        <v>3</v>
      </c>
      <c r="C15" s="2" t="s">
        <v>535</v>
      </c>
      <c r="D15" s="2" t="s">
        <v>536</v>
      </c>
      <c r="E15" s="2">
        <f>E80/2</f>
        <v>128</v>
      </c>
      <c r="F15" s="2" t="s">
        <v>531</v>
      </c>
      <c r="G15" s="2" t="s">
        <v>532</v>
      </c>
      <c r="H15" s="2" t="s">
        <v>533</v>
      </c>
      <c r="I15" s="294">
        <f t="shared" si="0"/>
        <v>344.375</v>
      </c>
      <c r="J15" s="295">
        <f>(J80/2)*$F$11</f>
        <v>44080</v>
      </c>
      <c r="L15" s="2" t="s">
        <v>535</v>
      </c>
      <c r="M15" s="2" t="s">
        <v>536</v>
      </c>
      <c r="N15" s="296">
        <f>E15*$N$11</f>
        <v>174.54545454545456</v>
      </c>
      <c r="O15" s="2" t="s">
        <v>531</v>
      </c>
      <c r="P15" s="2" t="s">
        <v>532</v>
      </c>
      <c r="Q15" s="2" t="s">
        <v>533</v>
      </c>
      <c r="R15" s="294">
        <v>344.375</v>
      </c>
      <c r="S15" s="295">
        <f t="shared" si="1"/>
        <v>60109.090909090912</v>
      </c>
      <c r="U15" s="2" t="s">
        <v>535</v>
      </c>
      <c r="V15" s="2" t="s">
        <v>536</v>
      </c>
      <c r="W15" s="296">
        <v>43</v>
      </c>
      <c r="X15" s="2" t="s">
        <v>531</v>
      </c>
      <c r="Y15" s="2" t="s">
        <v>532</v>
      </c>
      <c r="Z15" s="2" t="s">
        <v>533</v>
      </c>
      <c r="AA15" s="294">
        <v>344.375</v>
      </c>
      <c r="AB15" s="295">
        <f t="shared" si="2"/>
        <v>14808.125</v>
      </c>
    </row>
    <row r="16" spans="2:28">
      <c r="B16">
        <v>4</v>
      </c>
      <c r="C16" s="2" t="s">
        <v>537</v>
      </c>
      <c r="D16" s="2" t="s">
        <v>538</v>
      </c>
      <c r="E16" s="2">
        <f>E81/2</f>
        <v>6</v>
      </c>
      <c r="F16" s="2" t="s">
        <v>531</v>
      </c>
      <c r="G16" s="2" t="s">
        <v>532</v>
      </c>
      <c r="H16" s="2" t="s">
        <v>533</v>
      </c>
      <c r="I16" s="294">
        <f t="shared" si="0"/>
        <v>490.5</v>
      </c>
      <c r="J16" s="295">
        <f>(J81/2)*$F$11</f>
        <v>2943</v>
      </c>
      <c r="L16" s="2" t="s">
        <v>537</v>
      </c>
      <c r="M16" s="2" t="s">
        <v>538</v>
      </c>
      <c r="N16" s="296">
        <f>E16*$N$11</f>
        <v>8.1818181818181834</v>
      </c>
      <c r="O16" s="2" t="s">
        <v>531</v>
      </c>
      <c r="P16" s="2" t="s">
        <v>532</v>
      </c>
      <c r="Q16" s="2" t="s">
        <v>533</v>
      </c>
      <c r="R16" s="294">
        <v>490.5</v>
      </c>
      <c r="S16" s="297">
        <f>N16*R16</f>
        <v>4013.1818181818189</v>
      </c>
      <c r="U16" s="2" t="s">
        <v>537</v>
      </c>
      <c r="V16" s="2" t="s">
        <v>538</v>
      </c>
      <c r="W16" s="296">
        <v>0</v>
      </c>
      <c r="X16" s="2" t="s">
        <v>531</v>
      </c>
      <c r="Y16" s="2" t="s">
        <v>532</v>
      </c>
      <c r="Z16" s="2" t="s">
        <v>533</v>
      </c>
      <c r="AA16" s="294">
        <v>490.5</v>
      </c>
      <c r="AB16" s="297">
        <f>W16*AA16</f>
        <v>0</v>
      </c>
    </row>
    <row r="17" spans="2:28">
      <c r="B17">
        <v>5</v>
      </c>
      <c r="C17" s="2" t="s">
        <v>537</v>
      </c>
      <c r="D17" s="2" t="s">
        <v>539</v>
      </c>
      <c r="E17" s="2">
        <f>E82/2</f>
        <v>6</v>
      </c>
      <c r="F17" s="2" t="s">
        <v>531</v>
      </c>
      <c r="G17" s="2" t="s">
        <v>532</v>
      </c>
      <c r="H17" s="2" t="s">
        <v>533</v>
      </c>
      <c r="I17" s="294">
        <f t="shared" si="0"/>
        <v>490.5</v>
      </c>
      <c r="J17" s="295">
        <f>(J82/2)*$F$11</f>
        <v>2943</v>
      </c>
      <c r="L17" s="2" t="s">
        <v>537</v>
      </c>
      <c r="M17" s="2" t="s">
        <v>539</v>
      </c>
      <c r="N17" s="296">
        <f>E17*$N$11</f>
        <v>8.1818181818181834</v>
      </c>
      <c r="O17" s="2" t="s">
        <v>531</v>
      </c>
      <c r="P17" s="2" t="s">
        <v>532</v>
      </c>
      <c r="Q17" s="2" t="s">
        <v>533</v>
      </c>
      <c r="R17" s="294">
        <v>490.5</v>
      </c>
      <c r="S17" s="297">
        <f>N17*R17</f>
        <v>4013.1818181818189</v>
      </c>
      <c r="U17" s="2" t="s">
        <v>537</v>
      </c>
      <c r="V17" s="2" t="s">
        <v>539</v>
      </c>
      <c r="W17" s="296">
        <v>0</v>
      </c>
      <c r="X17" s="2" t="s">
        <v>531</v>
      </c>
      <c r="Y17" s="2" t="s">
        <v>532</v>
      </c>
      <c r="Z17" s="2" t="s">
        <v>533</v>
      </c>
      <c r="AA17" s="294">
        <v>490.5</v>
      </c>
      <c r="AB17" s="297">
        <f>W17*AA17</f>
        <v>0</v>
      </c>
    </row>
    <row r="18" spans="2:28">
      <c r="B18">
        <v>6</v>
      </c>
      <c r="C18" s="2"/>
      <c r="D18" s="2"/>
      <c r="E18" s="2"/>
      <c r="F18" s="2"/>
      <c r="G18" s="2"/>
      <c r="H18" s="2"/>
      <c r="I18" s="295"/>
      <c r="J18" s="295"/>
      <c r="L18" s="2"/>
      <c r="M18" s="2"/>
      <c r="N18" s="296"/>
      <c r="O18" s="2"/>
      <c r="P18" s="2"/>
      <c r="Q18" s="2"/>
      <c r="R18" s="295"/>
      <c r="S18" s="295"/>
      <c r="U18" s="2"/>
      <c r="V18" s="2"/>
      <c r="W18" s="296"/>
      <c r="X18" s="2"/>
      <c r="Y18" s="2"/>
      <c r="Z18" s="2"/>
      <c r="AA18" s="295"/>
      <c r="AB18" s="295"/>
    </row>
    <row r="19" spans="2:28">
      <c r="B19">
        <v>7</v>
      </c>
      <c r="C19" s="2" t="s">
        <v>540</v>
      </c>
      <c r="D19" s="2" t="s">
        <v>541</v>
      </c>
      <c r="E19" s="2">
        <f t="shared" ref="E19:E40" si="3">E84/2</f>
        <v>1</v>
      </c>
      <c r="F19" s="2" t="s">
        <v>542</v>
      </c>
      <c r="G19" s="2" t="s">
        <v>543</v>
      </c>
      <c r="H19" s="2" t="s">
        <v>533</v>
      </c>
      <c r="I19" s="294">
        <f t="shared" si="0"/>
        <v>10531.25</v>
      </c>
      <c r="J19" s="295">
        <f t="shared" ref="J19:J25" si="4">(J84/2)*$F$11</f>
        <v>10531.25</v>
      </c>
      <c r="L19" s="2" t="s">
        <v>540</v>
      </c>
      <c r="M19" s="2" t="s">
        <v>541</v>
      </c>
      <c r="N19" s="296">
        <f t="shared" ref="N19:N40" si="5">E19*$N$11</f>
        <v>1.3636363636363638</v>
      </c>
      <c r="O19" s="2" t="s">
        <v>542</v>
      </c>
      <c r="P19" s="2" t="s">
        <v>543</v>
      </c>
      <c r="Q19" s="2" t="s">
        <v>533</v>
      </c>
      <c r="R19" s="294">
        <f>I19*N$11</f>
        <v>14360.795454545456</v>
      </c>
      <c r="S19" s="297">
        <f>N19*R19</f>
        <v>19582.902892561986</v>
      </c>
      <c r="U19" s="2" t="s">
        <v>540</v>
      </c>
      <c r="V19" s="2" t="s">
        <v>541</v>
      </c>
      <c r="W19" s="296">
        <v>1</v>
      </c>
      <c r="X19" s="2" t="s">
        <v>542</v>
      </c>
      <c r="Y19" s="2" t="s">
        <v>543</v>
      </c>
      <c r="Z19" s="2" t="s">
        <v>533</v>
      </c>
      <c r="AA19" s="294">
        <f>R19*W$11</f>
        <v>19582.902892561986</v>
      </c>
      <c r="AB19" s="297">
        <f>W19*AA19</f>
        <v>19582.902892561986</v>
      </c>
    </row>
    <row r="20" spans="2:28">
      <c r="B20">
        <v>8</v>
      </c>
      <c r="C20" s="2" t="s">
        <v>55</v>
      </c>
      <c r="D20" s="2" t="s">
        <v>544</v>
      </c>
      <c r="E20" s="2">
        <f t="shared" si="3"/>
        <v>1</v>
      </c>
      <c r="F20" s="2" t="s">
        <v>542</v>
      </c>
      <c r="G20" s="2" t="s">
        <v>543</v>
      </c>
      <c r="H20" s="2" t="s">
        <v>533</v>
      </c>
      <c r="I20" s="294">
        <f t="shared" si="0"/>
        <v>17843.75</v>
      </c>
      <c r="J20" s="295">
        <f t="shared" si="4"/>
        <v>17843.75</v>
      </c>
      <c r="L20" s="2" t="s">
        <v>55</v>
      </c>
      <c r="M20" s="2" t="s">
        <v>544</v>
      </c>
      <c r="N20" s="296">
        <f t="shared" si="5"/>
        <v>1.3636363636363638</v>
      </c>
      <c r="O20" s="2" t="s">
        <v>542</v>
      </c>
      <c r="P20" s="2" t="s">
        <v>543</v>
      </c>
      <c r="Q20" s="2" t="s">
        <v>533</v>
      </c>
      <c r="R20" s="294">
        <f>I20*N$11</f>
        <v>24332.386363636368</v>
      </c>
      <c r="S20" s="297">
        <f t="shared" ref="S20:S64" si="6">N20*R20</f>
        <v>33180.526859504142</v>
      </c>
      <c r="U20" s="2" t="s">
        <v>55</v>
      </c>
      <c r="V20" s="2" t="s">
        <v>544</v>
      </c>
      <c r="W20" s="296">
        <v>1</v>
      </c>
      <c r="X20" s="2" t="s">
        <v>542</v>
      </c>
      <c r="Y20" s="2" t="s">
        <v>543</v>
      </c>
      <c r="Z20" s="2" t="s">
        <v>533</v>
      </c>
      <c r="AA20" s="294">
        <f>R20*W$11</f>
        <v>33180.526859504142</v>
      </c>
      <c r="AB20" s="297">
        <f t="shared" ref="AB20:AB40" si="7">W20*AA20</f>
        <v>33180.526859504142</v>
      </c>
    </row>
    <row r="21" spans="2:28">
      <c r="B21">
        <v>9</v>
      </c>
      <c r="C21" s="2" t="s">
        <v>545</v>
      </c>
      <c r="D21" s="2" t="s">
        <v>546</v>
      </c>
      <c r="E21" s="2">
        <f t="shared" si="3"/>
        <v>4</v>
      </c>
      <c r="F21" s="2" t="s">
        <v>542</v>
      </c>
      <c r="G21" s="2" t="s">
        <v>543</v>
      </c>
      <c r="H21" s="2" t="s">
        <v>533</v>
      </c>
      <c r="I21" s="294">
        <f t="shared" si="0"/>
        <v>2968.75</v>
      </c>
      <c r="J21" s="295">
        <f t="shared" si="4"/>
        <v>11875</v>
      </c>
      <c r="L21" s="2" t="s">
        <v>545</v>
      </c>
      <c r="M21" s="2" t="s">
        <v>546</v>
      </c>
      <c r="N21" s="296">
        <f t="shared" si="5"/>
        <v>5.454545454545455</v>
      </c>
      <c r="O21" s="2" t="s">
        <v>542</v>
      </c>
      <c r="P21" s="2" t="s">
        <v>543</v>
      </c>
      <c r="Q21" s="2" t="s">
        <v>533</v>
      </c>
      <c r="R21" s="294">
        <v>2968.75</v>
      </c>
      <c r="S21" s="297">
        <f t="shared" si="6"/>
        <v>16193.18181818182</v>
      </c>
      <c r="U21" s="2" t="s">
        <v>545</v>
      </c>
      <c r="V21" s="2" t="s">
        <v>546</v>
      </c>
      <c r="W21" s="296">
        <v>2</v>
      </c>
      <c r="X21" s="2" t="s">
        <v>542</v>
      </c>
      <c r="Y21" s="2" t="s">
        <v>543</v>
      </c>
      <c r="Z21" s="2" t="s">
        <v>533</v>
      </c>
      <c r="AA21" s="294">
        <v>2968.75</v>
      </c>
      <c r="AB21" s="297">
        <f t="shared" si="7"/>
        <v>5937.5</v>
      </c>
    </row>
    <row r="22" spans="2:28">
      <c r="B22">
        <v>10</v>
      </c>
      <c r="C22" s="2" t="s">
        <v>547</v>
      </c>
      <c r="D22" s="2" t="s">
        <v>548</v>
      </c>
      <c r="E22" s="2">
        <f t="shared" si="3"/>
        <v>8</v>
      </c>
      <c r="F22" s="2" t="s">
        <v>542</v>
      </c>
      <c r="G22" s="2" t="s">
        <v>543</v>
      </c>
      <c r="H22" s="2" t="s">
        <v>533</v>
      </c>
      <c r="I22" s="294">
        <f t="shared" si="0"/>
        <v>431.25</v>
      </c>
      <c r="J22" s="295">
        <f t="shared" si="4"/>
        <v>3450</v>
      </c>
      <c r="L22" s="2" t="s">
        <v>547</v>
      </c>
      <c r="M22" s="2" t="s">
        <v>548</v>
      </c>
      <c r="N22" s="296">
        <f t="shared" si="5"/>
        <v>10.90909090909091</v>
      </c>
      <c r="O22" s="2" t="s">
        <v>542</v>
      </c>
      <c r="P22" s="2" t="s">
        <v>543</v>
      </c>
      <c r="Q22" s="2" t="s">
        <v>533</v>
      </c>
      <c r="R22" s="294">
        <v>431.25</v>
      </c>
      <c r="S22" s="297">
        <f t="shared" si="6"/>
        <v>4704.545454545455</v>
      </c>
      <c r="U22" s="2" t="s">
        <v>547</v>
      </c>
      <c r="V22" s="2" t="s">
        <v>548</v>
      </c>
      <c r="W22" s="296">
        <v>3</v>
      </c>
      <c r="X22" s="2" t="s">
        <v>542</v>
      </c>
      <c r="Y22" s="2" t="s">
        <v>543</v>
      </c>
      <c r="Z22" s="2" t="s">
        <v>533</v>
      </c>
      <c r="AA22" s="294">
        <v>431.25</v>
      </c>
      <c r="AB22" s="297">
        <f t="shared" si="7"/>
        <v>1293.75</v>
      </c>
    </row>
    <row r="23" spans="2:28">
      <c r="B23">
        <v>11</v>
      </c>
      <c r="C23" s="2" t="s">
        <v>547</v>
      </c>
      <c r="D23" s="2" t="s">
        <v>549</v>
      </c>
      <c r="E23" s="2">
        <f t="shared" si="3"/>
        <v>4</v>
      </c>
      <c r="F23" s="2" t="s">
        <v>542</v>
      </c>
      <c r="G23" s="2" t="s">
        <v>543</v>
      </c>
      <c r="H23" s="2" t="s">
        <v>533</v>
      </c>
      <c r="I23" s="294">
        <f t="shared" si="0"/>
        <v>431.25</v>
      </c>
      <c r="J23" s="295">
        <f t="shared" si="4"/>
        <v>1725</v>
      </c>
      <c r="L23" s="2" t="s">
        <v>547</v>
      </c>
      <c r="M23" s="2" t="s">
        <v>549</v>
      </c>
      <c r="N23" s="296">
        <f t="shared" si="5"/>
        <v>5.454545454545455</v>
      </c>
      <c r="O23" s="2" t="s">
        <v>542</v>
      </c>
      <c r="P23" s="2" t="s">
        <v>543</v>
      </c>
      <c r="Q23" s="2" t="s">
        <v>533</v>
      </c>
      <c r="R23" s="294">
        <v>431.25</v>
      </c>
      <c r="S23" s="297">
        <f t="shared" si="6"/>
        <v>2352.2727272727275</v>
      </c>
      <c r="U23" s="2" t="s">
        <v>547</v>
      </c>
      <c r="V23" s="2" t="s">
        <v>549</v>
      </c>
      <c r="W23" s="296">
        <v>2</v>
      </c>
      <c r="X23" s="2" t="s">
        <v>542</v>
      </c>
      <c r="Y23" s="2" t="s">
        <v>543</v>
      </c>
      <c r="Z23" s="2" t="s">
        <v>533</v>
      </c>
      <c r="AA23" s="294">
        <v>431.25</v>
      </c>
      <c r="AB23" s="297">
        <f t="shared" si="7"/>
        <v>862.5</v>
      </c>
    </row>
    <row r="24" spans="2:28">
      <c r="B24">
        <v>12</v>
      </c>
      <c r="C24" s="2" t="s">
        <v>550</v>
      </c>
      <c r="D24" s="2" t="s">
        <v>551</v>
      </c>
      <c r="E24" s="2">
        <f t="shared" si="3"/>
        <v>2</v>
      </c>
      <c r="F24" s="2" t="s">
        <v>542</v>
      </c>
      <c r="G24" s="2" t="s">
        <v>543</v>
      </c>
      <c r="H24" s="2" t="s">
        <v>533</v>
      </c>
      <c r="I24" s="294">
        <f t="shared" si="0"/>
        <v>900</v>
      </c>
      <c r="J24" s="295">
        <f t="shared" si="4"/>
        <v>1800</v>
      </c>
      <c r="L24" s="2" t="s">
        <v>550</v>
      </c>
      <c r="M24" s="2" t="s">
        <v>551</v>
      </c>
      <c r="N24" s="296">
        <f t="shared" si="5"/>
        <v>2.7272727272727275</v>
      </c>
      <c r="O24" s="2" t="s">
        <v>542</v>
      </c>
      <c r="P24" s="2" t="s">
        <v>543</v>
      </c>
      <c r="Q24" s="2" t="s">
        <v>533</v>
      </c>
      <c r="R24" s="294">
        <v>900</v>
      </c>
      <c r="S24" s="297">
        <f t="shared" si="6"/>
        <v>2454.545454545455</v>
      </c>
      <c r="U24" s="2" t="s">
        <v>550</v>
      </c>
      <c r="V24" s="2" t="s">
        <v>551</v>
      </c>
      <c r="W24" s="296">
        <v>0</v>
      </c>
      <c r="X24" s="2" t="s">
        <v>542</v>
      </c>
      <c r="Y24" s="2" t="s">
        <v>543</v>
      </c>
      <c r="Z24" s="2" t="s">
        <v>533</v>
      </c>
      <c r="AA24" s="294">
        <v>900</v>
      </c>
      <c r="AB24" s="297">
        <f t="shared" si="7"/>
        <v>0</v>
      </c>
    </row>
    <row r="25" spans="2:28">
      <c r="B25">
        <v>13</v>
      </c>
      <c r="C25" s="2" t="s">
        <v>552</v>
      </c>
      <c r="D25" s="2" t="s">
        <v>553</v>
      </c>
      <c r="E25" s="2">
        <f t="shared" si="3"/>
        <v>1</v>
      </c>
      <c r="F25" s="2" t="s">
        <v>542</v>
      </c>
      <c r="G25" s="2" t="s">
        <v>543</v>
      </c>
      <c r="H25" s="2" t="s">
        <v>533</v>
      </c>
      <c r="I25" s="294">
        <f t="shared" si="0"/>
        <v>968.75</v>
      </c>
      <c r="J25" s="295">
        <f t="shared" si="4"/>
        <v>968.75</v>
      </c>
      <c r="L25" s="2" t="s">
        <v>552</v>
      </c>
      <c r="M25" s="2" t="s">
        <v>553</v>
      </c>
      <c r="N25" s="296">
        <f t="shared" si="5"/>
        <v>1.3636363636363638</v>
      </c>
      <c r="O25" s="2" t="s">
        <v>542</v>
      </c>
      <c r="P25" s="2" t="s">
        <v>543</v>
      </c>
      <c r="Q25" s="2" t="s">
        <v>533</v>
      </c>
      <c r="R25" s="294">
        <v>968.75</v>
      </c>
      <c r="S25" s="297">
        <f t="shared" si="6"/>
        <v>1321.0227272727275</v>
      </c>
      <c r="U25" s="2" t="s">
        <v>552</v>
      </c>
      <c r="V25" s="2" t="s">
        <v>553</v>
      </c>
      <c r="W25" s="296">
        <v>0</v>
      </c>
      <c r="X25" s="2" t="s">
        <v>542</v>
      </c>
      <c r="Y25" s="2" t="s">
        <v>543</v>
      </c>
      <c r="Z25" s="2" t="s">
        <v>533</v>
      </c>
      <c r="AA25" s="294">
        <v>968.75</v>
      </c>
      <c r="AB25" s="297">
        <f t="shared" si="7"/>
        <v>0</v>
      </c>
    </row>
    <row r="26" spans="2:28">
      <c r="B26">
        <v>14</v>
      </c>
      <c r="C26" s="2" t="s">
        <v>554</v>
      </c>
      <c r="D26" s="2" t="s">
        <v>555</v>
      </c>
      <c r="E26" s="2">
        <f t="shared" si="3"/>
        <v>4</v>
      </c>
      <c r="F26" s="2">
        <v>234414</v>
      </c>
      <c r="G26" s="2"/>
      <c r="H26" s="2" t="s">
        <v>533</v>
      </c>
      <c r="I26" s="294">
        <f t="shared" si="0"/>
        <v>286.5</v>
      </c>
      <c r="J26" s="295">
        <f>(I91/2)*$F$11</f>
        <v>1146</v>
      </c>
      <c r="L26" s="2" t="s">
        <v>554</v>
      </c>
      <c r="M26" s="2" t="s">
        <v>555</v>
      </c>
      <c r="N26" s="296">
        <f t="shared" si="5"/>
        <v>5.454545454545455</v>
      </c>
      <c r="O26" s="2">
        <v>234414</v>
      </c>
      <c r="P26" s="2"/>
      <c r="Q26" s="2" t="s">
        <v>533</v>
      </c>
      <c r="R26" s="294">
        <v>286.5</v>
      </c>
      <c r="S26" s="297">
        <f t="shared" si="6"/>
        <v>1562.727272727273</v>
      </c>
      <c r="U26" s="2" t="s">
        <v>554</v>
      </c>
      <c r="V26" s="2" t="s">
        <v>555</v>
      </c>
      <c r="W26" s="296">
        <v>2</v>
      </c>
      <c r="X26" s="2">
        <v>234414</v>
      </c>
      <c r="Y26" s="2"/>
      <c r="Z26" s="2" t="s">
        <v>533</v>
      </c>
      <c r="AA26" s="294">
        <v>286.5</v>
      </c>
      <c r="AB26" s="297">
        <f t="shared" si="7"/>
        <v>573</v>
      </c>
    </row>
    <row r="27" spans="2:28">
      <c r="B27">
        <v>15</v>
      </c>
      <c r="C27" s="2" t="s">
        <v>556</v>
      </c>
      <c r="D27" s="2" t="s">
        <v>557</v>
      </c>
      <c r="E27" s="2">
        <f t="shared" si="3"/>
        <v>2</v>
      </c>
      <c r="F27" s="2">
        <v>234414</v>
      </c>
      <c r="G27" s="2"/>
      <c r="H27" s="2" t="s">
        <v>533</v>
      </c>
      <c r="I27" s="294">
        <f t="shared" si="0"/>
        <v>430.25</v>
      </c>
      <c r="J27" s="295">
        <f>(I92/2)*$F$11</f>
        <v>860.5</v>
      </c>
      <c r="L27" s="2" t="s">
        <v>556</v>
      </c>
      <c r="M27" s="2" t="s">
        <v>557</v>
      </c>
      <c r="N27" s="296">
        <f t="shared" si="5"/>
        <v>2.7272727272727275</v>
      </c>
      <c r="O27" s="2">
        <v>234414</v>
      </c>
      <c r="P27" s="2"/>
      <c r="Q27" s="2" t="s">
        <v>533</v>
      </c>
      <c r="R27" s="294">
        <v>430.25</v>
      </c>
      <c r="S27" s="297">
        <f t="shared" si="6"/>
        <v>1173.409090909091</v>
      </c>
      <c r="U27" s="2" t="s">
        <v>556</v>
      </c>
      <c r="V27" s="2" t="s">
        <v>557</v>
      </c>
      <c r="W27" s="296">
        <v>1</v>
      </c>
      <c r="X27" s="2">
        <v>234414</v>
      </c>
      <c r="Y27" s="2"/>
      <c r="Z27" s="2" t="s">
        <v>533</v>
      </c>
      <c r="AA27" s="294">
        <v>430.25</v>
      </c>
      <c r="AB27" s="297">
        <f t="shared" si="7"/>
        <v>430.25</v>
      </c>
    </row>
    <row r="28" spans="2:28">
      <c r="B28">
        <v>16</v>
      </c>
      <c r="C28" s="2" t="s">
        <v>558</v>
      </c>
      <c r="D28" s="2" t="s">
        <v>559</v>
      </c>
      <c r="E28" s="2">
        <f t="shared" si="3"/>
        <v>2</v>
      </c>
      <c r="F28" s="2" t="s">
        <v>542</v>
      </c>
      <c r="G28" s="2" t="s">
        <v>543</v>
      </c>
      <c r="H28" s="2" t="s">
        <v>533</v>
      </c>
      <c r="I28" s="294">
        <f t="shared" si="0"/>
        <v>150</v>
      </c>
      <c r="J28" s="295">
        <f t="shared" ref="J28:J40" si="8">(J93/2)*$F$11</f>
        <v>300</v>
      </c>
      <c r="L28" s="2" t="s">
        <v>558</v>
      </c>
      <c r="M28" s="2" t="s">
        <v>559</v>
      </c>
      <c r="N28" s="296">
        <f t="shared" si="5"/>
        <v>2.7272727272727275</v>
      </c>
      <c r="O28" s="2" t="s">
        <v>542</v>
      </c>
      <c r="P28" s="2" t="s">
        <v>543</v>
      </c>
      <c r="Q28" s="2" t="s">
        <v>533</v>
      </c>
      <c r="R28" s="294">
        <v>150</v>
      </c>
      <c r="S28" s="297">
        <f t="shared" si="6"/>
        <v>409.09090909090912</v>
      </c>
      <c r="U28" s="2" t="s">
        <v>558</v>
      </c>
      <c r="V28" s="2" t="s">
        <v>559</v>
      </c>
      <c r="W28" s="296">
        <v>2</v>
      </c>
      <c r="X28" s="2" t="s">
        <v>542</v>
      </c>
      <c r="Y28" s="2" t="s">
        <v>543</v>
      </c>
      <c r="Z28" s="2" t="s">
        <v>533</v>
      </c>
      <c r="AA28" s="294">
        <v>150</v>
      </c>
      <c r="AB28" s="297">
        <f t="shared" si="7"/>
        <v>300</v>
      </c>
    </row>
    <row r="29" spans="2:28">
      <c r="B29">
        <v>17</v>
      </c>
      <c r="C29" s="2" t="s">
        <v>560</v>
      </c>
      <c r="D29" s="2" t="s">
        <v>561</v>
      </c>
      <c r="E29" s="2">
        <f t="shared" si="3"/>
        <v>4</v>
      </c>
      <c r="F29" s="2" t="s">
        <v>542</v>
      </c>
      <c r="G29" s="2" t="s">
        <v>543</v>
      </c>
      <c r="H29" s="2" t="s">
        <v>533</v>
      </c>
      <c r="I29" s="294">
        <f t="shared" si="0"/>
        <v>485</v>
      </c>
      <c r="J29" s="295">
        <f t="shared" si="8"/>
        <v>1940</v>
      </c>
      <c r="L29" s="2" t="s">
        <v>560</v>
      </c>
      <c r="M29" s="2" t="s">
        <v>561</v>
      </c>
      <c r="N29" s="296">
        <f t="shared" si="5"/>
        <v>5.454545454545455</v>
      </c>
      <c r="O29" s="2" t="s">
        <v>542</v>
      </c>
      <c r="P29" s="2" t="s">
        <v>543</v>
      </c>
      <c r="Q29" s="2" t="s">
        <v>533</v>
      </c>
      <c r="R29" s="294">
        <v>485</v>
      </c>
      <c r="S29" s="297">
        <f t="shared" si="6"/>
        <v>2645.4545454545455</v>
      </c>
      <c r="U29" s="2" t="s">
        <v>560</v>
      </c>
      <c r="V29" s="2" t="s">
        <v>561</v>
      </c>
      <c r="W29" s="296">
        <v>0</v>
      </c>
      <c r="X29" s="2" t="s">
        <v>542</v>
      </c>
      <c r="Y29" s="2" t="s">
        <v>543</v>
      </c>
      <c r="Z29" s="2" t="s">
        <v>533</v>
      </c>
      <c r="AA29" s="294">
        <v>485</v>
      </c>
      <c r="AB29" s="297">
        <f t="shared" si="7"/>
        <v>0</v>
      </c>
    </row>
    <row r="30" spans="2:28">
      <c r="B30">
        <v>18</v>
      </c>
      <c r="C30" s="2" t="s">
        <v>562</v>
      </c>
      <c r="D30" s="2" t="s">
        <v>563</v>
      </c>
      <c r="E30" s="2">
        <f t="shared" si="3"/>
        <v>12</v>
      </c>
      <c r="F30" s="2" t="s">
        <v>542</v>
      </c>
      <c r="G30" s="2" t="s">
        <v>543</v>
      </c>
      <c r="H30" s="2" t="s">
        <v>533</v>
      </c>
      <c r="I30" s="294">
        <f t="shared" si="0"/>
        <v>22.5</v>
      </c>
      <c r="J30" s="295">
        <f t="shared" si="8"/>
        <v>270</v>
      </c>
      <c r="L30" s="2" t="s">
        <v>562</v>
      </c>
      <c r="M30" s="2" t="s">
        <v>563</v>
      </c>
      <c r="N30" s="296">
        <f t="shared" si="5"/>
        <v>16.363636363636367</v>
      </c>
      <c r="O30" s="2" t="s">
        <v>542</v>
      </c>
      <c r="P30" s="2" t="s">
        <v>543</v>
      </c>
      <c r="Q30" s="2" t="s">
        <v>533</v>
      </c>
      <c r="R30" s="294">
        <v>22.5</v>
      </c>
      <c r="S30" s="297">
        <f t="shared" si="6"/>
        <v>368.18181818181824</v>
      </c>
      <c r="U30" s="2" t="s">
        <v>562</v>
      </c>
      <c r="V30" s="2" t="s">
        <v>563</v>
      </c>
      <c r="W30" s="296">
        <v>5</v>
      </c>
      <c r="X30" s="2" t="s">
        <v>542</v>
      </c>
      <c r="Y30" s="2" t="s">
        <v>543</v>
      </c>
      <c r="Z30" s="2" t="s">
        <v>533</v>
      </c>
      <c r="AA30" s="294">
        <v>22.5</v>
      </c>
      <c r="AB30" s="297">
        <f t="shared" si="7"/>
        <v>112.5</v>
      </c>
    </row>
    <row r="31" spans="2:28">
      <c r="B31">
        <v>19</v>
      </c>
      <c r="C31" s="2" t="s">
        <v>564</v>
      </c>
      <c r="D31" s="2" t="s">
        <v>565</v>
      </c>
      <c r="E31" s="2">
        <f t="shared" si="3"/>
        <v>6</v>
      </c>
      <c r="F31" s="2" t="s">
        <v>542</v>
      </c>
      <c r="G31" s="2" t="s">
        <v>543</v>
      </c>
      <c r="H31" s="2" t="s">
        <v>533</v>
      </c>
      <c r="I31" s="294">
        <f t="shared" si="0"/>
        <v>35</v>
      </c>
      <c r="J31" s="295">
        <f t="shared" si="8"/>
        <v>210</v>
      </c>
      <c r="L31" s="2" t="s">
        <v>564</v>
      </c>
      <c r="M31" s="2" t="s">
        <v>565</v>
      </c>
      <c r="N31" s="296">
        <f t="shared" si="5"/>
        <v>8.1818181818181834</v>
      </c>
      <c r="O31" s="2" t="s">
        <v>542</v>
      </c>
      <c r="P31" s="2" t="s">
        <v>543</v>
      </c>
      <c r="Q31" s="2" t="s">
        <v>533</v>
      </c>
      <c r="R31" s="294">
        <v>35</v>
      </c>
      <c r="S31" s="297">
        <f t="shared" si="6"/>
        <v>286.36363636363643</v>
      </c>
      <c r="U31" s="2" t="s">
        <v>564</v>
      </c>
      <c r="V31" s="2" t="s">
        <v>565</v>
      </c>
      <c r="W31" s="296">
        <v>3</v>
      </c>
      <c r="X31" s="2" t="s">
        <v>542</v>
      </c>
      <c r="Y31" s="2" t="s">
        <v>543</v>
      </c>
      <c r="Z31" s="2" t="s">
        <v>533</v>
      </c>
      <c r="AA31" s="294">
        <v>35</v>
      </c>
      <c r="AB31" s="297">
        <f t="shared" si="7"/>
        <v>105</v>
      </c>
    </row>
    <row r="32" spans="2:28">
      <c r="B32">
        <v>20</v>
      </c>
      <c r="C32" s="2" t="s">
        <v>566</v>
      </c>
      <c r="D32" s="2" t="s">
        <v>567</v>
      </c>
      <c r="E32" s="2">
        <f t="shared" si="3"/>
        <v>6</v>
      </c>
      <c r="F32" s="2" t="s">
        <v>542</v>
      </c>
      <c r="G32" s="2" t="s">
        <v>543</v>
      </c>
      <c r="H32" s="2" t="s">
        <v>533</v>
      </c>
      <c r="I32" s="294">
        <f t="shared" si="0"/>
        <v>43.75</v>
      </c>
      <c r="J32" s="295">
        <f t="shared" si="8"/>
        <v>262.5</v>
      </c>
      <c r="L32" s="2" t="s">
        <v>566</v>
      </c>
      <c r="M32" s="2" t="s">
        <v>567</v>
      </c>
      <c r="N32" s="296">
        <f t="shared" si="5"/>
        <v>8.1818181818181834</v>
      </c>
      <c r="O32" s="2" t="s">
        <v>542</v>
      </c>
      <c r="P32" s="2" t="s">
        <v>543</v>
      </c>
      <c r="Q32" s="2" t="s">
        <v>533</v>
      </c>
      <c r="R32" s="294">
        <v>43.75</v>
      </c>
      <c r="S32" s="297">
        <f t="shared" si="6"/>
        <v>357.95454545454555</v>
      </c>
      <c r="U32" s="2" t="s">
        <v>566</v>
      </c>
      <c r="V32" s="2" t="s">
        <v>567</v>
      </c>
      <c r="W32" s="296">
        <v>3</v>
      </c>
      <c r="X32" s="2" t="s">
        <v>542</v>
      </c>
      <c r="Y32" s="2" t="s">
        <v>543</v>
      </c>
      <c r="Z32" s="2" t="s">
        <v>533</v>
      </c>
      <c r="AA32" s="294">
        <v>43.75</v>
      </c>
      <c r="AB32" s="297">
        <f t="shared" si="7"/>
        <v>131.25</v>
      </c>
    </row>
    <row r="33" spans="2:28">
      <c r="B33">
        <v>21</v>
      </c>
      <c r="C33" s="2" t="s">
        <v>55</v>
      </c>
      <c r="D33" s="2" t="s">
        <v>568</v>
      </c>
      <c r="E33" s="2">
        <f t="shared" si="3"/>
        <v>1</v>
      </c>
      <c r="F33" s="2" t="s">
        <v>542</v>
      </c>
      <c r="G33" s="2" t="s">
        <v>543</v>
      </c>
      <c r="H33" s="2" t="s">
        <v>533</v>
      </c>
      <c r="I33" s="294">
        <f t="shared" si="0"/>
        <v>9593.75</v>
      </c>
      <c r="J33" s="295">
        <f t="shared" si="8"/>
        <v>9593.75</v>
      </c>
      <c r="L33" s="2" t="s">
        <v>55</v>
      </c>
      <c r="M33" s="2" t="s">
        <v>568</v>
      </c>
      <c r="N33" s="296">
        <f t="shared" si="5"/>
        <v>1.3636363636363638</v>
      </c>
      <c r="O33" s="2" t="s">
        <v>542</v>
      </c>
      <c r="P33" s="2" t="s">
        <v>543</v>
      </c>
      <c r="Q33" s="2" t="s">
        <v>533</v>
      </c>
      <c r="R33" s="294">
        <v>9593.75</v>
      </c>
      <c r="S33" s="297">
        <f t="shared" si="6"/>
        <v>13082.386363636364</v>
      </c>
      <c r="U33" s="2" t="s">
        <v>55</v>
      </c>
      <c r="V33" s="2" t="s">
        <v>568</v>
      </c>
      <c r="W33" s="296">
        <v>0</v>
      </c>
      <c r="X33" s="2" t="s">
        <v>542</v>
      </c>
      <c r="Y33" s="2" t="s">
        <v>543</v>
      </c>
      <c r="Z33" s="2" t="s">
        <v>533</v>
      </c>
      <c r="AA33" s="294">
        <v>9593.75</v>
      </c>
      <c r="AB33" s="297">
        <f t="shared" si="7"/>
        <v>0</v>
      </c>
    </row>
    <row r="34" spans="2:28">
      <c r="B34">
        <v>22</v>
      </c>
      <c r="C34" s="2" t="s">
        <v>569</v>
      </c>
      <c r="D34" s="2" t="s">
        <v>570</v>
      </c>
      <c r="E34" s="2">
        <f t="shared" si="3"/>
        <v>1</v>
      </c>
      <c r="F34" s="2" t="s">
        <v>542</v>
      </c>
      <c r="G34" s="2" t="s">
        <v>543</v>
      </c>
      <c r="H34" s="2" t="s">
        <v>533</v>
      </c>
      <c r="I34" s="294">
        <f t="shared" si="0"/>
        <v>1043.75</v>
      </c>
      <c r="J34" s="295">
        <f t="shared" si="8"/>
        <v>1043.75</v>
      </c>
      <c r="L34" s="2" t="s">
        <v>569</v>
      </c>
      <c r="M34" s="2" t="s">
        <v>570</v>
      </c>
      <c r="N34" s="296">
        <f t="shared" si="5"/>
        <v>1.3636363636363638</v>
      </c>
      <c r="O34" s="2" t="s">
        <v>542</v>
      </c>
      <c r="P34" s="2" t="s">
        <v>543</v>
      </c>
      <c r="Q34" s="2" t="s">
        <v>533</v>
      </c>
      <c r="R34" s="294">
        <v>1043.75</v>
      </c>
      <c r="S34" s="297">
        <f t="shared" si="6"/>
        <v>1423.2954545454547</v>
      </c>
      <c r="U34" s="2" t="s">
        <v>569</v>
      </c>
      <c r="V34" s="2" t="s">
        <v>570</v>
      </c>
      <c r="W34" s="296">
        <v>0</v>
      </c>
      <c r="X34" s="2" t="s">
        <v>542</v>
      </c>
      <c r="Y34" s="2" t="s">
        <v>543</v>
      </c>
      <c r="Z34" s="2" t="s">
        <v>533</v>
      </c>
      <c r="AA34" s="294">
        <v>1043.75</v>
      </c>
      <c r="AB34" s="297">
        <f t="shared" si="7"/>
        <v>0</v>
      </c>
    </row>
    <row r="35" spans="2:28">
      <c r="B35">
        <v>23</v>
      </c>
      <c r="C35" s="2" t="s">
        <v>540</v>
      </c>
      <c r="D35" s="2" t="s">
        <v>571</v>
      </c>
      <c r="E35" s="2">
        <f t="shared" si="3"/>
        <v>1</v>
      </c>
      <c r="F35" s="2" t="s">
        <v>542</v>
      </c>
      <c r="G35" s="2" t="s">
        <v>543</v>
      </c>
      <c r="H35" s="2" t="s">
        <v>533</v>
      </c>
      <c r="I35" s="294">
        <f t="shared" si="0"/>
        <v>15356.25</v>
      </c>
      <c r="J35" s="295">
        <f t="shared" si="8"/>
        <v>15356.25</v>
      </c>
      <c r="L35" s="2" t="s">
        <v>540</v>
      </c>
      <c r="M35" s="2" t="s">
        <v>571</v>
      </c>
      <c r="N35" s="296">
        <f t="shared" si="5"/>
        <v>1.3636363636363638</v>
      </c>
      <c r="O35" s="2" t="s">
        <v>542</v>
      </c>
      <c r="P35" s="2" t="s">
        <v>543</v>
      </c>
      <c r="Q35" s="2" t="s">
        <v>533</v>
      </c>
      <c r="R35" s="294">
        <v>15356.25</v>
      </c>
      <c r="S35" s="297">
        <f t="shared" si="6"/>
        <v>20940.340909090912</v>
      </c>
      <c r="U35" s="2" t="s">
        <v>540</v>
      </c>
      <c r="V35" s="2" t="s">
        <v>571</v>
      </c>
      <c r="W35" s="296">
        <v>0</v>
      </c>
      <c r="X35" s="2" t="s">
        <v>542</v>
      </c>
      <c r="Y35" s="2" t="s">
        <v>543</v>
      </c>
      <c r="Z35" s="2" t="s">
        <v>533</v>
      </c>
      <c r="AA35" s="294">
        <v>15356.25</v>
      </c>
      <c r="AB35" s="297">
        <f t="shared" si="7"/>
        <v>0</v>
      </c>
    </row>
    <row r="36" spans="2:28">
      <c r="B36">
        <v>24</v>
      </c>
      <c r="C36" s="2" t="s">
        <v>572</v>
      </c>
      <c r="D36" s="2" t="s">
        <v>573</v>
      </c>
      <c r="E36" s="2">
        <f t="shared" si="3"/>
        <v>16</v>
      </c>
      <c r="F36" s="2" t="s">
        <v>542</v>
      </c>
      <c r="G36" s="2" t="s">
        <v>543</v>
      </c>
      <c r="H36" s="2" t="s">
        <v>533</v>
      </c>
      <c r="I36" s="294">
        <f t="shared" si="0"/>
        <v>47.5</v>
      </c>
      <c r="J36" s="295">
        <f t="shared" si="8"/>
        <v>760</v>
      </c>
      <c r="L36" s="2" t="s">
        <v>572</v>
      </c>
      <c r="M36" s="2" t="s">
        <v>573</v>
      </c>
      <c r="N36" s="296">
        <f t="shared" si="5"/>
        <v>21.81818181818182</v>
      </c>
      <c r="O36" s="2" t="s">
        <v>542</v>
      </c>
      <c r="P36" s="2" t="s">
        <v>543</v>
      </c>
      <c r="Q36" s="2" t="s">
        <v>533</v>
      </c>
      <c r="R36" s="294">
        <v>47.5</v>
      </c>
      <c r="S36" s="297">
        <f t="shared" si="6"/>
        <v>1036.3636363636365</v>
      </c>
      <c r="U36" s="2" t="s">
        <v>572</v>
      </c>
      <c r="V36" s="2" t="s">
        <v>573</v>
      </c>
      <c r="W36" s="296">
        <v>6</v>
      </c>
      <c r="X36" s="2" t="s">
        <v>542</v>
      </c>
      <c r="Y36" s="2" t="s">
        <v>543</v>
      </c>
      <c r="Z36" s="2" t="s">
        <v>533</v>
      </c>
      <c r="AA36" s="294">
        <v>47.5</v>
      </c>
      <c r="AB36" s="297">
        <f t="shared" si="7"/>
        <v>285</v>
      </c>
    </row>
    <row r="37" spans="2:28">
      <c r="B37">
        <v>25</v>
      </c>
      <c r="C37" s="2" t="s">
        <v>574</v>
      </c>
      <c r="D37" s="2" t="s">
        <v>575</v>
      </c>
      <c r="E37" s="2">
        <f t="shared" si="3"/>
        <v>12</v>
      </c>
      <c r="F37" s="2" t="s">
        <v>542</v>
      </c>
      <c r="G37" s="2" t="s">
        <v>543</v>
      </c>
      <c r="H37" s="2" t="s">
        <v>533</v>
      </c>
      <c r="I37" s="294">
        <f t="shared" si="0"/>
        <v>28.75</v>
      </c>
      <c r="J37" s="295">
        <f t="shared" si="8"/>
        <v>345</v>
      </c>
      <c r="L37" s="2" t="s">
        <v>574</v>
      </c>
      <c r="M37" s="2" t="s">
        <v>575</v>
      </c>
      <c r="N37" s="296">
        <f t="shared" si="5"/>
        <v>16.363636363636367</v>
      </c>
      <c r="O37" s="2" t="s">
        <v>542</v>
      </c>
      <c r="P37" s="2" t="s">
        <v>543</v>
      </c>
      <c r="Q37" s="2" t="s">
        <v>533</v>
      </c>
      <c r="R37" s="294">
        <v>28.75</v>
      </c>
      <c r="S37" s="297">
        <f t="shared" si="6"/>
        <v>470.45454545454555</v>
      </c>
      <c r="U37" s="2" t="s">
        <v>574</v>
      </c>
      <c r="V37" s="2" t="s">
        <v>575</v>
      </c>
      <c r="W37" s="296">
        <v>5</v>
      </c>
      <c r="X37" s="2" t="s">
        <v>542</v>
      </c>
      <c r="Y37" s="2" t="s">
        <v>543</v>
      </c>
      <c r="Z37" s="2" t="s">
        <v>533</v>
      </c>
      <c r="AA37" s="294">
        <v>28.75</v>
      </c>
      <c r="AB37" s="297">
        <f t="shared" si="7"/>
        <v>143.75</v>
      </c>
    </row>
    <row r="38" spans="2:28">
      <c r="B38">
        <v>26</v>
      </c>
      <c r="C38" s="2" t="s">
        <v>576</v>
      </c>
      <c r="D38" s="2" t="s">
        <v>577</v>
      </c>
      <c r="E38" s="2">
        <f t="shared" si="3"/>
        <v>2</v>
      </c>
      <c r="F38" s="2" t="s">
        <v>542</v>
      </c>
      <c r="G38" s="2" t="s">
        <v>543</v>
      </c>
      <c r="H38" s="2" t="s">
        <v>533</v>
      </c>
      <c r="I38" s="294">
        <f t="shared" si="0"/>
        <v>75</v>
      </c>
      <c r="J38" s="295">
        <f t="shared" si="8"/>
        <v>150</v>
      </c>
      <c r="L38" s="2" t="s">
        <v>576</v>
      </c>
      <c r="M38" s="2" t="s">
        <v>577</v>
      </c>
      <c r="N38" s="296">
        <f t="shared" si="5"/>
        <v>2.7272727272727275</v>
      </c>
      <c r="O38" s="2" t="s">
        <v>542</v>
      </c>
      <c r="P38" s="2" t="s">
        <v>543</v>
      </c>
      <c r="Q38" s="2" t="s">
        <v>533</v>
      </c>
      <c r="R38" s="294">
        <v>75</v>
      </c>
      <c r="S38" s="297">
        <f t="shared" si="6"/>
        <v>204.54545454545456</v>
      </c>
      <c r="U38" s="2" t="s">
        <v>576</v>
      </c>
      <c r="V38" s="2" t="s">
        <v>577</v>
      </c>
      <c r="W38" s="296">
        <v>1</v>
      </c>
      <c r="X38" s="2" t="s">
        <v>542</v>
      </c>
      <c r="Y38" s="2" t="s">
        <v>543</v>
      </c>
      <c r="Z38" s="2" t="s">
        <v>533</v>
      </c>
      <c r="AA38" s="294">
        <v>75</v>
      </c>
      <c r="AB38" s="297">
        <f t="shared" si="7"/>
        <v>75</v>
      </c>
    </row>
    <row r="39" spans="2:28">
      <c r="B39">
        <v>27</v>
      </c>
      <c r="C39" s="2" t="s">
        <v>578</v>
      </c>
      <c r="D39" s="2" t="s">
        <v>579</v>
      </c>
      <c r="E39" s="2">
        <f t="shared" si="3"/>
        <v>2</v>
      </c>
      <c r="F39" s="2" t="s">
        <v>542</v>
      </c>
      <c r="G39" s="2" t="s">
        <v>543</v>
      </c>
      <c r="H39" s="2" t="s">
        <v>533</v>
      </c>
      <c r="I39" s="294">
        <f t="shared" si="0"/>
        <v>168.75</v>
      </c>
      <c r="J39" s="295">
        <f t="shared" si="8"/>
        <v>337.5</v>
      </c>
      <c r="L39" s="2" t="s">
        <v>578</v>
      </c>
      <c r="M39" s="2" t="s">
        <v>579</v>
      </c>
      <c r="N39" s="296">
        <f t="shared" si="5"/>
        <v>2.7272727272727275</v>
      </c>
      <c r="O39" s="2" t="s">
        <v>542</v>
      </c>
      <c r="P39" s="2" t="s">
        <v>543</v>
      </c>
      <c r="Q39" s="2" t="s">
        <v>533</v>
      </c>
      <c r="R39" s="294">
        <v>168.75</v>
      </c>
      <c r="S39" s="297">
        <f t="shared" si="6"/>
        <v>460.22727272727275</v>
      </c>
      <c r="U39" s="2" t="s">
        <v>578</v>
      </c>
      <c r="V39" s="2" t="s">
        <v>579</v>
      </c>
      <c r="W39" s="296">
        <v>1</v>
      </c>
      <c r="X39" s="2" t="s">
        <v>542</v>
      </c>
      <c r="Y39" s="2" t="s">
        <v>543</v>
      </c>
      <c r="Z39" s="2" t="s">
        <v>533</v>
      </c>
      <c r="AA39" s="294">
        <v>168.75</v>
      </c>
      <c r="AB39" s="297">
        <f t="shared" si="7"/>
        <v>168.75</v>
      </c>
    </row>
    <row r="40" spans="2:28">
      <c r="B40">
        <v>28</v>
      </c>
      <c r="C40" s="2" t="s">
        <v>560</v>
      </c>
      <c r="D40" s="2" t="s">
        <v>580</v>
      </c>
      <c r="E40" s="2">
        <f t="shared" si="3"/>
        <v>1</v>
      </c>
      <c r="F40" s="2" t="s">
        <v>542</v>
      </c>
      <c r="G40" s="2" t="s">
        <v>543</v>
      </c>
      <c r="H40" s="2" t="s">
        <v>533</v>
      </c>
      <c r="I40" s="294">
        <f t="shared" si="0"/>
        <v>485</v>
      </c>
      <c r="J40" s="295">
        <f t="shared" si="8"/>
        <v>485</v>
      </c>
      <c r="L40" s="2" t="s">
        <v>560</v>
      </c>
      <c r="M40" s="2" t="s">
        <v>580</v>
      </c>
      <c r="N40" s="296">
        <f t="shared" si="5"/>
        <v>1.3636363636363638</v>
      </c>
      <c r="O40" s="2" t="s">
        <v>542</v>
      </c>
      <c r="P40" s="2" t="s">
        <v>543</v>
      </c>
      <c r="Q40" s="2" t="s">
        <v>533</v>
      </c>
      <c r="R40" s="294">
        <v>485</v>
      </c>
      <c r="S40" s="297">
        <f t="shared" si="6"/>
        <v>661.36363636363637</v>
      </c>
      <c r="U40" s="2" t="s">
        <v>560</v>
      </c>
      <c r="V40" s="2" t="s">
        <v>580</v>
      </c>
      <c r="W40" s="296">
        <v>0</v>
      </c>
      <c r="X40" s="2" t="s">
        <v>542</v>
      </c>
      <c r="Y40" s="2" t="s">
        <v>543</v>
      </c>
      <c r="Z40" s="2" t="s">
        <v>533</v>
      </c>
      <c r="AA40" s="294">
        <v>485</v>
      </c>
      <c r="AB40" s="297">
        <f t="shared" si="7"/>
        <v>0</v>
      </c>
    </row>
    <row r="41" spans="2:28">
      <c r="C41" s="2"/>
      <c r="D41" s="2"/>
      <c r="E41" s="2"/>
      <c r="F41" s="2"/>
      <c r="G41" s="2"/>
      <c r="H41" s="2"/>
      <c r="I41" s="295"/>
      <c r="J41" s="295"/>
      <c r="L41" s="2"/>
      <c r="M41" s="2"/>
      <c r="N41" s="296"/>
      <c r="O41" s="2"/>
      <c r="P41" s="2"/>
      <c r="Q41" s="2"/>
      <c r="R41" s="295"/>
      <c r="S41" s="295"/>
      <c r="U41" s="2"/>
      <c r="V41" s="2"/>
      <c r="W41" s="296"/>
      <c r="X41" s="2"/>
      <c r="Y41" s="2"/>
      <c r="Z41" s="2"/>
      <c r="AA41" s="295"/>
      <c r="AB41" s="295"/>
    </row>
    <row r="42" spans="2:28">
      <c r="C42" s="2" t="s">
        <v>581</v>
      </c>
      <c r="D42" s="2" t="s">
        <v>582</v>
      </c>
      <c r="E42" s="2">
        <f>E107/2</f>
        <v>150</v>
      </c>
      <c r="F42" s="2" t="s">
        <v>583</v>
      </c>
      <c r="G42" s="2" t="s">
        <v>584</v>
      </c>
      <c r="H42" s="2" t="s">
        <v>585</v>
      </c>
      <c r="I42" s="294">
        <f t="shared" si="0"/>
        <v>0.20979999999999999</v>
      </c>
      <c r="J42" s="295">
        <f>J107/2</f>
        <v>31.47</v>
      </c>
      <c r="L42" s="2" t="s">
        <v>581</v>
      </c>
      <c r="M42" s="2" t="s">
        <v>582</v>
      </c>
      <c r="N42" s="296">
        <f t="shared" ref="N42:N62" si="9">E42*$N$11</f>
        <v>204.54545454545456</v>
      </c>
      <c r="O42" s="2" t="s">
        <v>583</v>
      </c>
      <c r="P42" s="2" t="s">
        <v>584</v>
      </c>
      <c r="Q42" s="2" t="s">
        <v>585</v>
      </c>
      <c r="R42" s="294">
        <v>0.20979999999999999</v>
      </c>
      <c r="S42" s="297">
        <f t="shared" si="6"/>
        <v>42.913636363636364</v>
      </c>
      <c r="U42" s="2" t="s">
        <v>581</v>
      </c>
      <c r="V42" s="2" t="s">
        <v>582</v>
      </c>
      <c r="W42" s="296">
        <v>54.545454545454561</v>
      </c>
      <c r="X42" s="2" t="s">
        <v>583</v>
      </c>
      <c r="Y42" s="2" t="s">
        <v>584</v>
      </c>
      <c r="Z42" s="2" t="s">
        <v>585</v>
      </c>
      <c r="AA42" s="294">
        <v>0.20979999999999999</v>
      </c>
      <c r="AB42" s="297">
        <f t="shared" ref="AB42:AB62" si="10">W42*AA42</f>
        <v>11.443636363636367</v>
      </c>
    </row>
    <row r="43" spans="2:28">
      <c r="C43" s="2" t="s">
        <v>586</v>
      </c>
      <c r="D43" s="2" t="s">
        <v>587</v>
      </c>
      <c r="E43" s="2">
        <v>168</v>
      </c>
      <c r="F43" s="2" t="s">
        <v>583</v>
      </c>
      <c r="G43" s="2" t="s">
        <v>584</v>
      </c>
      <c r="H43" s="2" t="s">
        <v>585</v>
      </c>
      <c r="I43" s="294">
        <f t="shared" si="0"/>
        <v>0.15571428571428572</v>
      </c>
      <c r="J43" s="295">
        <v>26.16</v>
      </c>
      <c r="L43" s="2" t="s">
        <v>586</v>
      </c>
      <c r="M43" s="2" t="s">
        <v>587</v>
      </c>
      <c r="N43" s="296">
        <f t="shared" si="9"/>
        <v>229.09090909090912</v>
      </c>
      <c r="O43" s="2" t="s">
        <v>583</v>
      </c>
      <c r="P43" s="2" t="s">
        <v>584</v>
      </c>
      <c r="Q43" s="2" t="s">
        <v>585</v>
      </c>
      <c r="R43" s="294">
        <v>0.15571428571428572</v>
      </c>
      <c r="S43" s="297">
        <f t="shared" si="6"/>
        <v>35.672727272727279</v>
      </c>
      <c r="U43" s="2" t="s">
        <v>586</v>
      </c>
      <c r="V43" s="2" t="s">
        <v>587</v>
      </c>
      <c r="W43" s="296">
        <v>61.090909090909108</v>
      </c>
      <c r="X43" s="2" t="s">
        <v>583</v>
      </c>
      <c r="Y43" s="2" t="s">
        <v>584</v>
      </c>
      <c r="Z43" s="2" t="s">
        <v>585</v>
      </c>
      <c r="AA43" s="294">
        <v>0.15571428571428572</v>
      </c>
      <c r="AB43" s="297">
        <f t="shared" si="10"/>
        <v>9.5127272727272754</v>
      </c>
    </row>
    <row r="44" spans="2:28">
      <c r="C44" s="2" t="s">
        <v>588</v>
      </c>
      <c r="D44" s="2" t="s">
        <v>589</v>
      </c>
      <c r="E44" s="2">
        <v>232</v>
      </c>
      <c r="F44" s="2" t="s">
        <v>583</v>
      </c>
      <c r="G44" s="2" t="s">
        <v>584</v>
      </c>
      <c r="H44" s="2" t="s">
        <v>585</v>
      </c>
      <c r="I44" s="294">
        <f t="shared" si="0"/>
        <v>4.6100000000000003</v>
      </c>
      <c r="J44" s="295">
        <f>4.61*E44</f>
        <v>1069.52</v>
      </c>
      <c r="L44" s="2" t="s">
        <v>588</v>
      </c>
      <c r="M44" s="2" t="s">
        <v>589</v>
      </c>
      <c r="N44" s="296">
        <f t="shared" si="9"/>
        <v>316.36363636363637</v>
      </c>
      <c r="O44" s="2" t="s">
        <v>583</v>
      </c>
      <c r="P44" s="2" t="s">
        <v>584</v>
      </c>
      <c r="Q44" s="2" t="s">
        <v>585</v>
      </c>
      <c r="R44" s="294">
        <v>4.6100000000000003</v>
      </c>
      <c r="S44" s="297">
        <f t="shared" si="6"/>
        <v>1458.4363636363637</v>
      </c>
      <c r="U44" s="2" t="s">
        <v>588</v>
      </c>
      <c r="V44" s="2" t="s">
        <v>589</v>
      </c>
      <c r="W44" s="296">
        <v>84.363636363636388</v>
      </c>
      <c r="X44" s="2" t="s">
        <v>583</v>
      </c>
      <c r="Y44" s="2" t="s">
        <v>584</v>
      </c>
      <c r="Z44" s="2" t="s">
        <v>585</v>
      </c>
      <c r="AA44" s="294">
        <v>4.6100000000000003</v>
      </c>
      <c r="AB44" s="297">
        <f t="shared" si="10"/>
        <v>388.91636363636377</v>
      </c>
    </row>
    <row r="45" spans="2:28">
      <c r="C45" s="2" t="s">
        <v>590</v>
      </c>
      <c r="D45" s="2" t="s">
        <v>591</v>
      </c>
      <c r="E45" s="2">
        <f>E110/2</f>
        <v>150</v>
      </c>
      <c r="F45" s="2" t="s">
        <v>583</v>
      </c>
      <c r="G45" s="2" t="s">
        <v>584</v>
      </c>
      <c r="H45" s="2" t="s">
        <v>585</v>
      </c>
      <c r="I45" s="294">
        <f t="shared" si="0"/>
        <v>0.41160000000000002</v>
      </c>
      <c r="J45" s="295">
        <f>J110/2</f>
        <v>61.74</v>
      </c>
      <c r="L45" s="2" t="s">
        <v>590</v>
      </c>
      <c r="M45" s="2" t="s">
        <v>591</v>
      </c>
      <c r="N45" s="296">
        <f t="shared" si="9"/>
        <v>204.54545454545456</v>
      </c>
      <c r="O45" s="2" t="s">
        <v>583</v>
      </c>
      <c r="P45" s="2" t="s">
        <v>584</v>
      </c>
      <c r="Q45" s="2" t="s">
        <v>585</v>
      </c>
      <c r="R45" s="294">
        <v>0.41160000000000002</v>
      </c>
      <c r="S45" s="297">
        <f t="shared" si="6"/>
        <v>84.190909090909102</v>
      </c>
      <c r="U45" s="2" t="s">
        <v>590</v>
      </c>
      <c r="V45" s="2" t="s">
        <v>591</v>
      </c>
      <c r="W45" s="296">
        <v>54.545454545454561</v>
      </c>
      <c r="X45" s="2" t="s">
        <v>583</v>
      </c>
      <c r="Y45" s="2" t="s">
        <v>584</v>
      </c>
      <c r="Z45" s="2" t="s">
        <v>585</v>
      </c>
      <c r="AA45" s="294">
        <v>0.41160000000000002</v>
      </c>
      <c r="AB45" s="297">
        <f t="shared" si="10"/>
        <v>22.4509090909091</v>
      </c>
    </row>
    <row r="46" spans="2:28">
      <c r="C46" s="2" t="s">
        <v>592</v>
      </c>
      <c r="D46" s="2" t="s">
        <v>593</v>
      </c>
      <c r="E46" s="2">
        <f>E111/2</f>
        <v>150</v>
      </c>
      <c r="F46" s="2" t="s">
        <v>583</v>
      </c>
      <c r="G46" s="2" t="s">
        <v>584</v>
      </c>
      <c r="H46" s="2" t="s">
        <v>585</v>
      </c>
      <c r="I46" s="294">
        <f t="shared" si="0"/>
        <v>0.30959999999999999</v>
      </c>
      <c r="J46" s="295">
        <f>J111/2</f>
        <v>46.44</v>
      </c>
      <c r="L46" s="2" t="s">
        <v>592</v>
      </c>
      <c r="M46" s="2" t="s">
        <v>593</v>
      </c>
      <c r="N46" s="296">
        <f t="shared" si="9"/>
        <v>204.54545454545456</v>
      </c>
      <c r="O46" s="2" t="s">
        <v>583</v>
      </c>
      <c r="P46" s="2" t="s">
        <v>584</v>
      </c>
      <c r="Q46" s="2" t="s">
        <v>585</v>
      </c>
      <c r="R46" s="294">
        <v>0.30959999999999999</v>
      </c>
      <c r="S46" s="297">
        <f t="shared" si="6"/>
        <v>63.327272727272728</v>
      </c>
      <c r="U46" s="2" t="s">
        <v>592</v>
      </c>
      <c r="V46" s="2" t="s">
        <v>593</v>
      </c>
      <c r="W46" s="296">
        <v>54.545454545454561</v>
      </c>
      <c r="X46" s="2" t="s">
        <v>583</v>
      </c>
      <c r="Y46" s="2" t="s">
        <v>584</v>
      </c>
      <c r="Z46" s="2" t="s">
        <v>585</v>
      </c>
      <c r="AA46" s="294">
        <v>0.30959999999999999</v>
      </c>
      <c r="AB46" s="297">
        <f t="shared" si="10"/>
        <v>16.88727272727273</v>
      </c>
    </row>
    <row r="47" spans="2:28">
      <c r="C47" s="2" t="s">
        <v>594</v>
      </c>
      <c r="D47" s="2" t="s">
        <v>595</v>
      </c>
      <c r="E47" s="2">
        <v>20</v>
      </c>
      <c r="F47" s="2" t="s">
        <v>583</v>
      </c>
      <c r="G47" s="2" t="s">
        <v>584</v>
      </c>
      <c r="H47" s="2" t="s">
        <v>585</v>
      </c>
      <c r="I47" s="294">
        <f t="shared" si="0"/>
        <v>1.1779999999999999</v>
      </c>
      <c r="J47" s="295">
        <v>23.56</v>
      </c>
      <c r="L47" s="2" t="s">
        <v>594</v>
      </c>
      <c r="M47" s="2" t="s">
        <v>595</v>
      </c>
      <c r="N47" s="296">
        <f t="shared" si="9"/>
        <v>27.272727272727273</v>
      </c>
      <c r="O47" s="2" t="s">
        <v>583</v>
      </c>
      <c r="P47" s="2" t="s">
        <v>584</v>
      </c>
      <c r="Q47" s="2" t="s">
        <v>585</v>
      </c>
      <c r="R47" s="294">
        <v>1.1779999999999999</v>
      </c>
      <c r="S47" s="297">
        <f t="shared" si="6"/>
        <v>32.127272727272725</v>
      </c>
      <c r="U47" s="2" t="s">
        <v>594</v>
      </c>
      <c r="V47" s="2" t="s">
        <v>595</v>
      </c>
      <c r="W47" s="296">
        <v>7.2727272727272751</v>
      </c>
      <c r="X47" s="2" t="s">
        <v>583</v>
      </c>
      <c r="Y47" s="2" t="s">
        <v>584</v>
      </c>
      <c r="Z47" s="2" t="s">
        <v>585</v>
      </c>
      <c r="AA47" s="294">
        <v>1.1779999999999999</v>
      </c>
      <c r="AB47" s="297">
        <f t="shared" si="10"/>
        <v>8.56727272727273</v>
      </c>
    </row>
    <row r="48" spans="2:28">
      <c r="C48" s="2" t="s">
        <v>596</v>
      </c>
      <c r="D48" s="2" t="s">
        <v>597</v>
      </c>
      <c r="E48" s="2">
        <f>E113/2</f>
        <v>25</v>
      </c>
      <c r="F48" s="2" t="s">
        <v>583</v>
      </c>
      <c r="G48" s="2" t="s">
        <v>584</v>
      </c>
      <c r="H48" s="2" t="s">
        <v>585</v>
      </c>
      <c r="I48" s="294">
        <f t="shared" si="0"/>
        <v>0.20120000000000002</v>
      </c>
      <c r="J48" s="295">
        <f>J113/2</f>
        <v>5.03</v>
      </c>
      <c r="L48" s="2" t="s">
        <v>596</v>
      </c>
      <c r="M48" s="2" t="s">
        <v>597</v>
      </c>
      <c r="N48" s="296">
        <f t="shared" si="9"/>
        <v>34.090909090909093</v>
      </c>
      <c r="O48" s="2" t="s">
        <v>583</v>
      </c>
      <c r="P48" s="2" t="s">
        <v>584</v>
      </c>
      <c r="Q48" s="2" t="s">
        <v>585</v>
      </c>
      <c r="R48" s="294">
        <v>0.20120000000000002</v>
      </c>
      <c r="S48" s="297">
        <f t="shared" si="6"/>
        <v>6.8590909090909102</v>
      </c>
      <c r="U48" s="2" t="s">
        <v>596</v>
      </c>
      <c r="V48" s="2" t="s">
        <v>597</v>
      </c>
      <c r="W48" s="296">
        <v>9.0909090909090935</v>
      </c>
      <c r="X48" s="2" t="s">
        <v>583</v>
      </c>
      <c r="Y48" s="2" t="s">
        <v>584</v>
      </c>
      <c r="Z48" s="2" t="s">
        <v>585</v>
      </c>
      <c r="AA48" s="294">
        <v>0.20120000000000002</v>
      </c>
      <c r="AB48" s="297">
        <f t="shared" si="10"/>
        <v>1.8290909090909098</v>
      </c>
    </row>
    <row r="49" spans="3:28">
      <c r="C49" s="2" t="s">
        <v>598</v>
      </c>
      <c r="D49" s="2" t="s">
        <v>599</v>
      </c>
      <c r="E49" s="2">
        <f>E114/2</f>
        <v>25</v>
      </c>
      <c r="F49" s="2" t="s">
        <v>583</v>
      </c>
      <c r="G49" s="2" t="s">
        <v>584</v>
      </c>
      <c r="H49" s="2" t="s">
        <v>585</v>
      </c>
      <c r="I49" s="294">
        <f t="shared" si="0"/>
        <v>0.29760000000000003</v>
      </c>
      <c r="J49" s="295">
        <f>J114/2</f>
        <v>7.44</v>
      </c>
      <c r="L49" s="2" t="s">
        <v>598</v>
      </c>
      <c r="M49" s="2" t="s">
        <v>599</v>
      </c>
      <c r="N49" s="296">
        <f t="shared" si="9"/>
        <v>34.090909090909093</v>
      </c>
      <c r="O49" s="2" t="s">
        <v>583</v>
      </c>
      <c r="P49" s="2" t="s">
        <v>584</v>
      </c>
      <c r="Q49" s="2" t="s">
        <v>585</v>
      </c>
      <c r="R49" s="294">
        <v>0.29760000000000003</v>
      </c>
      <c r="S49" s="297">
        <f t="shared" si="6"/>
        <v>10.145454545454548</v>
      </c>
      <c r="U49" s="2" t="s">
        <v>598</v>
      </c>
      <c r="V49" s="2" t="s">
        <v>599</v>
      </c>
      <c r="W49" s="296">
        <v>9.0909090909090935</v>
      </c>
      <c r="X49" s="2" t="s">
        <v>583</v>
      </c>
      <c r="Y49" s="2" t="s">
        <v>584</v>
      </c>
      <c r="Z49" s="2" t="s">
        <v>585</v>
      </c>
      <c r="AA49" s="294">
        <v>0.29760000000000003</v>
      </c>
      <c r="AB49" s="297">
        <f t="shared" si="10"/>
        <v>2.7054545454545464</v>
      </c>
    </row>
    <row r="50" spans="3:28">
      <c r="C50" s="2" t="s">
        <v>600</v>
      </c>
      <c r="D50" s="2" t="s">
        <v>601</v>
      </c>
      <c r="E50" s="2">
        <f>E115/2</f>
        <v>10</v>
      </c>
      <c r="F50" s="2" t="s">
        <v>583</v>
      </c>
      <c r="G50" s="2" t="s">
        <v>584</v>
      </c>
      <c r="H50" s="2" t="s">
        <v>585</v>
      </c>
      <c r="I50" s="294">
        <f t="shared" si="0"/>
        <v>0.80800000000000005</v>
      </c>
      <c r="J50" s="295">
        <f>J115/2</f>
        <v>8.08</v>
      </c>
      <c r="L50" s="2" t="s">
        <v>600</v>
      </c>
      <c r="M50" s="2" t="s">
        <v>601</v>
      </c>
      <c r="N50" s="296">
        <f t="shared" si="9"/>
        <v>13.636363636363637</v>
      </c>
      <c r="O50" s="2" t="s">
        <v>583</v>
      </c>
      <c r="P50" s="2" t="s">
        <v>584</v>
      </c>
      <c r="Q50" s="2" t="s">
        <v>585</v>
      </c>
      <c r="R50" s="294">
        <v>0.80800000000000005</v>
      </c>
      <c r="S50" s="297">
        <f t="shared" si="6"/>
        <v>11.018181818181819</v>
      </c>
      <c r="U50" s="2" t="s">
        <v>600</v>
      </c>
      <c r="V50" s="2" t="s">
        <v>601</v>
      </c>
      <c r="W50" s="296">
        <v>3.6363636363636376</v>
      </c>
      <c r="X50" s="2" t="s">
        <v>583</v>
      </c>
      <c r="Y50" s="2" t="s">
        <v>584</v>
      </c>
      <c r="Z50" s="2" t="s">
        <v>585</v>
      </c>
      <c r="AA50" s="294">
        <v>0.80800000000000005</v>
      </c>
      <c r="AB50" s="297">
        <f t="shared" si="10"/>
        <v>2.9381818181818193</v>
      </c>
    </row>
    <row r="51" spans="3:28">
      <c r="C51" s="2" t="s">
        <v>602</v>
      </c>
      <c r="D51" s="2" t="s">
        <v>603</v>
      </c>
      <c r="E51" s="2">
        <v>25</v>
      </c>
      <c r="F51" s="2" t="s">
        <v>583</v>
      </c>
      <c r="G51" s="2" t="s">
        <v>584</v>
      </c>
      <c r="H51" s="2" t="s">
        <v>585</v>
      </c>
      <c r="I51" s="294">
        <f t="shared" si="0"/>
        <v>0.32</v>
      </c>
      <c r="J51" s="295">
        <v>8</v>
      </c>
      <c r="L51" s="2" t="s">
        <v>602</v>
      </c>
      <c r="M51" s="2" t="s">
        <v>603</v>
      </c>
      <c r="N51" s="296">
        <f t="shared" si="9"/>
        <v>34.090909090909093</v>
      </c>
      <c r="O51" s="2" t="s">
        <v>583</v>
      </c>
      <c r="P51" s="2" t="s">
        <v>584</v>
      </c>
      <c r="Q51" s="2" t="s">
        <v>585</v>
      </c>
      <c r="R51" s="294">
        <v>0.32</v>
      </c>
      <c r="S51" s="297">
        <f t="shared" si="6"/>
        <v>10.90909090909091</v>
      </c>
      <c r="U51" s="2" t="s">
        <v>602</v>
      </c>
      <c r="V51" s="2" t="s">
        <v>603</v>
      </c>
      <c r="W51" s="296">
        <v>9.0909090909090935</v>
      </c>
      <c r="X51" s="2" t="s">
        <v>583</v>
      </c>
      <c r="Y51" s="2" t="s">
        <v>584</v>
      </c>
      <c r="Z51" s="2" t="s">
        <v>585</v>
      </c>
      <c r="AA51" s="294">
        <v>0.32</v>
      </c>
      <c r="AB51" s="297">
        <f t="shared" si="10"/>
        <v>2.9090909090909101</v>
      </c>
    </row>
    <row r="52" spans="3:28">
      <c r="C52" s="2" t="s">
        <v>604</v>
      </c>
      <c r="D52" s="2" t="s">
        <v>605</v>
      </c>
      <c r="E52" s="2">
        <f t="shared" ref="E52:E62" si="11">E117/2</f>
        <v>10</v>
      </c>
      <c r="F52" s="2" t="s">
        <v>583</v>
      </c>
      <c r="G52" s="2" t="s">
        <v>584</v>
      </c>
      <c r="H52" s="2" t="s">
        <v>585</v>
      </c>
      <c r="I52" s="294">
        <f t="shared" si="0"/>
        <v>0.55000000000000004</v>
      </c>
      <c r="J52" s="295">
        <f t="shared" ref="J52:J60" si="12">J117/2</f>
        <v>5.5</v>
      </c>
      <c r="L52" s="2" t="s">
        <v>604</v>
      </c>
      <c r="M52" s="2" t="s">
        <v>605</v>
      </c>
      <c r="N52" s="296">
        <f t="shared" si="9"/>
        <v>13.636363636363637</v>
      </c>
      <c r="O52" s="2" t="s">
        <v>583</v>
      </c>
      <c r="P52" s="2" t="s">
        <v>584</v>
      </c>
      <c r="Q52" s="2" t="s">
        <v>585</v>
      </c>
      <c r="R52" s="294">
        <v>0.55000000000000004</v>
      </c>
      <c r="S52" s="297">
        <f t="shared" si="6"/>
        <v>7.5000000000000009</v>
      </c>
      <c r="U52" s="2" t="s">
        <v>604</v>
      </c>
      <c r="V52" s="2" t="s">
        <v>605</v>
      </c>
      <c r="W52" s="296">
        <v>3.6363636363636376</v>
      </c>
      <c r="X52" s="2" t="s">
        <v>583</v>
      </c>
      <c r="Y52" s="2" t="s">
        <v>584</v>
      </c>
      <c r="Z52" s="2" t="s">
        <v>585</v>
      </c>
      <c r="AA52" s="294">
        <v>0.55000000000000004</v>
      </c>
      <c r="AB52" s="297">
        <f t="shared" si="10"/>
        <v>2.0000000000000009</v>
      </c>
    </row>
    <row r="53" spans="3:28">
      <c r="C53" s="2" t="s">
        <v>606</v>
      </c>
      <c r="D53" s="2" t="s">
        <v>607</v>
      </c>
      <c r="E53" s="2">
        <f t="shared" si="11"/>
        <v>40</v>
      </c>
      <c r="F53" s="2" t="s">
        <v>583</v>
      </c>
      <c r="G53" s="2" t="s">
        <v>584</v>
      </c>
      <c r="H53" s="2" t="s">
        <v>585</v>
      </c>
      <c r="I53" s="294">
        <f t="shared" si="0"/>
        <v>0.64</v>
      </c>
      <c r="J53" s="295">
        <f t="shared" si="12"/>
        <v>25.6</v>
      </c>
      <c r="L53" s="2" t="s">
        <v>606</v>
      </c>
      <c r="M53" s="2" t="s">
        <v>607</v>
      </c>
      <c r="N53" s="296">
        <f t="shared" si="9"/>
        <v>54.545454545454547</v>
      </c>
      <c r="O53" s="2" t="s">
        <v>583</v>
      </c>
      <c r="P53" s="2" t="s">
        <v>584</v>
      </c>
      <c r="Q53" s="2" t="s">
        <v>585</v>
      </c>
      <c r="R53" s="294">
        <v>0.64</v>
      </c>
      <c r="S53" s="297">
        <f t="shared" si="6"/>
        <v>34.909090909090914</v>
      </c>
      <c r="U53" s="2" t="s">
        <v>606</v>
      </c>
      <c r="V53" s="2" t="s">
        <v>607</v>
      </c>
      <c r="W53" s="296">
        <v>14.54545454545455</v>
      </c>
      <c r="X53" s="2" t="s">
        <v>583</v>
      </c>
      <c r="Y53" s="2" t="s">
        <v>584</v>
      </c>
      <c r="Z53" s="2" t="s">
        <v>585</v>
      </c>
      <c r="AA53" s="294">
        <v>0.64</v>
      </c>
      <c r="AB53" s="297">
        <f t="shared" si="10"/>
        <v>9.3090909090909122</v>
      </c>
    </row>
    <row r="54" spans="3:28">
      <c r="C54" s="2" t="s">
        <v>608</v>
      </c>
      <c r="D54" s="2" t="s">
        <v>609</v>
      </c>
      <c r="E54" s="2">
        <f t="shared" si="11"/>
        <v>80</v>
      </c>
      <c r="F54" s="2" t="s">
        <v>583</v>
      </c>
      <c r="G54" s="2" t="s">
        <v>584</v>
      </c>
      <c r="H54" s="2" t="s">
        <v>585</v>
      </c>
      <c r="I54" s="294">
        <f t="shared" si="0"/>
        <v>0.96199999999999997</v>
      </c>
      <c r="J54" s="295">
        <f t="shared" si="12"/>
        <v>76.959999999999994</v>
      </c>
      <c r="L54" s="2" t="s">
        <v>608</v>
      </c>
      <c r="M54" s="2" t="s">
        <v>609</v>
      </c>
      <c r="N54" s="296">
        <f t="shared" si="9"/>
        <v>109.09090909090909</v>
      </c>
      <c r="O54" s="2" t="s">
        <v>583</v>
      </c>
      <c r="P54" s="2" t="s">
        <v>584</v>
      </c>
      <c r="Q54" s="2" t="s">
        <v>585</v>
      </c>
      <c r="R54" s="294">
        <v>0.96199999999999997</v>
      </c>
      <c r="S54" s="297">
        <f t="shared" si="6"/>
        <v>104.94545454545454</v>
      </c>
      <c r="U54" s="2" t="s">
        <v>608</v>
      </c>
      <c r="V54" s="2" t="s">
        <v>609</v>
      </c>
      <c r="W54" s="296">
        <v>29.090909090909101</v>
      </c>
      <c r="X54" s="2" t="s">
        <v>583</v>
      </c>
      <c r="Y54" s="2" t="s">
        <v>584</v>
      </c>
      <c r="Z54" s="2" t="s">
        <v>585</v>
      </c>
      <c r="AA54" s="294">
        <v>0.96199999999999997</v>
      </c>
      <c r="AB54" s="297">
        <f t="shared" si="10"/>
        <v>27.985454545454555</v>
      </c>
    </row>
    <row r="55" spans="3:28">
      <c r="C55" s="2" t="s">
        <v>610</v>
      </c>
      <c r="D55" s="2" t="s">
        <v>611</v>
      </c>
      <c r="E55" s="2">
        <f t="shared" si="11"/>
        <v>150</v>
      </c>
      <c r="F55" s="2" t="s">
        <v>583</v>
      </c>
      <c r="G55" s="2" t="s">
        <v>584</v>
      </c>
      <c r="H55" s="2" t="s">
        <v>585</v>
      </c>
      <c r="I55" s="294">
        <f t="shared" si="0"/>
        <v>1.46</v>
      </c>
      <c r="J55" s="295">
        <f t="shared" si="12"/>
        <v>219</v>
      </c>
      <c r="L55" s="2" t="s">
        <v>610</v>
      </c>
      <c r="M55" s="2" t="s">
        <v>611</v>
      </c>
      <c r="N55" s="296">
        <f t="shared" si="9"/>
        <v>204.54545454545456</v>
      </c>
      <c r="O55" s="2" t="s">
        <v>583</v>
      </c>
      <c r="P55" s="2" t="s">
        <v>584</v>
      </c>
      <c r="Q55" s="2" t="s">
        <v>585</v>
      </c>
      <c r="R55" s="294">
        <v>1.46</v>
      </c>
      <c r="S55" s="297">
        <f t="shared" si="6"/>
        <v>298.63636363636363</v>
      </c>
      <c r="U55" s="2" t="s">
        <v>610</v>
      </c>
      <c r="V55" s="2" t="s">
        <v>611</v>
      </c>
      <c r="W55" s="296">
        <v>54.545454545454561</v>
      </c>
      <c r="X55" s="2" t="s">
        <v>583</v>
      </c>
      <c r="Y55" s="2" t="s">
        <v>584</v>
      </c>
      <c r="Z55" s="2" t="s">
        <v>585</v>
      </c>
      <c r="AA55" s="294">
        <v>1.46</v>
      </c>
      <c r="AB55" s="297">
        <f t="shared" si="10"/>
        <v>79.636363636363654</v>
      </c>
    </row>
    <row r="56" spans="3:28">
      <c r="C56" s="2" t="s">
        <v>612</v>
      </c>
      <c r="D56" s="2" t="s">
        <v>613</v>
      </c>
      <c r="E56" s="2">
        <f t="shared" si="11"/>
        <v>150</v>
      </c>
      <c r="F56" s="2" t="s">
        <v>583</v>
      </c>
      <c r="G56" s="2" t="s">
        <v>584</v>
      </c>
      <c r="H56" s="2" t="s">
        <v>585</v>
      </c>
      <c r="I56" s="294">
        <f t="shared" si="0"/>
        <v>1.32</v>
      </c>
      <c r="J56" s="295">
        <f t="shared" si="12"/>
        <v>198</v>
      </c>
      <c r="L56" s="2" t="s">
        <v>612</v>
      </c>
      <c r="M56" s="2" t="s">
        <v>613</v>
      </c>
      <c r="N56" s="296">
        <f t="shared" si="9"/>
        <v>204.54545454545456</v>
      </c>
      <c r="O56" s="2" t="s">
        <v>583</v>
      </c>
      <c r="P56" s="2" t="s">
        <v>584</v>
      </c>
      <c r="Q56" s="2" t="s">
        <v>585</v>
      </c>
      <c r="R56" s="294">
        <v>1.32</v>
      </c>
      <c r="S56" s="297">
        <f t="shared" si="6"/>
        <v>270.00000000000006</v>
      </c>
      <c r="U56" s="2" t="s">
        <v>612</v>
      </c>
      <c r="V56" s="2" t="s">
        <v>613</v>
      </c>
      <c r="W56" s="296">
        <v>54.545454545454561</v>
      </c>
      <c r="X56" s="2" t="s">
        <v>583</v>
      </c>
      <c r="Y56" s="2" t="s">
        <v>584</v>
      </c>
      <c r="Z56" s="2" t="s">
        <v>585</v>
      </c>
      <c r="AA56" s="294">
        <v>1.32</v>
      </c>
      <c r="AB56" s="297">
        <f t="shared" si="10"/>
        <v>72.000000000000028</v>
      </c>
    </row>
    <row r="57" spans="3:28">
      <c r="C57" s="2" t="s">
        <v>614</v>
      </c>
      <c r="D57" s="2" t="s">
        <v>615</v>
      </c>
      <c r="E57" s="2">
        <f t="shared" si="11"/>
        <v>10</v>
      </c>
      <c r="F57" s="2" t="s">
        <v>583</v>
      </c>
      <c r="G57" s="2" t="s">
        <v>584</v>
      </c>
      <c r="H57" s="2" t="s">
        <v>585</v>
      </c>
      <c r="I57" s="294">
        <f t="shared" si="0"/>
        <v>0.78400000000000003</v>
      </c>
      <c r="J57" s="295">
        <f t="shared" si="12"/>
        <v>7.84</v>
      </c>
      <c r="L57" s="2" t="s">
        <v>614</v>
      </c>
      <c r="M57" s="2" t="s">
        <v>615</v>
      </c>
      <c r="N57" s="296">
        <f t="shared" si="9"/>
        <v>13.636363636363637</v>
      </c>
      <c r="O57" s="2" t="s">
        <v>583</v>
      </c>
      <c r="P57" s="2" t="s">
        <v>584</v>
      </c>
      <c r="Q57" s="2" t="s">
        <v>585</v>
      </c>
      <c r="R57" s="294">
        <v>0.78400000000000003</v>
      </c>
      <c r="S57" s="297">
        <f t="shared" si="6"/>
        <v>10.690909090909091</v>
      </c>
      <c r="U57" s="2" t="s">
        <v>614</v>
      </c>
      <c r="V57" s="2" t="s">
        <v>615</v>
      </c>
      <c r="W57" s="296">
        <v>3.6363636363636376</v>
      </c>
      <c r="X57" s="2" t="s">
        <v>583</v>
      </c>
      <c r="Y57" s="2" t="s">
        <v>584</v>
      </c>
      <c r="Z57" s="2" t="s">
        <v>585</v>
      </c>
      <c r="AA57" s="294">
        <v>0.78400000000000003</v>
      </c>
      <c r="AB57" s="297">
        <f t="shared" si="10"/>
        <v>2.8509090909090919</v>
      </c>
    </row>
    <row r="58" spans="3:28">
      <c r="C58" s="2" t="s">
        <v>616</v>
      </c>
      <c r="D58" s="2" t="s">
        <v>617</v>
      </c>
      <c r="E58" s="2">
        <f t="shared" si="11"/>
        <v>20</v>
      </c>
      <c r="F58" s="2" t="s">
        <v>583</v>
      </c>
      <c r="G58" s="2" t="s">
        <v>584</v>
      </c>
      <c r="H58" s="2" t="s">
        <v>585</v>
      </c>
      <c r="I58" s="294">
        <f t="shared" si="0"/>
        <v>0.71699999999999997</v>
      </c>
      <c r="J58" s="295">
        <f t="shared" si="12"/>
        <v>14.34</v>
      </c>
      <c r="L58" s="2" t="s">
        <v>616</v>
      </c>
      <c r="M58" s="2" t="s">
        <v>617</v>
      </c>
      <c r="N58" s="296">
        <f t="shared" si="9"/>
        <v>27.272727272727273</v>
      </c>
      <c r="O58" s="2" t="s">
        <v>583</v>
      </c>
      <c r="P58" s="2" t="s">
        <v>584</v>
      </c>
      <c r="Q58" s="2" t="s">
        <v>585</v>
      </c>
      <c r="R58" s="294">
        <v>0.71699999999999997</v>
      </c>
      <c r="S58" s="297">
        <f t="shared" si="6"/>
        <v>19.554545454545455</v>
      </c>
      <c r="U58" s="2" t="s">
        <v>616</v>
      </c>
      <c r="V58" s="2" t="s">
        <v>617</v>
      </c>
      <c r="W58" s="296">
        <v>7.2727272727272751</v>
      </c>
      <c r="X58" s="2" t="s">
        <v>583</v>
      </c>
      <c r="Y58" s="2" t="s">
        <v>584</v>
      </c>
      <c r="Z58" s="2" t="s">
        <v>585</v>
      </c>
      <c r="AA58" s="294">
        <v>0.71699999999999997</v>
      </c>
      <c r="AB58" s="297">
        <f t="shared" si="10"/>
        <v>5.2145454545454557</v>
      </c>
    </row>
    <row r="59" spans="3:28">
      <c r="C59" s="2" t="s">
        <v>618</v>
      </c>
      <c r="D59" s="2" t="s">
        <v>619</v>
      </c>
      <c r="E59" s="2">
        <f t="shared" si="11"/>
        <v>77</v>
      </c>
      <c r="F59" s="2" t="s">
        <v>583</v>
      </c>
      <c r="G59" s="2" t="s">
        <v>584</v>
      </c>
      <c r="H59" s="2" t="s">
        <v>585</v>
      </c>
      <c r="I59" s="294">
        <f t="shared" si="0"/>
        <v>9.16</v>
      </c>
      <c r="J59" s="295">
        <f t="shared" si="12"/>
        <v>705.32</v>
      </c>
      <c r="L59" s="2" t="s">
        <v>618</v>
      </c>
      <c r="M59" s="2" t="s">
        <v>619</v>
      </c>
      <c r="N59" s="296">
        <f t="shared" si="9"/>
        <v>105.00000000000001</v>
      </c>
      <c r="O59" s="2" t="s">
        <v>583</v>
      </c>
      <c r="P59" s="2" t="s">
        <v>584</v>
      </c>
      <c r="Q59" s="2" t="s">
        <v>585</v>
      </c>
      <c r="R59" s="294">
        <v>9.16</v>
      </c>
      <c r="S59" s="297">
        <f t="shared" si="6"/>
        <v>961.80000000000018</v>
      </c>
      <c r="U59" s="2" t="s">
        <v>618</v>
      </c>
      <c r="V59" s="2" t="s">
        <v>619</v>
      </c>
      <c r="W59" s="296">
        <v>28.000000000000011</v>
      </c>
      <c r="X59" s="2" t="s">
        <v>583</v>
      </c>
      <c r="Y59" s="2" t="s">
        <v>584</v>
      </c>
      <c r="Z59" s="2" t="s">
        <v>585</v>
      </c>
      <c r="AA59" s="294">
        <v>9.16</v>
      </c>
      <c r="AB59" s="297">
        <f t="shared" si="10"/>
        <v>256.48000000000008</v>
      </c>
    </row>
    <row r="60" spans="3:28">
      <c r="C60" s="2" t="s">
        <v>620</v>
      </c>
      <c r="D60" s="2" t="s">
        <v>621</v>
      </c>
      <c r="E60" s="2">
        <f t="shared" si="11"/>
        <v>40</v>
      </c>
      <c r="F60" s="2" t="s">
        <v>583</v>
      </c>
      <c r="G60" s="2" t="s">
        <v>584</v>
      </c>
      <c r="H60" s="2" t="s">
        <v>585</v>
      </c>
      <c r="I60" s="294">
        <f t="shared" si="0"/>
        <v>4.0495000000000001</v>
      </c>
      <c r="J60" s="295">
        <f t="shared" si="12"/>
        <v>161.97999999999999</v>
      </c>
      <c r="L60" s="2" t="s">
        <v>620</v>
      </c>
      <c r="M60" s="2" t="s">
        <v>621</v>
      </c>
      <c r="N60" s="296">
        <f t="shared" si="9"/>
        <v>54.545454545454547</v>
      </c>
      <c r="O60" s="2" t="s">
        <v>583</v>
      </c>
      <c r="P60" s="2" t="s">
        <v>584</v>
      </c>
      <c r="Q60" s="2" t="s">
        <v>585</v>
      </c>
      <c r="R60" s="294">
        <v>4.0495000000000001</v>
      </c>
      <c r="S60" s="297">
        <f t="shared" si="6"/>
        <v>220.8818181818182</v>
      </c>
      <c r="U60" s="2" t="s">
        <v>620</v>
      </c>
      <c r="V60" s="2" t="s">
        <v>621</v>
      </c>
      <c r="W60" s="296">
        <v>14.54545454545455</v>
      </c>
      <c r="X60" s="2" t="s">
        <v>583</v>
      </c>
      <c r="Y60" s="2" t="s">
        <v>584</v>
      </c>
      <c r="Z60" s="2" t="s">
        <v>585</v>
      </c>
      <c r="AA60" s="294">
        <v>4.0495000000000001</v>
      </c>
      <c r="AB60" s="297">
        <f t="shared" si="10"/>
        <v>58.9018181818182</v>
      </c>
    </row>
    <row r="61" spans="3:28">
      <c r="C61" s="2" t="s">
        <v>622</v>
      </c>
      <c r="D61" s="2" t="s">
        <v>623</v>
      </c>
      <c r="E61" s="2">
        <f t="shared" si="11"/>
        <v>50</v>
      </c>
      <c r="F61" s="2" t="s">
        <v>583</v>
      </c>
      <c r="G61" s="2" t="s">
        <v>584</v>
      </c>
      <c r="H61" s="2" t="s">
        <v>585</v>
      </c>
      <c r="I61" s="294">
        <f t="shared" si="0"/>
        <v>0.61980000000000002</v>
      </c>
      <c r="J61" s="295">
        <v>30.99</v>
      </c>
      <c r="L61" s="2" t="s">
        <v>622</v>
      </c>
      <c r="M61" s="2" t="s">
        <v>623</v>
      </c>
      <c r="N61" s="296">
        <f t="shared" si="9"/>
        <v>68.181818181818187</v>
      </c>
      <c r="O61" s="2" t="s">
        <v>583</v>
      </c>
      <c r="P61" s="2" t="s">
        <v>584</v>
      </c>
      <c r="Q61" s="2" t="s">
        <v>585</v>
      </c>
      <c r="R61" s="294">
        <v>0.61980000000000002</v>
      </c>
      <c r="S61" s="297">
        <f t="shared" si="6"/>
        <v>42.259090909090915</v>
      </c>
      <c r="U61" s="2" t="s">
        <v>622</v>
      </c>
      <c r="V61" s="2" t="s">
        <v>623</v>
      </c>
      <c r="W61" s="296">
        <v>18.181818181818187</v>
      </c>
      <c r="X61" s="2" t="s">
        <v>583</v>
      </c>
      <c r="Y61" s="2" t="s">
        <v>584</v>
      </c>
      <c r="Z61" s="2" t="s">
        <v>585</v>
      </c>
      <c r="AA61" s="294">
        <v>0.61980000000000002</v>
      </c>
      <c r="AB61" s="297">
        <f t="shared" si="10"/>
        <v>11.269090909090913</v>
      </c>
    </row>
    <row r="62" spans="3:28">
      <c r="C62" s="2" t="s">
        <v>586</v>
      </c>
      <c r="D62" s="2" t="s">
        <v>624</v>
      </c>
      <c r="E62" s="2">
        <f t="shared" si="11"/>
        <v>300</v>
      </c>
      <c r="F62" s="2" t="s">
        <v>583</v>
      </c>
      <c r="G62" s="2" t="s">
        <v>584</v>
      </c>
      <c r="H62" s="2" t="s">
        <v>585</v>
      </c>
      <c r="I62" s="294">
        <f t="shared" si="0"/>
        <v>1.49</v>
      </c>
      <c r="J62" s="295">
        <f>J127/2</f>
        <v>447</v>
      </c>
      <c r="L62" s="2" t="s">
        <v>586</v>
      </c>
      <c r="M62" s="2" t="s">
        <v>624</v>
      </c>
      <c r="N62" s="296">
        <f t="shared" si="9"/>
        <v>409.09090909090912</v>
      </c>
      <c r="O62" s="2" t="s">
        <v>583</v>
      </c>
      <c r="P62" s="2" t="s">
        <v>584</v>
      </c>
      <c r="Q62" s="2" t="s">
        <v>585</v>
      </c>
      <c r="R62" s="294">
        <v>1.49</v>
      </c>
      <c r="S62" s="297">
        <f t="shared" si="6"/>
        <v>609.54545454545462</v>
      </c>
      <c r="U62" s="2" t="s">
        <v>586</v>
      </c>
      <c r="V62" s="2" t="s">
        <v>624</v>
      </c>
      <c r="W62" s="296">
        <v>109.09090909090912</v>
      </c>
      <c r="X62" s="2" t="s">
        <v>583</v>
      </c>
      <c r="Y62" s="2" t="s">
        <v>584</v>
      </c>
      <c r="Z62" s="2" t="s">
        <v>585</v>
      </c>
      <c r="AA62" s="294">
        <v>1.49</v>
      </c>
      <c r="AB62" s="297">
        <f t="shared" si="10"/>
        <v>162.54545454545459</v>
      </c>
    </row>
    <row r="63" spans="3:28">
      <c r="C63" s="2"/>
      <c r="D63" s="2"/>
      <c r="E63" s="2"/>
      <c r="F63" s="2"/>
      <c r="G63" s="2"/>
      <c r="H63" s="2"/>
      <c r="I63" s="295"/>
      <c r="J63" s="295"/>
      <c r="L63" s="2"/>
      <c r="M63" s="2"/>
      <c r="N63" s="296"/>
      <c r="O63" s="2"/>
      <c r="P63" s="2"/>
      <c r="Q63" s="2"/>
      <c r="R63" s="295"/>
      <c r="S63" s="295"/>
      <c r="U63" s="2"/>
      <c r="V63" s="2"/>
      <c r="W63" s="296"/>
      <c r="X63" s="2"/>
      <c r="Y63" s="2"/>
      <c r="Z63" s="2"/>
      <c r="AA63" s="295"/>
      <c r="AB63" s="295"/>
    </row>
    <row r="64" spans="3:28">
      <c r="C64" s="2" t="s">
        <v>620</v>
      </c>
      <c r="D64" s="2"/>
      <c r="E64" s="2">
        <f>E129/2</f>
        <v>80</v>
      </c>
      <c r="F64" s="2" t="s">
        <v>625</v>
      </c>
      <c r="G64" s="2" t="s">
        <v>626</v>
      </c>
      <c r="H64" s="2" t="s">
        <v>627</v>
      </c>
      <c r="I64" s="294">
        <f t="shared" si="0"/>
        <v>4.8875000000000002</v>
      </c>
      <c r="J64" s="295">
        <f>(J129/2)</f>
        <v>391</v>
      </c>
      <c r="L64" s="2" t="s">
        <v>620</v>
      </c>
      <c r="M64" s="2"/>
      <c r="N64" s="296">
        <f>E64*$N$11</f>
        <v>109.09090909090909</v>
      </c>
      <c r="O64" s="2" t="s">
        <v>625</v>
      </c>
      <c r="P64" s="2" t="s">
        <v>626</v>
      </c>
      <c r="Q64" s="2" t="s">
        <v>627</v>
      </c>
      <c r="R64" s="294">
        <v>4.8875000000000002</v>
      </c>
      <c r="S64" s="297">
        <f t="shared" si="6"/>
        <v>533.18181818181824</v>
      </c>
      <c r="U64" s="2" t="s">
        <v>620</v>
      </c>
      <c r="V64" s="2"/>
      <c r="W64" s="296">
        <v>29.090909090909101</v>
      </c>
      <c r="X64" s="2" t="s">
        <v>625</v>
      </c>
      <c r="Y64" s="2" t="s">
        <v>626</v>
      </c>
      <c r="Z64" s="2" t="s">
        <v>627</v>
      </c>
      <c r="AA64" s="294">
        <v>4.8875000000000002</v>
      </c>
      <c r="AB64" s="297">
        <f t="shared" ref="AB64" si="13">W64*AA64</f>
        <v>142.18181818181824</v>
      </c>
    </row>
    <row r="65" spans="2:28">
      <c r="C65" s="2"/>
      <c r="D65" s="2"/>
      <c r="E65" s="2"/>
      <c r="F65" s="2"/>
      <c r="G65" s="2"/>
      <c r="H65" s="2"/>
      <c r="I65" s="2"/>
      <c r="J65" s="295"/>
      <c r="L65" s="2"/>
      <c r="M65" s="2"/>
      <c r="N65" s="2"/>
      <c r="O65" s="2"/>
      <c r="P65" s="2"/>
      <c r="Q65" s="2"/>
      <c r="R65" s="295"/>
      <c r="S65" s="295"/>
      <c r="U65" s="2"/>
      <c r="V65" s="2"/>
      <c r="W65" s="2"/>
      <c r="X65" s="2"/>
      <c r="Y65" s="2"/>
      <c r="Z65" s="2"/>
      <c r="AA65" s="295"/>
      <c r="AB65" s="295"/>
    </row>
    <row r="66" spans="2:28"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U66" s="2"/>
      <c r="V66" s="2"/>
      <c r="W66" s="2"/>
      <c r="X66" s="2"/>
      <c r="Y66" s="2"/>
      <c r="Z66" s="2"/>
      <c r="AA66" s="2"/>
      <c r="AB66" s="2"/>
    </row>
    <row r="67" spans="2:28">
      <c r="C67" s="2"/>
      <c r="D67" s="2"/>
      <c r="E67" s="2"/>
      <c r="F67" s="2"/>
      <c r="G67" s="2"/>
      <c r="H67" s="298" t="s">
        <v>153</v>
      </c>
      <c r="I67" s="298"/>
      <c r="J67" s="299">
        <f>SUM(J13:J64)</f>
        <v>192103.46999999997</v>
      </c>
      <c r="L67" s="2"/>
      <c r="M67" s="2"/>
      <c r="N67" s="2"/>
      <c r="O67" s="2"/>
      <c r="P67" s="2"/>
      <c r="Q67" s="298" t="s">
        <v>153</v>
      </c>
      <c r="R67" s="299"/>
      <c r="S67" s="299">
        <f>SUM(S13:S64)</f>
        <v>276029.52520661167</v>
      </c>
      <c r="U67" s="2"/>
      <c r="V67" s="2"/>
      <c r="W67" s="2"/>
      <c r="X67" s="2"/>
      <c r="Y67" s="2"/>
      <c r="Z67" s="298" t="s">
        <v>153</v>
      </c>
      <c r="AA67" s="299"/>
      <c r="AB67" s="299">
        <f>SUM(AB13:AB64)</f>
        <v>100129.2483884298</v>
      </c>
    </row>
    <row r="68" spans="2:28">
      <c r="C68" s="167"/>
      <c r="D68" s="167"/>
      <c r="E68" s="167"/>
      <c r="F68" s="167"/>
      <c r="G68" s="167"/>
      <c r="H68" s="300"/>
      <c r="I68" s="301"/>
      <c r="J68" s="300"/>
      <c r="L68" s="167"/>
      <c r="M68" s="167"/>
      <c r="N68" s="167"/>
      <c r="O68" s="167"/>
      <c r="P68" s="167"/>
      <c r="Q68" s="300"/>
      <c r="R68" s="301"/>
      <c r="S68" s="300"/>
      <c r="U68" s="167"/>
      <c r="V68" s="167"/>
      <c r="W68" s="167"/>
      <c r="X68" s="167"/>
      <c r="Y68" s="167"/>
      <c r="Z68" s="300"/>
      <c r="AA68" s="301"/>
      <c r="AB68" s="300"/>
    </row>
    <row r="69" spans="2:28">
      <c r="C69" s="167"/>
      <c r="D69" s="167"/>
      <c r="F69" s="266" t="s">
        <v>384</v>
      </c>
      <c r="G69" s="45" t="s">
        <v>385</v>
      </c>
      <c r="H69" s="45" t="s">
        <v>386</v>
      </c>
      <c r="I69" s="45" t="s">
        <v>387</v>
      </c>
      <c r="J69" s="45"/>
      <c r="L69" s="167"/>
      <c r="M69" s="167"/>
      <c r="N69" s="266" t="s">
        <v>384</v>
      </c>
      <c r="O69" s="45" t="s">
        <v>385</v>
      </c>
      <c r="P69" s="45" t="s">
        <v>386</v>
      </c>
      <c r="Q69" s="45" t="s">
        <v>387</v>
      </c>
      <c r="R69" s="45"/>
      <c r="S69" s="300"/>
      <c r="U69" s="167"/>
      <c r="V69" s="167"/>
      <c r="W69" s="266" t="s">
        <v>384</v>
      </c>
      <c r="X69" s="45" t="s">
        <v>385</v>
      </c>
      <c r="Y69" s="45" t="s">
        <v>386</v>
      </c>
      <c r="Z69" s="45" t="s">
        <v>387</v>
      </c>
      <c r="AA69" s="45"/>
      <c r="AB69" s="300"/>
    </row>
    <row r="70" spans="2:28">
      <c r="F70" s="166" t="s">
        <v>391</v>
      </c>
      <c r="G70" s="258">
        <v>1</v>
      </c>
      <c r="H70" s="266">
        <v>108</v>
      </c>
      <c r="I70" s="258">
        <f>8*28</f>
        <v>224</v>
      </c>
      <c r="J70" s="276">
        <f>H70*I70</f>
        <v>24192</v>
      </c>
      <c r="N70" s="166" t="s">
        <v>391</v>
      </c>
      <c r="O70" s="258">
        <v>1</v>
      </c>
      <c r="P70" s="266">
        <v>108</v>
      </c>
      <c r="Q70" s="258">
        <f>8*28</f>
        <v>224</v>
      </c>
      <c r="R70" s="276">
        <f>P70*Q70</f>
        <v>24192</v>
      </c>
      <c r="W70" s="166" t="s">
        <v>391</v>
      </c>
      <c r="X70" s="258">
        <v>1</v>
      </c>
      <c r="Y70" s="266">
        <v>108</v>
      </c>
      <c r="Z70" s="258">
        <f>8*18</f>
        <v>144</v>
      </c>
      <c r="AA70" s="276">
        <f>Y70*Z70</f>
        <v>15552</v>
      </c>
    </row>
    <row r="71" spans="2:28">
      <c r="E71" s="166"/>
      <c r="F71" s="258"/>
      <c r="G71" s="266"/>
      <c r="H71" s="258"/>
      <c r="I71" s="276"/>
    </row>
    <row r="72" spans="2:28" ht="15.75" thickBot="1"/>
    <row r="73" spans="2:28">
      <c r="B73" s="224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7"/>
    </row>
    <row r="74" spans="2:28" ht="18.75">
      <c r="B74" s="228"/>
      <c r="C74" s="281" t="s">
        <v>628</v>
      </c>
      <c r="K74" s="167"/>
      <c r="U74" s="231"/>
    </row>
    <row r="75" spans="2:28">
      <c r="B75" s="228"/>
      <c r="C75" t="s">
        <v>173</v>
      </c>
      <c r="D75" t="s">
        <v>328</v>
      </c>
      <c r="E75" t="s">
        <v>524</v>
      </c>
      <c r="F75" t="s">
        <v>525</v>
      </c>
      <c r="G75" t="s">
        <v>339</v>
      </c>
      <c r="H75" t="s">
        <v>526</v>
      </c>
      <c r="I75" t="s">
        <v>528</v>
      </c>
      <c r="J75" t="s">
        <v>629</v>
      </c>
      <c r="K75" s="167"/>
      <c r="U75" s="231"/>
    </row>
    <row r="76" spans="2:28">
      <c r="B76" s="228"/>
      <c r="C76" s="302">
        <v>41149</v>
      </c>
      <c r="K76" s="167"/>
      <c r="U76" s="231"/>
    </row>
    <row r="77" spans="2:28">
      <c r="B77" s="228"/>
      <c r="K77" s="167"/>
      <c r="U77" s="231"/>
    </row>
    <row r="78" spans="2:28">
      <c r="B78" s="228"/>
      <c r="C78" s="2" t="s">
        <v>529</v>
      </c>
      <c r="D78" s="2" t="s">
        <v>530</v>
      </c>
      <c r="E78" s="2">
        <v>140</v>
      </c>
      <c r="F78" s="2" t="s">
        <v>531</v>
      </c>
      <c r="G78" s="2" t="s">
        <v>532</v>
      </c>
      <c r="H78" s="2" t="s">
        <v>533</v>
      </c>
      <c r="I78" s="295">
        <v>42770</v>
      </c>
      <c r="J78" s="295">
        <v>45850</v>
      </c>
      <c r="K78" s="167"/>
      <c r="U78" s="231"/>
    </row>
    <row r="79" spans="2:28">
      <c r="B79" s="228"/>
      <c r="C79" s="2" t="s">
        <v>529</v>
      </c>
      <c r="D79" s="2" t="s">
        <v>534</v>
      </c>
      <c r="E79" s="2">
        <v>140</v>
      </c>
      <c r="F79" s="2" t="s">
        <v>531</v>
      </c>
      <c r="G79" s="2" t="s">
        <v>532</v>
      </c>
      <c r="H79" s="2" t="s">
        <v>533</v>
      </c>
      <c r="I79" s="295">
        <v>45920</v>
      </c>
      <c r="J79" s="295">
        <v>45850</v>
      </c>
      <c r="K79" s="167"/>
      <c r="U79" s="231"/>
    </row>
    <row r="80" spans="2:28">
      <c r="B80" s="228"/>
      <c r="C80" s="2" t="s">
        <v>535</v>
      </c>
      <c r="D80" s="2" t="s">
        <v>536</v>
      </c>
      <c r="E80" s="2">
        <v>256</v>
      </c>
      <c r="F80" s="2" t="s">
        <v>531</v>
      </c>
      <c r="G80" s="2" t="s">
        <v>532</v>
      </c>
      <c r="H80" s="2" t="s">
        <v>533</v>
      </c>
      <c r="I80" s="295">
        <v>94080</v>
      </c>
      <c r="J80" s="295">
        <v>70528</v>
      </c>
      <c r="K80" s="167"/>
      <c r="U80" s="231"/>
    </row>
    <row r="81" spans="2:21">
      <c r="B81" s="228"/>
      <c r="C81" s="2" t="s">
        <v>537</v>
      </c>
      <c r="D81" s="2" t="s">
        <v>538</v>
      </c>
      <c r="E81" s="2">
        <v>12</v>
      </c>
      <c r="F81" s="2" t="s">
        <v>531</v>
      </c>
      <c r="G81" s="2" t="s">
        <v>532</v>
      </c>
      <c r="H81" s="2" t="s">
        <v>533</v>
      </c>
      <c r="I81" s="295">
        <v>10620</v>
      </c>
      <c r="J81" s="295">
        <v>4708.8</v>
      </c>
      <c r="K81" s="167"/>
      <c r="U81" s="231"/>
    </row>
    <row r="82" spans="2:21">
      <c r="B82" s="228"/>
      <c r="C82" s="2" t="s">
        <v>537</v>
      </c>
      <c r="D82" s="2" t="s">
        <v>539</v>
      </c>
      <c r="E82" s="2">
        <v>12</v>
      </c>
      <c r="F82" s="2" t="s">
        <v>531</v>
      </c>
      <c r="G82" s="2" t="s">
        <v>532</v>
      </c>
      <c r="H82" s="2" t="s">
        <v>533</v>
      </c>
      <c r="I82" s="295">
        <v>11520</v>
      </c>
      <c r="J82" s="295">
        <v>4708.8</v>
      </c>
      <c r="K82" s="167"/>
      <c r="U82" s="231"/>
    </row>
    <row r="83" spans="2:21">
      <c r="B83" s="228"/>
      <c r="C83" s="2"/>
      <c r="D83" s="2"/>
      <c r="E83" s="2"/>
      <c r="F83" s="2"/>
      <c r="G83" s="2"/>
      <c r="H83" s="2"/>
      <c r="I83" s="2"/>
      <c r="J83" s="2"/>
      <c r="K83" s="167"/>
      <c r="U83" s="231"/>
    </row>
    <row r="84" spans="2:21">
      <c r="B84" s="228"/>
      <c r="C84" s="2" t="s">
        <v>540</v>
      </c>
      <c r="D84" s="2" t="s">
        <v>541</v>
      </c>
      <c r="E84" s="2">
        <v>2</v>
      </c>
      <c r="F84" s="2" t="s">
        <v>542</v>
      </c>
      <c r="G84" s="2" t="s">
        <v>543</v>
      </c>
      <c r="H84" s="2" t="s">
        <v>533</v>
      </c>
      <c r="I84" s="295">
        <v>17366</v>
      </c>
      <c r="J84" s="295">
        <v>16850</v>
      </c>
      <c r="K84" s="167"/>
      <c r="U84" s="231"/>
    </row>
    <row r="85" spans="2:21">
      <c r="B85" s="228"/>
      <c r="C85" s="2" t="s">
        <v>55</v>
      </c>
      <c r="D85" s="2" t="s">
        <v>544</v>
      </c>
      <c r="E85" s="2">
        <v>2</v>
      </c>
      <c r="F85" s="2" t="s">
        <v>542</v>
      </c>
      <c r="G85" s="2" t="s">
        <v>543</v>
      </c>
      <c r="H85" s="2" t="s">
        <v>533</v>
      </c>
      <c r="I85" s="295">
        <v>14920</v>
      </c>
      <c r="J85" s="295">
        <v>28550</v>
      </c>
      <c r="K85" s="167"/>
      <c r="U85" s="231"/>
    </row>
    <row r="86" spans="2:21">
      <c r="B86" s="228"/>
      <c r="C86" s="2" t="s">
        <v>545</v>
      </c>
      <c r="D86" s="2" t="s">
        <v>546</v>
      </c>
      <c r="E86" s="2">
        <v>8</v>
      </c>
      <c r="F86" s="2" t="s">
        <v>542</v>
      </c>
      <c r="G86" s="2" t="s">
        <v>543</v>
      </c>
      <c r="H86" s="2" t="s">
        <v>533</v>
      </c>
      <c r="I86" s="295">
        <v>15576</v>
      </c>
      <c r="J86" s="295">
        <v>19000</v>
      </c>
      <c r="K86" s="167"/>
      <c r="U86" s="231"/>
    </row>
    <row r="87" spans="2:21">
      <c r="B87" s="228"/>
      <c r="C87" s="2" t="s">
        <v>547</v>
      </c>
      <c r="D87" s="2" t="s">
        <v>548</v>
      </c>
      <c r="E87" s="2">
        <v>16</v>
      </c>
      <c r="F87" s="2" t="s">
        <v>542</v>
      </c>
      <c r="G87" s="2" t="s">
        <v>543</v>
      </c>
      <c r="H87" s="2" t="s">
        <v>533</v>
      </c>
      <c r="I87" s="295">
        <v>10252.799999999999</v>
      </c>
      <c r="J87" s="295">
        <v>5520</v>
      </c>
      <c r="K87" s="167"/>
      <c r="U87" s="231"/>
    </row>
    <row r="88" spans="2:21">
      <c r="B88" s="228"/>
      <c r="C88" s="2" t="s">
        <v>547</v>
      </c>
      <c r="D88" s="2" t="s">
        <v>549</v>
      </c>
      <c r="E88" s="2">
        <v>8</v>
      </c>
      <c r="F88" s="2" t="s">
        <v>542</v>
      </c>
      <c r="G88" s="2" t="s">
        <v>543</v>
      </c>
      <c r="H88" s="2" t="s">
        <v>533</v>
      </c>
      <c r="I88" s="295">
        <v>3409.6</v>
      </c>
      <c r="J88" s="295">
        <v>2760</v>
      </c>
      <c r="K88" s="167"/>
      <c r="U88" s="231"/>
    </row>
    <row r="89" spans="2:21">
      <c r="B89" s="228"/>
      <c r="C89" s="2" t="s">
        <v>550</v>
      </c>
      <c r="D89" s="2" t="s">
        <v>551</v>
      </c>
      <c r="E89" s="2">
        <v>4</v>
      </c>
      <c r="F89" s="2" t="s">
        <v>542</v>
      </c>
      <c r="G89" s="2" t="s">
        <v>543</v>
      </c>
      <c r="H89" s="2" t="s">
        <v>533</v>
      </c>
      <c r="I89" s="295">
        <v>4760</v>
      </c>
      <c r="J89" s="295">
        <v>2880</v>
      </c>
      <c r="K89" s="167"/>
      <c r="U89" s="231"/>
    </row>
    <row r="90" spans="2:21">
      <c r="B90" s="228"/>
      <c r="C90" s="2" t="s">
        <v>552</v>
      </c>
      <c r="D90" s="2" t="s">
        <v>553</v>
      </c>
      <c r="E90" s="2">
        <v>2</v>
      </c>
      <c r="F90" s="2" t="s">
        <v>542</v>
      </c>
      <c r="G90" s="2" t="s">
        <v>543</v>
      </c>
      <c r="H90" s="2" t="s">
        <v>533</v>
      </c>
      <c r="I90" s="295">
        <v>3931</v>
      </c>
      <c r="J90" s="295">
        <v>1550</v>
      </c>
      <c r="K90" s="167"/>
      <c r="U90" s="231"/>
    </row>
    <row r="91" spans="2:21">
      <c r="B91" s="228"/>
      <c r="C91" s="2" t="s">
        <v>554</v>
      </c>
      <c r="D91" s="2" t="s">
        <v>555</v>
      </c>
      <c r="E91" s="2">
        <v>8</v>
      </c>
      <c r="F91" s="2">
        <v>234414</v>
      </c>
      <c r="G91" s="2"/>
      <c r="H91" s="2" t="s">
        <v>533</v>
      </c>
      <c r="I91" s="295">
        <v>1833.6</v>
      </c>
      <c r="J91" s="2" t="s">
        <v>630</v>
      </c>
      <c r="K91" s="167"/>
      <c r="U91" s="231"/>
    </row>
    <row r="92" spans="2:21">
      <c r="B92" s="228"/>
      <c r="C92" s="2" t="s">
        <v>556</v>
      </c>
      <c r="D92" s="2" t="s">
        <v>557</v>
      </c>
      <c r="E92" s="2">
        <v>4</v>
      </c>
      <c r="F92" s="2">
        <v>234414</v>
      </c>
      <c r="G92" s="2"/>
      <c r="H92" s="2" t="s">
        <v>533</v>
      </c>
      <c r="I92" s="295">
        <v>1376.8</v>
      </c>
      <c r="J92" s="2" t="s">
        <v>630</v>
      </c>
      <c r="K92" s="167"/>
      <c r="U92" s="231"/>
    </row>
    <row r="93" spans="2:21">
      <c r="B93" s="228"/>
      <c r="C93" s="2" t="s">
        <v>558</v>
      </c>
      <c r="D93" s="2" t="s">
        <v>559</v>
      </c>
      <c r="E93" s="2">
        <v>4</v>
      </c>
      <c r="F93" s="2" t="s">
        <v>542</v>
      </c>
      <c r="G93" s="2" t="s">
        <v>543</v>
      </c>
      <c r="H93" s="2" t="s">
        <v>533</v>
      </c>
      <c r="I93" s="295">
        <v>1389.6</v>
      </c>
      <c r="J93" s="295">
        <v>480</v>
      </c>
      <c r="K93" s="167"/>
      <c r="U93" s="231"/>
    </row>
    <row r="94" spans="2:21">
      <c r="B94" s="228"/>
      <c r="C94" s="2" t="s">
        <v>560</v>
      </c>
      <c r="D94" s="2" t="s">
        <v>561</v>
      </c>
      <c r="E94" s="2">
        <v>8</v>
      </c>
      <c r="F94" s="2" t="s">
        <v>542</v>
      </c>
      <c r="G94" s="2" t="s">
        <v>543</v>
      </c>
      <c r="H94" s="2" t="s">
        <v>533</v>
      </c>
      <c r="I94" s="295">
        <v>3409.6</v>
      </c>
      <c r="J94" s="295">
        <v>3104</v>
      </c>
      <c r="K94" s="167"/>
      <c r="U94" s="231"/>
    </row>
    <row r="95" spans="2:21">
      <c r="B95" s="228"/>
      <c r="C95" s="2" t="s">
        <v>562</v>
      </c>
      <c r="D95" s="2" t="s">
        <v>563</v>
      </c>
      <c r="E95" s="2">
        <v>24</v>
      </c>
      <c r="F95" s="2" t="s">
        <v>542</v>
      </c>
      <c r="G95" s="2" t="s">
        <v>543</v>
      </c>
      <c r="H95" s="2" t="s">
        <v>533</v>
      </c>
      <c r="I95" s="295">
        <v>2462.4</v>
      </c>
      <c r="J95" s="295">
        <v>432</v>
      </c>
      <c r="K95" s="167"/>
      <c r="U95" s="231"/>
    </row>
    <row r="96" spans="2:21">
      <c r="B96" s="228"/>
      <c r="C96" s="2" t="s">
        <v>564</v>
      </c>
      <c r="D96" s="2" t="s">
        <v>565</v>
      </c>
      <c r="E96" s="2">
        <v>12</v>
      </c>
      <c r="F96" s="2" t="s">
        <v>542</v>
      </c>
      <c r="G96" s="2" t="s">
        <v>543</v>
      </c>
      <c r="H96" s="2" t="s">
        <v>533</v>
      </c>
      <c r="I96" s="295">
        <v>657.6</v>
      </c>
      <c r="J96" s="295">
        <v>336</v>
      </c>
      <c r="K96" s="167"/>
      <c r="U96" s="231"/>
    </row>
    <row r="97" spans="2:21">
      <c r="B97" s="228"/>
      <c r="C97" s="2" t="s">
        <v>566</v>
      </c>
      <c r="D97" s="2" t="s">
        <v>567</v>
      </c>
      <c r="E97" s="2">
        <v>12</v>
      </c>
      <c r="F97" s="2" t="s">
        <v>542</v>
      </c>
      <c r="G97" s="2" t="s">
        <v>543</v>
      </c>
      <c r="H97" s="2" t="s">
        <v>533</v>
      </c>
      <c r="I97" s="295">
        <v>657.6</v>
      </c>
      <c r="J97" s="295">
        <v>420</v>
      </c>
      <c r="K97" s="167"/>
      <c r="U97" s="231"/>
    </row>
    <row r="98" spans="2:21">
      <c r="B98" s="228"/>
      <c r="C98" s="2" t="s">
        <v>55</v>
      </c>
      <c r="D98" s="2" t="s">
        <v>568</v>
      </c>
      <c r="E98" s="2">
        <v>2</v>
      </c>
      <c r="F98" s="2" t="s">
        <v>542</v>
      </c>
      <c r="G98" s="2" t="s">
        <v>543</v>
      </c>
      <c r="H98" s="2" t="s">
        <v>533</v>
      </c>
      <c r="I98" s="295">
        <v>23500</v>
      </c>
      <c r="J98" s="295">
        <v>15350</v>
      </c>
      <c r="K98" s="167"/>
      <c r="U98" s="231"/>
    </row>
    <row r="99" spans="2:21">
      <c r="B99" s="228"/>
      <c r="C99" s="2" t="s">
        <v>569</v>
      </c>
      <c r="D99" s="2" t="s">
        <v>570</v>
      </c>
      <c r="E99" s="2">
        <v>2</v>
      </c>
      <c r="F99" s="2" t="s">
        <v>542</v>
      </c>
      <c r="G99" s="2" t="s">
        <v>543</v>
      </c>
      <c r="H99" s="2" t="s">
        <v>533</v>
      </c>
      <c r="I99" s="295">
        <v>3931</v>
      </c>
      <c r="J99" s="295">
        <v>1670</v>
      </c>
      <c r="K99" s="167"/>
      <c r="U99" s="231"/>
    </row>
    <row r="100" spans="2:21">
      <c r="B100" s="228"/>
      <c r="C100" s="2" t="s">
        <v>540</v>
      </c>
      <c r="D100" s="2" t="s">
        <v>571</v>
      </c>
      <c r="E100" s="2">
        <v>2</v>
      </c>
      <c r="F100" s="2" t="s">
        <v>542</v>
      </c>
      <c r="G100" s="2" t="s">
        <v>543</v>
      </c>
      <c r="H100" s="2" t="s">
        <v>533</v>
      </c>
      <c r="I100" s="295">
        <v>26726</v>
      </c>
      <c r="J100" s="295">
        <v>24570</v>
      </c>
      <c r="K100" s="167"/>
      <c r="U100" s="231"/>
    </row>
    <row r="101" spans="2:21">
      <c r="B101" s="228"/>
      <c r="C101" s="2" t="s">
        <v>572</v>
      </c>
      <c r="D101" s="2" t="s">
        <v>573</v>
      </c>
      <c r="E101" s="2">
        <v>32</v>
      </c>
      <c r="F101" s="2" t="s">
        <v>542</v>
      </c>
      <c r="G101" s="2" t="s">
        <v>543</v>
      </c>
      <c r="H101" s="2" t="s">
        <v>533</v>
      </c>
      <c r="I101" s="295">
        <v>2284.8000000000002</v>
      </c>
      <c r="J101" s="295">
        <v>1216</v>
      </c>
      <c r="K101" s="167"/>
      <c r="U101" s="231"/>
    </row>
    <row r="102" spans="2:21">
      <c r="B102" s="228"/>
      <c r="C102" s="2" t="s">
        <v>574</v>
      </c>
      <c r="D102" s="2" t="s">
        <v>575</v>
      </c>
      <c r="E102" s="2">
        <v>24</v>
      </c>
      <c r="F102" s="2" t="s">
        <v>542</v>
      </c>
      <c r="G102" s="2" t="s">
        <v>543</v>
      </c>
      <c r="H102" s="2" t="s">
        <v>533</v>
      </c>
      <c r="I102" s="295">
        <v>1689.6</v>
      </c>
      <c r="J102" s="295">
        <v>552</v>
      </c>
      <c r="K102" s="167"/>
      <c r="U102" s="231"/>
    </row>
    <row r="103" spans="2:21">
      <c r="B103" s="228"/>
      <c r="C103" s="2" t="s">
        <v>576</v>
      </c>
      <c r="D103" s="2" t="s">
        <v>577</v>
      </c>
      <c r="E103" s="2">
        <v>4</v>
      </c>
      <c r="F103" s="2" t="s">
        <v>542</v>
      </c>
      <c r="G103" s="2" t="s">
        <v>543</v>
      </c>
      <c r="H103" s="2" t="s">
        <v>533</v>
      </c>
      <c r="I103" s="295">
        <v>593.6</v>
      </c>
      <c r="J103" s="295">
        <v>240</v>
      </c>
      <c r="K103" s="167"/>
      <c r="U103" s="231"/>
    </row>
    <row r="104" spans="2:21">
      <c r="B104" s="228"/>
      <c r="C104" s="2" t="s">
        <v>578</v>
      </c>
      <c r="D104" s="2" t="s">
        <v>579</v>
      </c>
      <c r="E104" s="2">
        <v>4</v>
      </c>
      <c r="F104" s="2" t="s">
        <v>542</v>
      </c>
      <c r="G104" s="2" t="s">
        <v>543</v>
      </c>
      <c r="H104" s="2" t="s">
        <v>533</v>
      </c>
      <c r="I104" s="295">
        <v>1233.5999999999999</v>
      </c>
      <c r="J104" s="295">
        <v>540</v>
      </c>
      <c r="K104" s="167"/>
      <c r="U104" s="231"/>
    </row>
    <row r="105" spans="2:21">
      <c r="B105" s="228"/>
      <c r="C105" s="2" t="s">
        <v>560</v>
      </c>
      <c r="D105" s="2" t="s">
        <v>580</v>
      </c>
      <c r="E105" s="2">
        <v>2</v>
      </c>
      <c r="F105" s="2" t="s">
        <v>542</v>
      </c>
      <c r="G105" s="2" t="s">
        <v>543</v>
      </c>
      <c r="H105" s="2" t="s">
        <v>533</v>
      </c>
      <c r="I105" s="295">
        <v>2264</v>
      </c>
      <c r="J105" s="295">
        <v>776</v>
      </c>
      <c r="K105" s="167"/>
      <c r="U105" s="231"/>
    </row>
    <row r="106" spans="2:21">
      <c r="B106" s="228"/>
      <c r="C106" s="2"/>
      <c r="D106" s="2"/>
      <c r="E106" s="2"/>
      <c r="F106" s="2"/>
      <c r="G106" s="2"/>
      <c r="H106" s="2"/>
      <c r="I106" s="2"/>
      <c r="J106" s="2"/>
      <c r="K106" s="167"/>
      <c r="U106" s="231"/>
    </row>
    <row r="107" spans="2:21">
      <c r="B107" s="228"/>
      <c r="C107" s="2" t="s">
        <v>581</v>
      </c>
      <c r="D107" s="2" t="s">
        <v>582</v>
      </c>
      <c r="E107" s="2">
        <v>300</v>
      </c>
      <c r="F107" s="2" t="s">
        <v>583</v>
      </c>
      <c r="G107" s="2" t="s">
        <v>584</v>
      </c>
      <c r="H107" s="2" t="s">
        <v>585</v>
      </c>
      <c r="I107" s="295">
        <v>62.94</v>
      </c>
      <c r="J107" s="295">
        <v>62.94</v>
      </c>
      <c r="K107" s="167"/>
      <c r="U107" s="231"/>
    </row>
    <row r="108" spans="2:21">
      <c r="B108" s="228"/>
      <c r="C108" s="2" t="s">
        <v>586</v>
      </c>
      <c r="D108" s="2" t="s">
        <v>587</v>
      </c>
      <c r="E108" s="2">
        <v>315</v>
      </c>
      <c r="F108" s="2" t="s">
        <v>583</v>
      </c>
      <c r="G108" s="2" t="s">
        <v>584</v>
      </c>
      <c r="H108" s="2" t="s">
        <v>585</v>
      </c>
      <c r="I108" s="295">
        <v>49.05</v>
      </c>
      <c r="J108" s="295">
        <v>49.05</v>
      </c>
      <c r="K108" s="167"/>
      <c r="U108" s="231"/>
    </row>
    <row r="109" spans="2:21">
      <c r="B109" s="228"/>
      <c r="C109" s="2" t="s">
        <v>588</v>
      </c>
      <c r="D109" s="2" t="s">
        <v>589</v>
      </c>
      <c r="E109" s="2">
        <v>310</v>
      </c>
      <c r="F109" s="2" t="s">
        <v>583</v>
      </c>
      <c r="G109" s="2" t="s">
        <v>584</v>
      </c>
      <c r="H109" s="2" t="s">
        <v>585</v>
      </c>
      <c r="I109" s="295">
        <v>1429.1</v>
      </c>
      <c r="J109" s="295">
        <v>1429.1</v>
      </c>
      <c r="K109" s="167"/>
      <c r="U109" s="231"/>
    </row>
    <row r="110" spans="2:21">
      <c r="B110" s="228"/>
      <c r="C110" s="2" t="s">
        <v>590</v>
      </c>
      <c r="D110" s="2" t="s">
        <v>591</v>
      </c>
      <c r="E110" s="2">
        <v>300</v>
      </c>
      <c r="F110" s="2" t="s">
        <v>583</v>
      </c>
      <c r="G110" s="2" t="s">
        <v>584</v>
      </c>
      <c r="H110" s="2" t="s">
        <v>585</v>
      </c>
      <c r="I110" s="295">
        <v>123.48</v>
      </c>
      <c r="J110" s="295">
        <v>123.48</v>
      </c>
      <c r="K110" s="167"/>
      <c r="U110" s="231"/>
    </row>
    <row r="111" spans="2:21">
      <c r="B111" s="228"/>
      <c r="C111" s="2" t="s">
        <v>592</v>
      </c>
      <c r="D111" s="2" t="s">
        <v>593</v>
      </c>
      <c r="E111" s="2">
        <v>300</v>
      </c>
      <c r="F111" s="2" t="s">
        <v>583</v>
      </c>
      <c r="G111" s="2" t="s">
        <v>584</v>
      </c>
      <c r="H111" s="2" t="s">
        <v>585</v>
      </c>
      <c r="I111" s="295">
        <v>92.88</v>
      </c>
      <c r="J111" s="295">
        <v>92.88</v>
      </c>
      <c r="K111" s="167"/>
      <c r="U111" s="231"/>
    </row>
    <row r="112" spans="2:21">
      <c r="B112" s="228"/>
      <c r="C112" s="2" t="s">
        <v>594</v>
      </c>
      <c r="D112" s="2" t="s">
        <v>595</v>
      </c>
      <c r="E112" s="2">
        <v>35</v>
      </c>
      <c r="F112" s="2" t="s">
        <v>583</v>
      </c>
      <c r="G112" s="2" t="s">
        <v>584</v>
      </c>
      <c r="H112" s="2" t="s">
        <v>585</v>
      </c>
      <c r="I112" s="295">
        <v>41.23</v>
      </c>
      <c r="J112" s="295">
        <v>41.23</v>
      </c>
      <c r="K112" s="167"/>
      <c r="U112" s="231"/>
    </row>
    <row r="113" spans="2:21">
      <c r="B113" s="228"/>
      <c r="C113" s="2" t="s">
        <v>596</v>
      </c>
      <c r="D113" s="2" t="s">
        <v>597</v>
      </c>
      <c r="E113" s="2">
        <v>50</v>
      </c>
      <c r="F113" s="2" t="s">
        <v>583</v>
      </c>
      <c r="G113" s="2" t="s">
        <v>584</v>
      </c>
      <c r="H113" s="2" t="s">
        <v>585</v>
      </c>
      <c r="I113" s="295">
        <v>10.06</v>
      </c>
      <c r="J113" s="295">
        <v>10.06</v>
      </c>
      <c r="K113" s="167"/>
      <c r="U113" s="231"/>
    </row>
    <row r="114" spans="2:21">
      <c r="B114" s="228"/>
      <c r="C114" s="2" t="s">
        <v>598</v>
      </c>
      <c r="D114" s="2" t="s">
        <v>599</v>
      </c>
      <c r="E114" s="2">
        <v>50</v>
      </c>
      <c r="F114" s="2" t="s">
        <v>583</v>
      </c>
      <c r="G114" s="2" t="s">
        <v>584</v>
      </c>
      <c r="H114" s="2" t="s">
        <v>585</v>
      </c>
      <c r="I114" s="295">
        <v>14.88</v>
      </c>
      <c r="J114" s="295">
        <v>14.88</v>
      </c>
      <c r="K114" s="167"/>
      <c r="U114" s="231"/>
    </row>
    <row r="115" spans="2:21">
      <c r="B115" s="228"/>
      <c r="C115" s="2" t="s">
        <v>600</v>
      </c>
      <c r="D115" s="2" t="s">
        <v>601</v>
      </c>
      <c r="E115" s="2">
        <v>20</v>
      </c>
      <c r="F115" s="2" t="s">
        <v>583</v>
      </c>
      <c r="G115" s="2" t="s">
        <v>584</v>
      </c>
      <c r="H115" s="2" t="s">
        <v>585</v>
      </c>
      <c r="I115" s="295">
        <v>16.16</v>
      </c>
      <c r="J115" s="295">
        <v>16.16</v>
      </c>
      <c r="K115" s="167"/>
      <c r="U115" s="231"/>
    </row>
    <row r="116" spans="2:21">
      <c r="B116" s="228"/>
      <c r="C116" s="2" t="s">
        <v>602</v>
      </c>
      <c r="D116" s="2" t="s">
        <v>603</v>
      </c>
      <c r="E116" s="2">
        <v>25</v>
      </c>
      <c r="F116" s="2" t="s">
        <v>583</v>
      </c>
      <c r="G116" s="2" t="s">
        <v>584</v>
      </c>
      <c r="H116" s="2" t="s">
        <v>585</v>
      </c>
      <c r="I116" s="295">
        <v>8</v>
      </c>
      <c r="J116" s="295">
        <v>8</v>
      </c>
      <c r="K116" s="167"/>
      <c r="U116" s="231"/>
    </row>
    <row r="117" spans="2:21">
      <c r="B117" s="228"/>
      <c r="C117" s="2" t="s">
        <v>604</v>
      </c>
      <c r="D117" s="2" t="s">
        <v>605</v>
      </c>
      <c r="E117" s="2">
        <v>20</v>
      </c>
      <c r="F117" s="2" t="s">
        <v>583</v>
      </c>
      <c r="G117" s="2" t="s">
        <v>584</v>
      </c>
      <c r="H117" s="2" t="s">
        <v>585</v>
      </c>
      <c r="I117" s="295">
        <v>11</v>
      </c>
      <c r="J117" s="295">
        <v>11</v>
      </c>
      <c r="K117" s="167"/>
      <c r="U117" s="231"/>
    </row>
    <row r="118" spans="2:21">
      <c r="B118" s="228"/>
      <c r="C118" s="2" t="s">
        <v>606</v>
      </c>
      <c r="D118" s="2" t="s">
        <v>607</v>
      </c>
      <c r="E118" s="2">
        <v>80</v>
      </c>
      <c r="F118" s="2" t="s">
        <v>583</v>
      </c>
      <c r="G118" s="2" t="s">
        <v>584</v>
      </c>
      <c r="H118" s="2" t="s">
        <v>585</v>
      </c>
      <c r="I118" s="295">
        <v>51.2</v>
      </c>
      <c r="J118" s="295">
        <v>51.2</v>
      </c>
      <c r="K118" s="167"/>
      <c r="U118" s="231"/>
    </row>
    <row r="119" spans="2:21">
      <c r="B119" s="228"/>
      <c r="C119" s="2" t="s">
        <v>608</v>
      </c>
      <c r="D119" s="2" t="s">
        <v>609</v>
      </c>
      <c r="E119" s="2">
        <v>160</v>
      </c>
      <c r="F119" s="2" t="s">
        <v>583</v>
      </c>
      <c r="G119" s="2" t="s">
        <v>584</v>
      </c>
      <c r="H119" s="2" t="s">
        <v>585</v>
      </c>
      <c r="I119" s="295">
        <v>153.91999999999999</v>
      </c>
      <c r="J119" s="295">
        <v>153.91999999999999</v>
      </c>
      <c r="K119" s="167"/>
      <c r="U119" s="231"/>
    </row>
    <row r="120" spans="2:21">
      <c r="B120" s="228"/>
      <c r="C120" s="2" t="s">
        <v>610</v>
      </c>
      <c r="D120" s="2" t="s">
        <v>611</v>
      </c>
      <c r="E120" s="2">
        <v>300</v>
      </c>
      <c r="F120" s="2" t="s">
        <v>583</v>
      </c>
      <c r="G120" s="2" t="s">
        <v>584</v>
      </c>
      <c r="H120" s="2" t="s">
        <v>585</v>
      </c>
      <c r="I120" s="295">
        <v>438</v>
      </c>
      <c r="J120" s="295">
        <v>438</v>
      </c>
      <c r="K120" s="167"/>
      <c r="U120" s="231"/>
    </row>
    <row r="121" spans="2:21">
      <c r="B121" s="228"/>
      <c r="C121" s="2" t="s">
        <v>612</v>
      </c>
      <c r="D121" s="2" t="s">
        <v>613</v>
      </c>
      <c r="E121" s="2">
        <v>300</v>
      </c>
      <c r="F121" s="2" t="s">
        <v>583</v>
      </c>
      <c r="G121" s="2" t="s">
        <v>584</v>
      </c>
      <c r="H121" s="2" t="s">
        <v>585</v>
      </c>
      <c r="I121" s="295">
        <v>396</v>
      </c>
      <c r="J121" s="295">
        <v>396</v>
      </c>
      <c r="K121" s="167"/>
      <c r="U121" s="231"/>
    </row>
    <row r="122" spans="2:21">
      <c r="B122" s="228"/>
      <c r="C122" s="2" t="s">
        <v>614</v>
      </c>
      <c r="D122" s="2" t="s">
        <v>615</v>
      </c>
      <c r="E122" s="2">
        <v>20</v>
      </c>
      <c r="F122" s="2" t="s">
        <v>583</v>
      </c>
      <c r="G122" s="2" t="s">
        <v>584</v>
      </c>
      <c r="H122" s="2" t="s">
        <v>585</v>
      </c>
      <c r="I122" s="295">
        <v>15.68</v>
      </c>
      <c r="J122" s="295">
        <v>15.68</v>
      </c>
      <c r="K122" s="167"/>
      <c r="U122" s="231"/>
    </row>
    <row r="123" spans="2:21">
      <c r="B123" s="228"/>
      <c r="C123" s="2" t="s">
        <v>616</v>
      </c>
      <c r="D123" s="2" t="s">
        <v>617</v>
      </c>
      <c r="E123" s="2">
        <v>40</v>
      </c>
      <c r="F123" s="2" t="s">
        <v>583</v>
      </c>
      <c r="G123" s="2" t="s">
        <v>584</v>
      </c>
      <c r="H123" s="2" t="s">
        <v>585</v>
      </c>
      <c r="I123" s="295">
        <v>28.68</v>
      </c>
      <c r="J123" s="295">
        <v>28.68</v>
      </c>
      <c r="K123" s="167"/>
      <c r="U123" s="231"/>
    </row>
    <row r="124" spans="2:21">
      <c r="B124" s="228"/>
      <c r="C124" s="2" t="s">
        <v>618</v>
      </c>
      <c r="D124" s="2" t="s">
        <v>619</v>
      </c>
      <c r="E124" s="2">
        <v>154</v>
      </c>
      <c r="F124" s="2" t="s">
        <v>583</v>
      </c>
      <c r="G124" s="2" t="s">
        <v>584</v>
      </c>
      <c r="H124" s="2" t="s">
        <v>585</v>
      </c>
      <c r="I124" s="295">
        <v>1410.64</v>
      </c>
      <c r="J124" s="295">
        <v>1410.64</v>
      </c>
      <c r="K124" s="167"/>
      <c r="U124" s="231"/>
    </row>
    <row r="125" spans="2:21">
      <c r="B125" s="228"/>
      <c r="C125" s="2" t="s">
        <v>620</v>
      </c>
      <c r="D125" s="2" t="s">
        <v>621</v>
      </c>
      <c r="E125" s="2">
        <v>80</v>
      </c>
      <c r="F125" s="2" t="s">
        <v>583</v>
      </c>
      <c r="G125" s="2" t="s">
        <v>584</v>
      </c>
      <c r="H125" s="2" t="s">
        <v>585</v>
      </c>
      <c r="I125" s="295">
        <v>280</v>
      </c>
      <c r="J125" s="2">
        <v>323.95999999999998</v>
      </c>
      <c r="K125" s="167"/>
      <c r="U125" s="231"/>
    </row>
    <row r="126" spans="2:21">
      <c r="B126" s="228"/>
      <c r="C126" s="2" t="s">
        <v>622</v>
      </c>
      <c r="D126" s="2" t="s">
        <v>623</v>
      </c>
      <c r="E126" s="2">
        <v>100</v>
      </c>
      <c r="F126" s="2" t="s">
        <v>583</v>
      </c>
      <c r="G126" s="2" t="s">
        <v>584</v>
      </c>
      <c r="H126" s="2" t="s">
        <v>585</v>
      </c>
      <c r="I126" s="295">
        <v>65.680000000000007</v>
      </c>
      <c r="J126" s="295">
        <v>65.680000000000007</v>
      </c>
      <c r="K126" s="167"/>
      <c r="U126" s="231"/>
    </row>
    <row r="127" spans="2:21">
      <c r="B127" s="228"/>
      <c r="C127" s="2" t="s">
        <v>586</v>
      </c>
      <c r="D127" s="2" t="s">
        <v>624</v>
      </c>
      <c r="E127" s="2">
        <v>600</v>
      </c>
      <c r="F127" s="2" t="s">
        <v>583</v>
      </c>
      <c r="G127" s="2" t="s">
        <v>584</v>
      </c>
      <c r="H127" s="2" t="s">
        <v>585</v>
      </c>
      <c r="I127" s="295">
        <v>894</v>
      </c>
      <c r="J127" s="295">
        <v>894</v>
      </c>
      <c r="K127" s="167"/>
      <c r="U127" s="231"/>
    </row>
    <row r="128" spans="2:21">
      <c r="B128" s="228"/>
      <c r="C128" s="2"/>
      <c r="D128" s="2"/>
      <c r="E128" s="2"/>
      <c r="F128" s="2"/>
      <c r="G128" s="2"/>
      <c r="H128" s="2"/>
      <c r="I128" s="295"/>
      <c r="J128" s="295"/>
      <c r="K128" s="167"/>
      <c r="U128" s="231"/>
    </row>
    <row r="129" spans="2:21">
      <c r="B129" s="228"/>
      <c r="C129" s="2" t="s">
        <v>620</v>
      </c>
      <c r="D129" s="2"/>
      <c r="E129" s="2">
        <v>160</v>
      </c>
      <c r="F129" s="2" t="s">
        <v>625</v>
      </c>
      <c r="G129" s="2" t="s">
        <v>626</v>
      </c>
      <c r="H129" s="2" t="s">
        <v>627</v>
      </c>
      <c r="I129" s="295">
        <v>782</v>
      </c>
      <c r="J129" s="295">
        <v>782</v>
      </c>
      <c r="K129" s="167"/>
      <c r="U129" s="231"/>
    </row>
    <row r="130" spans="2:21">
      <c r="B130" s="228"/>
      <c r="C130" s="2"/>
      <c r="D130" s="2"/>
      <c r="E130" s="2"/>
      <c r="F130" s="2"/>
      <c r="G130" s="2"/>
      <c r="H130" s="2"/>
      <c r="I130" s="295"/>
      <c r="J130" s="295"/>
      <c r="K130" s="167"/>
      <c r="U130" s="231"/>
    </row>
    <row r="131" spans="2:21">
      <c r="B131" s="228"/>
      <c r="C131" s="2" t="s">
        <v>618</v>
      </c>
      <c r="D131" s="2" t="s">
        <v>619</v>
      </c>
      <c r="E131" s="2">
        <v>154</v>
      </c>
      <c r="F131" s="2"/>
      <c r="G131" s="2" t="s">
        <v>584</v>
      </c>
      <c r="H131" s="2" t="s">
        <v>631</v>
      </c>
      <c r="I131" s="295"/>
      <c r="J131" s="295">
        <f>4.61*E131</f>
        <v>709.94</v>
      </c>
      <c r="K131" s="167"/>
      <c r="U131" s="231"/>
    </row>
    <row r="132" spans="2:21">
      <c r="B132" s="228"/>
      <c r="C132" s="2"/>
      <c r="D132" s="2"/>
      <c r="E132" s="2"/>
      <c r="F132" s="2"/>
      <c r="G132" s="2"/>
      <c r="H132" s="2"/>
      <c r="I132" s="2"/>
      <c r="J132" s="2"/>
      <c r="K132" s="167"/>
      <c r="U132" s="231"/>
    </row>
    <row r="133" spans="2:21">
      <c r="B133" s="228"/>
      <c r="C133" s="2"/>
      <c r="D133" s="2"/>
      <c r="E133" s="2"/>
      <c r="F133" s="2"/>
      <c r="G133" s="2"/>
      <c r="H133" s="298" t="s">
        <v>153</v>
      </c>
      <c r="I133" s="298"/>
      <c r="J133" s="298">
        <f>SUM(J78:J90,I91:I92,J93:J131)</f>
        <v>308780.47999999992</v>
      </c>
      <c r="K133" s="167"/>
      <c r="U133" s="231"/>
    </row>
    <row r="134" spans="2:21">
      <c r="B134" s="228"/>
      <c r="K134" s="167"/>
      <c r="U134" s="231"/>
    </row>
    <row r="135" spans="2:21" ht="15.75" thickBot="1">
      <c r="B135" s="250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2"/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5" sqref="C5"/>
    </sheetView>
  </sheetViews>
  <sheetFormatPr defaultRowHeight="15"/>
  <cols>
    <col min="1" max="1" width="36.28515625" customWidth="1"/>
    <col min="2" max="2" width="14.5703125" customWidth="1"/>
    <col min="3" max="3" width="14.85546875" customWidth="1"/>
  </cols>
  <sheetData>
    <row r="3" spans="1:4" ht="30">
      <c r="A3" s="29" t="s">
        <v>235</v>
      </c>
      <c r="B3" s="101">
        <v>10</v>
      </c>
      <c r="C3" s="2"/>
      <c r="D3" s="2"/>
    </row>
    <row r="4" spans="1:4" ht="45">
      <c r="A4" s="2"/>
      <c r="B4" s="29" t="s">
        <v>166</v>
      </c>
      <c r="C4" s="29" t="s">
        <v>167</v>
      </c>
      <c r="D4" s="2" t="s">
        <v>153</v>
      </c>
    </row>
    <row r="5" spans="1:4">
      <c r="A5" s="2" t="s">
        <v>233</v>
      </c>
      <c r="B5" s="100">
        <f>SUM('Test Stand'!B14:D14)</f>
        <v>1074.3560000000002</v>
      </c>
      <c r="C5" s="100">
        <f>'Test Stand'!E14</f>
        <v>532.04520940800001</v>
      </c>
      <c r="D5" s="100">
        <f>SUM(B5:C5)</f>
        <v>1606.4012094080003</v>
      </c>
    </row>
    <row r="6" spans="1:4">
      <c r="A6" s="2" t="s">
        <v>228</v>
      </c>
      <c r="B6" s="100">
        <f>('Cryostat - half-length'!G45+'Cryostat - half-length'!G54)/1000</f>
        <v>1242.8</v>
      </c>
      <c r="C6" s="100">
        <f>('Cryostat - half-length'!J34)/1000</f>
        <v>181.81067649978201</v>
      </c>
      <c r="D6" s="100">
        <f>SUM(B6:C6)</f>
        <v>1424.6106764997819</v>
      </c>
    </row>
    <row r="7" spans="1:4">
      <c r="A7" s="2" t="s">
        <v>234</v>
      </c>
      <c r="B7" s="100">
        <f>Operations!B16</f>
        <v>136</v>
      </c>
      <c r="C7" s="100">
        <f>Operations!C16</f>
        <v>81.865200000000002</v>
      </c>
      <c r="D7" s="100">
        <f>SUM(B7:C7)</f>
        <v>217.86520000000002</v>
      </c>
    </row>
    <row r="8" spans="1:4">
      <c r="A8" s="2" t="s">
        <v>230</v>
      </c>
      <c r="B8" s="100">
        <f>Operations!B21</f>
        <v>731</v>
      </c>
      <c r="C8" s="100">
        <f>Operations!C21</f>
        <v>440.02544999999998</v>
      </c>
      <c r="D8" s="100">
        <f>SUM(B8:C8)</f>
        <v>1171.0254500000001</v>
      </c>
    </row>
    <row r="9" spans="1:4">
      <c r="A9" s="2" t="s">
        <v>231</v>
      </c>
      <c r="B9" s="100">
        <f>B3*'Cryostat - half-length'!K56/1000</f>
        <v>629</v>
      </c>
      <c r="C9" s="100">
        <v>0</v>
      </c>
      <c r="D9" s="100">
        <f>SUM(B9:C9)</f>
        <v>629</v>
      </c>
    </row>
    <row r="10" spans="1:4">
      <c r="A10" s="2" t="s">
        <v>121</v>
      </c>
      <c r="B10" s="100"/>
      <c r="C10" s="100"/>
      <c r="D10" s="102">
        <f>SUM(D5:D8)</f>
        <v>4419.9025359077823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F14" sqref="F14"/>
    </sheetView>
  </sheetViews>
  <sheetFormatPr defaultRowHeight="15"/>
  <cols>
    <col min="1" max="1" width="36.5703125" customWidth="1"/>
    <col min="2" max="3" width="8.85546875" customWidth="1"/>
    <col min="4" max="4" width="10.42578125" customWidth="1"/>
    <col min="5" max="5" width="9" style="41" customWidth="1"/>
  </cols>
  <sheetData>
    <row r="1" spans="1:9">
      <c r="A1" s="42" t="s">
        <v>140</v>
      </c>
    </row>
    <row r="3" spans="1:9" s="39" customFormat="1" ht="30">
      <c r="A3" s="38" t="s">
        <v>120</v>
      </c>
      <c r="B3" s="39" t="s">
        <v>122</v>
      </c>
      <c r="C3" s="39" t="s">
        <v>123</v>
      </c>
      <c r="D3" s="39" t="s">
        <v>124</v>
      </c>
      <c r="E3" s="40" t="s">
        <v>125</v>
      </c>
    </row>
    <row r="4" spans="1:9">
      <c r="A4" s="36" t="s">
        <v>28</v>
      </c>
      <c r="B4" s="37">
        <v>12</v>
      </c>
      <c r="C4" s="37"/>
      <c r="D4" s="37"/>
      <c r="G4" s="42" t="s">
        <v>127</v>
      </c>
      <c r="H4" s="42">
        <f>SUM(B11:D11)</f>
        <v>245</v>
      </c>
      <c r="I4" s="42" t="s">
        <v>128</v>
      </c>
    </row>
    <row r="5" spans="1:9">
      <c r="A5" s="36" t="s">
        <v>38</v>
      </c>
      <c r="B5" s="37">
        <v>14</v>
      </c>
      <c r="C5" s="37">
        <v>25.4</v>
      </c>
      <c r="D5" s="37">
        <v>18.000000000000004</v>
      </c>
      <c r="E5" s="41">
        <v>117.22</v>
      </c>
      <c r="G5" s="42"/>
      <c r="H5" s="43">
        <f>H4/(52*0.85)</f>
        <v>5.5429864253393673</v>
      </c>
      <c r="I5" s="42" t="s">
        <v>126</v>
      </c>
    </row>
    <row r="6" spans="1:9">
      <c r="A6" s="36" t="s">
        <v>36</v>
      </c>
      <c r="B6" s="37">
        <v>22.2</v>
      </c>
      <c r="C6" s="37">
        <v>7</v>
      </c>
      <c r="D6" s="37">
        <v>24</v>
      </c>
      <c r="E6" s="41">
        <v>99</v>
      </c>
    </row>
    <row r="7" spans="1:9">
      <c r="A7" s="36" t="s">
        <v>43</v>
      </c>
      <c r="B7" s="37">
        <v>2.5</v>
      </c>
      <c r="C7" s="37"/>
      <c r="D7" s="37">
        <v>1.5</v>
      </c>
      <c r="E7" s="41">
        <v>11</v>
      </c>
    </row>
    <row r="8" spans="1:9">
      <c r="A8" s="36" t="s">
        <v>107</v>
      </c>
      <c r="B8" s="37">
        <v>15</v>
      </c>
      <c r="C8" s="37"/>
      <c r="D8" s="37">
        <v>35</v>
      </c>
      <c r="E8" s="41">
        <v>134</v>
      </c>
    </row>
    <row r="9" spans="1:9">
      <c r="A9" s="36" t="s">
        <v>33</v>
      </c>
      <c r="B9" s="37"/>
      <c r="C9" s="37"/>
      <c r="D9" s="37"/>
      <c r="E9" s="41">
        <v>21.2</v>
      </c>
    </row>
    <row r="10" spans="1:9">
      <c r="A10" s="36" t="s">
        <v>58</v>
      </c>
      <c r="B10" s="37">
        <v>14</v>
      </c>
      <c r="C10" s="37">
        <v>8.4</v>
      </c>
      <c r="D10" s="37">
        <v>46</v>
      </c>
      <c r="E10" s="41">
        <v>59.514719999999997</v>
      </c>
    </row>
    <row r="11" spans="1:9">
      <c r="A11" s="36" t="s">
        <v>121</v>
      </c>
      <c r="B11" s="37">
        <v>79.7</v>
      </c>
      <c r="C11" s="37">
        <v>40.799999999999997</v>
      </c>
      <c r="D11" s="37">
        <v>124.5</v>
      </c>
      <c r="E11" s="41">
        <v>441.93472000000003</v>
      </c>
    </row>
    <row r="12" spans="1:9">
      <c r="A12" s="36" t="s">
        <v>163</v>
      </c>
      <c r="E12">
        <f>GETPIVOTDATA("M&amp;S ($K)",$A$3)*(1+Overheads!C23)</f>
        <v>532.04520940800001</v>
      </c>
    </row>
    <row r="13" spans="1:9">
      <c r="A13" s="36" t="s">
        <v>154</v>
      </c>
      <c r="B13" s="47">
        <f>Overheads!C7/1000</f>
        <v>6</v>
      </c>
      <c r="C13" s="47">
        <f>Overheads!C6/1000</f>
        <v>4.08</v>
      </c>
      <c r="D13" s="47">
        <f>Overheads!C5/1000</f>
        <v>3.4</v>
      </c>
      <c r="E13"/>
      <c r="F13" t="s">
        <v>156</v>
      </c>
    </row>
    <row r="14" spans="1:9">
      <c r="A14" s="36" t="s">
        <v>155</v>
      </c>
      <c r="B14" s="47">
        <f>GETPIVOTDATA("Engineer (p-wks)",$A$3)*B13</f>
        <v>478.20000000000005</v>
      </c>
      <c r="C14" s="47">
        <f t="shared" ref="C14:D14" si="0">GETPIVOTDATA("Engineer (p-wks)",$A$3)*C13</f>
        <v>325.17600000000004</v>
      </c>
      <c r="D14" s="47">
        <f t="shared" si="0"/>
        <v>270.98</v>
      </c>
      <c r="E14" s="48">
        <f>E12</f>
        <v>532.04520940800001</v>
      </c>
      <c r="F14" s="49">
        <f>SUM(B14:E14)</f>
        <v>1606.4012094080003</v>
      </c>
    </row>
    <row r="15" spans="1:9">
      <c r="E15"/>
    </row>
    <row r="16" spans="1:9">
      <c r="E16"/>
    </row>
    <row r="17" spans="5:5">
      <c r="E17"/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  <row r="25" spans="5:5">
      <c r="E25"/>
    </row>
    <row r="26" spans="5:5">
      <c r="E26"/>
    </row>
    <row r="27" spans="5:5">
      <c r="E27"/>
    </row>
    <row r="28" spans="5:5">
      <c r="E28"/>
    </row>
    <row r="29" spans="5:5">
      <c r="E29"/>
    </row>
    <row r="30" spans="5:5">
      <c r="E30"/>
    </row>
    <row r="31" spans="5:5">
      <c r="E31"/>
    </row>
    <row r="32" spans="5:5">
      <c r="E32"/>
    </row>
    <row r="33" spans="5:5">
      <c r="E33"/>
    </row>
    <row r="34" spans="5:5">
      <c r="E34"/>
    </row>
    <row r="35" spans="5:5">
      <c r="E35"/>
    </row>
    <row r="36" spans="5:5">
      <c r="E36"/>
    </row>
    <row r="37" spans="5:5">
      <c r="E37"/>
    </row>
    <row r="38" spans="5:5">
      <c r="E38"/>
    </row>
    <row r="39" spans="5:5">
      <c r="E39"/>
    </row>
    <row r="40" spans="5:5">
      <c r="E40"/>
    </row>
    <row r="41" spans="5:5">
      <c r="E41"/>
    </row>
    <row r="42" spans="5:5">
      <c r="E42"/>
    </row>
    <row r="43" spans="5:5">
      <c r="E43"/>
    </row>
    <row r="44" spans="5:5">
      <c r="E44"/>
    </row>
    <row r="45" spans="5:5">
      <c r="E45"/>
    </row>
    <row r="46" spans="5:5">
      <c r="E46"/>
    </row>
    <row r="47" spans="5:5">
      <c r="E47"/>
    </row>
    <row r="48" spans="5:5">
      <c r="E48"/>
    </row>
    <row r="49" spans="5:5">
      <c r="E49"/>
    </row>
    <row r="50" spans="5:5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  <row r="70" spans="5:5">
      <c r="E70"/>
    </row>
    <row r="71" spans="5:5">
      <c r="E71"/>
    </row>
    <row r="72" spans="5:5">
      <c r="E72"/>
    </row>
    <row r="73" spans="5:5">
      <c r="E73"/>
    </row>
    <row r="74" spans="5:5">
      <c r="E74"/>
    </row>
    <row r="75" spans="5:5">
      <c r="E75"/>
    </row>
    <row r="76" spans="5:5">
      <c r="E76"/>
    </row>
    <row r="77" spans="5:5">
      <c r="E77"/>
    </row>
    <row r="78" spans="5:5">
      <c r="E78"/>
    </row>
    <row r="79" spans="5:5">
      <c r="E79"/>
    </row>
    <row r="80" spans="5:5">
      <c r="E80"/>
    </row>
    <row r="81" spans="5:5">
      <c r="E81"/>
    </row>
    <row r="82" spans="5:5">
      <c r="E82"/>
    </row>
    <row r="83" spans="5:5">
      <c r="E83"/>
    </row>
    <row r="84" spans="5:5">
      <c r="E84"/>
    </row>
    <row r="85" spans="5:5">
      <c r="E85"/>
    </row>
    <row r="86" spans="5:5">
      <c r="E86"/>
    </row>
    <row r="87" spans="5:5">
      <c r="E87"/>
    </row>
    <row r="88" spans="5:5">
      <c r="E88"/>
    </row>
    <row r="89" spans="5:5">
      <c r="E89"/>
    </row>
    <row r="90" spans="5:5">
      <c r="E90"/>
    </row>
    <row r="91" spans="5:5">
      <c r="E91"/>
    </row>
    <row r="92" spans="5:5">
      <c r="E92"/>
    </row>
    <row r="93" spans="5:5">
      <c r="E93"/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</sheetData>
  <pageMargins left="0.7" right="0.7" top="0.75" bottom="0.75" header="0.3" footer="0.3"/>
  <pageSetup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2"/>
  <sheetViews>
    <sheetView topLeftCell="B1" workbookViewId="0">
      <selection activeCell="D42" sqref="D42"/>
    </sheetView>
  </sheetViews>
  <sheetFormatPr defaultRowHeight="15"/>
  <cols>
    <col min="1" max="1" width="39.5703125" style="2" hidden="1" customWidth="1"/>
    <col min="2" max="2" width="45.7109375" style="2" customWidth="1"/>
    <col min="3" max="3" width="48.28515625" style="20" customWidth="1"/>
    <col min="4" max="4" width="59.140625" style="2" customWidth="1"/>
    <col min="5" max="5" width="9.140625" style="1" customWidth="1"/>
    <col min="6" max="6" width="10.7109375" style="1" customWidth="1"/>
    <col min="7" max="7" width="11.85546875" style="1" customWidth="1"/>
    <col min="8" max="9" width="9.140625" style="1" customWidth="1"/>
    <col min="10" max="10" width="14.42578125" style="21" customWidth="1"/>
    <col min="11" max="11" width="10.28515625" style="21" customWidth="1"/>
    <col min="12" max="12" width="23.85546875" style="1" customWidth="1"/>
    <col min="13" max="13" width="43" style="2" customWidth="1"/>
    <col min="14" max="14" width="43.7109375" style="2" customWidth="1"/>
    <col min="15" max="15" width="30.140625" style="2" customWidth="1"/>
    <col min="16" max="16" width="18.85546875" style="32" customWidth="1"/>
    <col min="17" max="17" width="14.7109375" style="22" customWidth="1"/>
    <col min="18" max="18" width="11.85546875" style="22" customWidth="1"/>
    <col min="19" max="19" width="12" style="2" customWidth="1"/>
    <col min="20" max="20" width="12.28515625" style="2" customWidth="1"/>
    <col min="21" max="16384" width="9.140625" style="2"/>
  </cols>
  <sheetData>
    <row r="2" spans="1:20" s="1" customFormat="1">
      <c r="E2" s="594" t="s">
        <v>0</v>
      </c>
      <c r="F2" s="594"/>
      <c r="G2" s="594"/>
      <c r="H2" s="594"/>
      <c r="I2" s="594"/>
      <c r="J2" s="594"/>
      <c r="K2" s="595"/>
      <c r="P2" s="596" t="s">
        <v>1</v>
      </c>
      <c r="Q2" s="594"/>
      <c r="R2" s="594"/>
      <c r="S2" s="594"/>
      <c r="T2" s="594"/>
    </row>
    <row r="3" spans="1:20">
      <c r="B3" s="597" t="s">
        <v>2</v>
      </c>
      <c r="C3" s="597"/>
      <c r="D3" s="597"/>
      <c r="E3" s="598" t="s">
        <v>3</v>
      </c>
      <c r="F3" s="598"/>
      <c r="G3" s="598"/>
      <c r="H3" s="599" t="s">
        <v>4</v>
      </c>
      <c r="I3" s="599"/>
      <c r="J3" s="599"/>
      <c r="K3" s="599"/>
      <c r="L3" s="3" t="s">
        <v>5</v>
      </c>
      <c r="N3" s="4"/>
      <c r="P3" s="5"/>
      <c r="Q3" s="6"/>
      <c r="R3" s="600" t="s">
        <v>6</v>
      </c>
      <c r="S3" s="601"/>
      <c r="T3" s="601"/>
    </row>
    <row r="4" spans="1:20" s="8" customFormat="1" ht="30">
      <c r="A4" s="8" t="s">
        <v>7</v>
      </c>
      <c r="B4" s="8" t="s">
        <v>8</v>
      </c>
      <c r="C4" s="9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10" t="s">
        <v>16</v>
      </c>
      <c r="K4" s="10" t="s">
        <v>17</v>
      </c>
      <c r="L4" s="8" t="s">
        <v>18</v>
      </c>
      <c r="M4" s="8" t="s">
        <v>19</v>
      </c>
      <c r="N4" s="8" t="s">
        <v>20</v>
      </c>
      <c r="O4" s="8" t="s">
        <v>21</v>
      </c>
      <c r="P4" s="11" t="s">
        <v>22</v>
      </c>
      <c r="Q4" s="11" t="s">
        <v>23</v>
      </c>
      <c r="R4" s="11" t="s">
        <v>24</v>
      </c>
      <c r="S4" s="8" t="s">
        <v>25</v>
      </c>
      <c r="T4" s="8" t="s">
        <v>26</v>
      </c>
    </row>
    <row r="5" spans="1:20" s="8" customFormat="1">
      <c r="A5" s="12" t="s">
        <v>27</v>
      </c>
      <c r="B5" s="12" t="s">
        <v>28</v>
      </c>
      <c r="C5" s="13" t="s">
        <v>29</v>
      </c>
      <c r="E5" s="14">
        <v>12</v>
      </c>
      <c r="J5" s="10"/>
      <c r="K5" s="10"/>
      <c r="M5" s="12"/>
      <c r="N5" s="13"/>
      <c r="O5" s="12"/>
      <c r="P5" s="15"/>
      <c r="Q5" s="15"/>
      <c r="R5" s="15"/>
    </row>
    <row r="6" spans="1:20" s="8" customFormat="1">
      <c r="A6" s="12"/>
      <c r="B6" s="12" t="s">
        <v>38</v>
      </c>
      <c r="D6" s="13" t="s">
        <v>39</v>
      </c>
      <c r="E6" s="14"/>
      <c r="G6" s="14">
        <v>0.6</v>
      </c>
      <c r="J6" s="10"/>
      <c r="K6" s="10"/>
      <c r="M6" s="17"/>
      <c r="N6" s="18"/>
      <c r="O6" s="12"/>
      <c r="P6" s="15"/>
      <c r="Q6" s="15"/>
      <c r="R6" s="15"/>
    </row>
    <row r="7" spans="1:20" s="8" customFormat="1">
      <c r="A7" s="12"/>
      <c r="B7" s="12" t="s">
        <v>38</v>
      </c>
      <c r="C7" s="13" t="s">
        <v>56</v>
      </c>
      <c r="D7" s="12" t="s">
        <v>40</v>
      </c>
      <c r="E7" s="14"/>
      <c r="G7" s="14">
        <v>0.2</v>
      </c>
      <c r="J7" s="10"/>
      <c r="K7" s="10"/>
      <c r="M7" s="17"/>
      <c r="N7" s="18"/>
      <c r="O7" s="12"/>
      <c r="P7" s="15"/>
      <c r="Q7" s="15"/>
      <c r="R7" s="15"/>
    </row>
    <row r="8" spans="1:20" s="8" customFormat="1">
      <c r="A8" s="12"/>
      <c r="B8" s="12" t="s">
        <v>38</v>
      </c>
      <c r="C8" s="13" t="s">
        <v>55</v>
      </c>
      <c r="D8" s="12" t="s">
        <v>41</v>
      </c>
      <c r="E8" s="14"/>
      <c r="G8" s="14">
        <v>0.6</v>
      </c>
      <c r="J8" s="10"/>
      <c r="K8" s="10"/>
      <c r="M8" s="17"/>
      <c r="N8" s="18"/>
      <c r="O8" s="12"/>
      <c r="P8" s="15"/>
      <c r="Q8" s="15"/>
      <c r="R8" s="15"/>
    </row>
    <row r="9" spans="1:20" s="8" customFormat="1">
      <c r="A9" s="12"/>
      <c r="B9" s="12" t="s">
        <v>43</v>
      </c>
      <c r="C9" s="13" t="s">
        <v>57</v>
      </c>
      <c r="D9" s="12" t="s">
        <v>119</v>
      </c>
      <c r="E9" s="14">
        <v>2.5</v>
      </c>
      <c r="G9" s="14"/>
      <c r="J9" s="10"/>
      <c r="K9" s="16">
        <v>11</v>
      </c>
      <c r="M9" s="17"/>
      <c r="N9" s="18"/>
      <c r="O9" s="12"/>
      <c r="P9" s="15"/>
      <c r="Q9" s="15"/>
      <c r="R9" s="15"/>
    </row>
    <row r="10" spans="1:20">
      <c r="A10" s="12"/>
      <c r="B10" s="2" t="s">
        <v>43</v>
      </c>
      <c r="C10" s="20" t="s">
        <v>57</v>
      </c>
      <c r="D10" s="2" t="s">
        <v>42</v>
      </c>
      <c r="G10" s="19">
        <v>0.6</v>
      </c>
      <c r="L10" s="19"/>
      <c r="P10" s="15"/>
      <c r="Q10" s="15"/>
      <c r="R10" s="15"/>
    </row>
    <row r="11" spans="1:20">
      <c r="A11" s="12"/>
      <c r="B11" s="2" t="s">
        <v>43</v>
      </c>
      <c r="C11" s="20" t="s">
        <v>57</v>
      </c>
      <c r="D11" s="2" t="s">
        <v>44</v>
      </c>
      <c r="G11" s="19">
        <v>0.9</v>
      </c>
      <c r="L11" s="19"/>
      <c r="P11" s="15"/>
      <c r="Q11" s="15"/>
      <c r="R11" s="15"/>
      <c r="S11" s="22"/>
    </row>
    <row r="12" spans="1:20">
      <c r="A12" s="12"/>
      <c r="B12" s="2" t="s">
        <v>38</v>
      </c>
      <c r="C12" s="20" t="s">
        <v>35</v>
      </c>
      <c r="D12" s="2" t="s">
        <v>45</v>
      </c>
      <c r="G12" s="1">
        <v>1.2</v>
      </c>
      <c r="L12" s="19"/>
      <c r="P12" s="15"/>
      <c r="Q12" s="15"/>
      <c r="R12" s="15"/>
    </row>
    <row r="13" spans="1:20">
      <c r="A13" s="12"/>
      <c r="B13" s="2" t="s">
        <v>38</v>
      </c>
      <c r="C13" s="20" t="s">
        <v>35</v>
      </c>
      <c r="D13" s="2" t="s">
        <v>46</v>
      </c>
      <c r="E13" s="1">
        <v>1</v>
      </c>
      <c r="F13" s="1">
        <v>1.2</v>
      </c>
      <c r="G13" s="1">
        <v>0.4</v>
      </c>
      <c r="L13" s="19"/>
      <c r="P13" s="15"/>
      <c r="Q13" s="15"/>
      <c r="R13" s="15"/>
    </row>
    <row r="14" spans="1:20">
      <c r="A14" s="12"/>
      <c r="B14" s="2" t="s">
        <v>38</v>
      </c>
      <c r="C14" s="20" t="s">
        <v>35</v>
      </c>
      <c r="D14" s="2" t="s">
        <v>47</v>
      </c>
      <c r="G14" s="1">
        <v>2.4</v>
      </c>
      <c r="L14" s="19"/>
      <c r="N14" s="23"/>
      <c r="P14" s="15"/>
      <c r="Q14" s="15"/>
      <c r="R14" s="15"/>
    </row>
    <row r="15" spans="1:20">
      <c r="A15" s="12"/>
      <c r="B15" s="2" t="s">
        <v>38</v>
      </c>
      <c r="C15" s="20" t="s">
        <v>35</v>
      </c>
      <c r="D15" s="2" t="s">
        <v>116</v>
      </c>
      <c r="E15" s="7"/>
      <c r="F15" s="7"/>
      <c r="G15" s="7"/>
      <c r="H15" s="7"/>
      <c r="I15" s="7"/>
      <c r="K15" s="21">
        <v>76.5</v>
      </c>
      <c r="L15" s="19"/>
      <c r="N15" s="23"/>
      <c r="P15" s="15"/>
      <c r="Q15" s="15"/>
      <c r="R15" s="15"/>
    </row>
    <row r="16" spans="1:20">
      <c r="A16" s="12"/>
      <c r="B16" s="2" t="s">
        <v>38</v>
      </c>
      <c r="C16" s="20" t="s">
        <v>56</v>
      </c>
      <c r="D16" s="2" t="s">
        <v>48</v>
      </c>
      <c r="G16" s="1">
        <v>0.2</v>
      </c>
      <c r="L16" s="19"/>
      <c r="N16" s="23"/>
      <c r="P16" s="15"/>
      <c r="Q16" s="15"/>
      <c r="R16" s="15"/>
    </row>
    <row r="17" spans="1:18">
      <c r="A17" s="12"/>
      <c r="B17" s="2" t="s">
        <v>38</v>
      </c>
      <c r="C17" s="20" t="s">
        <v>35</v>
      </c>
      <c r="D17" s="2" t="s">
        <v>49</v>
      </c>
      <c r="G17" s="1">
        <v>1</v>
      </c>
      <c r="H17" s="19"/>
      <c r="I17" s="19"/>
      <c r="J17" s="24"/>
      <c r="K17" s="24"/>
      <c r="L17" s="19"/>
      <c r="P17" s="15"/>
      <c r="Q17" s="15"/>
      <c r="R17" s="15"/>
    </row>
    <row r="18" spans="1:18">
      <c r="A18" s="12"/>
      <c r="B18" s="2" t="s">
        <v>38</v>
      </c>
      <c r="C18" s="20" t="s">
        <v>55</v>
      </c>
      <c r="D18" s="2" t="s">
        <v>50</v>
      </c>
      <c r="G18" s="1">
        <v>1.4</v>
      </c>
      <c r="L18" s="19"/>
      <c r="N18" s="25"/>
      <c r="P18" s="15"/>
      <c r="Q18" s="15"/>
      <c r="R18" s="15"/>
    </row>
    <row r="19" spans="1:18">
      <c r="A19" s="12"/>
      <c r="B19" s="2" t="s">
        <v>38</v>
      </c>
      <c r="C19" s="20" t="s">
        <v>56</v>
      </c>
      <c r="D19" s="2" t="s">
        <v>51</v>
      </c>
      <c r="G19" s="1">
        <v>1.4</v>
      </c>
      <c r="L19" s="19"/>
      <c r="N19" s="25"/>
      <c r="P19" s="15"/>
      <c r="Q19" s="15"/>
      <c r="R19" s="15"/>
    </row>
    <row r="20" spans="1:18">
      <c r="A20" s="12"/>
      <c r="B20" s="2" t="s">
        <v>38</v>
      </c>
      <c r="C20" s="20" t="s">
        <v>112</v>
      </c>
      <c r="D20" s="2" t="s">
        <v>52</v>
      </c>
      <c r="E20" s="1">
        <v>4</v>
      </c>
      <c r="F20" s="1">
        <v>12</v>
      </c>
      <c r="G20" s="1">
        <v>0.8</v>
      </c>
      <c r="H20" s="19"/>
      <c r="I20" s="19"/>
      <c r="J20" s="24"/>
      <c r="K20" s="24"/>
      <c r="L20" s="19"/>
      <c r="P20" s="15"/>
      <c r="Q20" s="15"/>
      <c r="R20" s="15"/>
    </row>
    <row r="21" spans="1:18">
      <c r="A21" s="12"/>
      <c r="B21" s="2" t="s">
        <v>38</v>
      </c>
      <c r="C21" s="20" t="s">
        <v>114</v>
      </c>
      <c r="D21" s="2" t="s">
        <v>113</v>
      </c>
      <c r="E21" s="1">
        <v>2</v>
      </c>
      <c r="G21" s="1">
        <v>6</v>
      </c>
      <c r="N21" s="25"/>
      <c r="P21" s="15"/>
      <c r="Q21" s="15"/>
      <c r="R21" s="15"/>
    </row>
    <row r="22" spans="1:18">
      <c r="A22" s="12"/>
      <c r="B22" s="2" t="s">
        <v>38</v>
      </c>
      <c r="C22" s="20" t="s">
        <v>111</v>
      </c>
      <c r="D22" s="2" t="s">
        <v>53</v>
      </c>
      <c r="E22" s="1">
        <v>5</v>
      </c>
      <c r="F22" s="1">
        <v>8</v>
      </c>
      <c r="N22" s="25"/>
      <c r="P22" s="15"/>
      <c r="Q22" s="15"/>
      <c r="R22" s="15"/>
    </row>
    <row r="23" spans="1:18">
      <c r="A23" s="12"/>
      <c r="B23" s="2" t="s">
        <v>38</v>
      </c>
      <c r="C23" s="20" t="s">
        <v>115</v>
      </c>
      <c r="D23" s="2" t="s">
        <v>54</v>
      </c>
      <c r="E23" s="1">
        <v>2</v>
      </c>
      <c r="F23" s="1">
        <v>4.2</v>
      </c>
      <c r="G23" s="1">
        <v>1.8</v>
      </c>
      <c r="H23" s="26"/>
      <c r="N23" s="25"/>
      <c r="P23" s="15"/>
      <c r="Q23" s="15"/>
      <c r="R23" s="15"/>
    </row>
    <row r="24" spans="1:18">
      <c r="A24" s="12"/>
      <c r="B24" s="2" t="s">
        <v>38</v>
      </c>
      <c r="C24" s="20" t="s">
        <v>111</v>
      </c>
      <c r="D24" s="2" t="s">
        <v>82</v>
      </c>
      <c r="E24" s="7"/>
      <c r="F24" s="7"/>
      <c r="G24" s="7"/>
      <c r="H24" s="26"/>
      <c r="I24" s="7"/>
      <c r="K24" s="21">
        <v>10</v>
      </c>
      <c r="L24" s="7"/>
      <c r="N24" s="25"/>
      <c r="P24" s="15"/>
      <c r="Q24" s="15"/>
      <c r="R24" s="15"/>
    </row>
    <row r="25" spans="1:18">
      <c r="A25" s="12"/>
      <c r="B25" s="2" t="s">
        <v>38</v>
      </c>
      <c r="C25" s="20" t="s">
        <v>111</v>
      </c>
      <c r="D25" s="2" t="s">
        <v>83</v>
      </c>
      <c r="E25" s="7"/>
      <c r="F25" s="7"/>
      <c r="G25" s="7"/>
      <c r="H25" s="26"/>
      <c r="I25" s="7"/>
      <c r="K25" s="21">
        <v>12</v>
      </c>
      <c r="L25" s="7"/>
      <c r="N25" s="25"/>
      <c r="P25" s="15"/>
      <c r="Q25" s="15"/>
      <c r="R25" s="15"/>
    </row>
    <row r="26" spans="1:18">
      <c r="A26" s="12"/>
      <c r="B26" s="2" t="s">
        <v>38</v>
      </c>
      <c r="C26" s="20" t="s">
        <v>111</v>
      </c>
      <c r="D26" s="2" t="s">
        <v>84</v>
      </c>
      <c r="E26" s="7"/>
      <c r="F26" s="7"/>
      <c r="G26" s="7"/>
      <c r="H26" s="26"/>
      <c r="I26" s="7"/>
      <c r="K26" s="21">
        <v>13.5</v>
      </c>
      <c r="L26" s="7"/>
      <c r="N26" s="25"/>
      <c r="P26" s="15"/>
      <c r="Q26" s="15"/>
      <c r="R26" s="15"/>
    </row>
    <row r="27" spans="1:18">
      <c r="A27" s="12"/>
      <c r="B27" s="2" t="s">
        <v>38</v>
      </c>
      <c r="C27" s="20" t="s">
        <v>111</v>
      </c>
      <c r="D27" s="2" t="s">
        <v>85</v>
      </c>
      <c r="E27" s="7"/>
      <c r="F27" s="7"/>
      <c r="G27" s="7"/>
      <c r="H27" s="26"/>
      <c r="I27" s="7"/>
      <c r="K27" s="21">
        <v>2.2200000000000002</v>
      </c>
      <c r="L27" s="7"/>
      <c r="N27" s="25"/>
      <c r="P27" s="15"/>
      <c r="Q27" s="15"/>
      <c r="R27" s="15"/>
    </row>
    <row r="28" spans="1:18">
      <c r="A28" s="12"/>
      <c r="B28" s="2" t="s">
        <v>38</v>
      </c>
      <c r="C28" s="20" t="s">
        <v>111</v>
      </c>
      <c r="D28" s="2" t="s">
        <v>86</v>
      </c>
      <c r="E28" s="7"/>
      <c r="F28" s="7"/>
      <c r="G28" s="7"/>
      <c r="H28" s="26"/>
      <c r="I28" s="7"/>
      <c r="K28" s="21">
        <v>3</v>
      </c>
      <c r="L28" s="7"/>
      <c r="N28" s="25"/>
      <c r="P28" s="15"/>
      <c r="Q28" s="15"/>
      <c r="R28" s="15"/>
    </row>
    <row r="29" spans="1:18">
      <c r="A29" s="12"/>
      <c r="B29" s="2" t="s">
        <v>58</v>
      </c>
      <c r="C29" s="27" t="s">
        <v>59</v>
      </c>
      <c r="D29" s="2" t="s">
        <v>64</v>
      </c>
      <c r="E29" s="1">
        <v>6</v>
      </c>
      <c r="F29" s="1">
        <v>4.2</v>
      </c>
      <c r="G29" s="1">
        <v>13</v>
      </c>
      <c r="P29" s="15"/>
      <c r="Q29" s="15"/>
      <c r="R29" s="15"/>
    </row>
    <row r="30" spans="1:18">
      <c r="A30" s="12"/>
      <c r="B30" s="2" t="s">
        <v>58</v>
      </c>
      <c r="C30" s="27" t="s">
        <v>60</v>
      </c>
      <c r="D30" s="2" t="s">
        <v>63</v>
      </c>
      <c r="E30" s="1">
        <v>6</v>
      </c>
      <c r="F30" s="1">
        <v>4.2</v>
      </c>
      <c r="G30" s="1">
        <v>17</v>
      </c>
      <c r="P30" s="15"/>
      <c r="Q30" s="15"/>
      <c r="R30" s="15"/>
    </row>
    <row r="31" spans="1:18">
      <c r="A31" s="12"/>
      <c r="B31" s="2" t="s">
        <v>58</v>
      </c>
      <c r="C31" s="27" t="s">
        <v>60</v>
      </c>
      <c r="D31" s="2" t="s">
        <v>65</v>
      </c>
      <c r="E31" s="7"/>
      <c r="F31" s="7"/>
      <c r="G31" s="7"/>
      <c r="H31" s="33"/>
      <c r="I31" s="33">
        <v>100</v>
      </c>
      <c r="J31" s="21">
        <v>0.16</v>
      </c>
      <c r="K31" s="21">
        <f>J31*I31</f>
        <v>16</v>
      </c>
      <c r="L31" s="7"/>
      <c r="P31" s="15"/>
      <c r="Q31" s="15"/>
      <c r="R31" s="15"/>
    </row>
    <row r="32" spans="1:18">
      <c r="A32" s="12"/>
      <c r="B32" s="2" t="s">
        <v>58</v>
      </c>
      <c r="C32" s="27" t="s">
        <v>60</v>
      </c>
      <c r="D32" s="2" t="s">
        <v>66</v>
      </c>
      <c r="E32" s="7"/>
      <c r="F32" s="7"/>
      <c r="G32" s="7"/>
      <c r="H32" s="33"/>
      <c r="I32" s="33">
        <v>1000</v>
      </c>
      <c r="J32" s="21">
        <v>1E-3</v>
      </c>
      <c r="K32" s="21">
        <f t="shared" ref="K32:K48" si="0">J32*I32</f>
        <v>1</v>
      </c>
      <c r="L32" s="7"/>
      <c r="P32" s="15"/>
      <c r="Q32" s="15"/>
      <c r="R32" s="15"/>
    </row>
    <row r="33" spans="1:18">
      <c r="A33" s="12"/>
      <c r="B33" s="2" t="s">
        <v>58</v>
      </c>
      <c r="C33" s="27" t="s">
        <v>60</v>
      </c>
      <c r="D33" s="2" t="s">
        <v>67</v>
      </c>
      <c r="E33" s="7"/>
      <c r="F33" s="7"/>
      <c r="G33" s="7"/>
      <c r="H33" s="34"/>
      <c r="I33" s="34" t="s">
        <v>117</v>
      </c>
      <c r="L33" s="7"/>
      <c r="P33" s="15"/>
      <c r="Q33" s="15"/>
      <c r="R33" s="15"/>
    </row>
    <row r="34" spans="1:18">
      <c r="A34" s="12"/>
      <c r="B34" s="2" t="s">
        <v>58</v>
      </c>
      <c r="C34" s="27" t="s">
        <v>60</v>
      </c>
      <c r="D34" s="2" t="s">
        <v>68</v>
      </c>
      <c r="E34" s="7"/>
      <c r="F34" s="7"/>
      <c r="G34" s="7"/>
      <c r="H34" s="33"/>
      <c r="I34" s="33">
        <v>500</v>
      </c>
      <c r="J34" s="21">
        <v>2E-3</v>
      </c>
      <c r="K34" s="21">
        <f t="shared" si="0"/>
        <v>1</v>
      </c>
      <c r="L34" s="7"/>
      <c r="P34" s="15"/>
      <c r="Q34" s="15"/>
      <c r="R34" s="15"/>
    </row>
    <row r="35" spans="1:18">
      <c r="A35" s="12"/>
      <c r="B35" s="2" t="s">
        <v>58</v>
      </c>
      <c r="C35" s="27" t="s">
        <v>60</v>
      </c>
      <c r="D35" s="2" t="s">
        <v>69</v>
      </c>
      <c r="E35" s="7"/>
      <c r="F35" s="7"/>
      <c r="G35" s="7"/>
      <c r="H35" s="33"/>
      <c r="I35" s="33">
        <v>2.5</v>
      </c>
      <c r="J35" s="21">
        <v>1</v>
      </c>
      <c r="K35" s="21">
        <f t="shared" si="0"/>
        <v>2.5</v>
      </c>
      <c r="L35" s="7"/>
      <c r="P35" s="15"/>
      <c r="Q35" s="15"/>
      <c r="R35" s="15"/>
    </row>
    <row r="36" spans="1:18">
      <c r="A36" s="12"/>
      <c r="B36" s="2" t="s">
        <v>58</v>
      </c>
      <c r="C36" s="27" t="s">
        <v>60</v>
      </c>
      <c r="D36" s="2" t="s">
        <v>70</v>
      </c>
      <c r="E36" s="7"/>
      <c r="F36" s="7"/>
      <c r="G36" s="7"/>
      <c r="H36" s="33"/>
      <c r="I36" s="33">
        <v>120</v>
      </c>
      <c r="J36" s="21">
        <v>1.2E-2</v>
      </c>
      <c r="K36" s="21">
        <f t="shared" si="0"/>
        <v>1.44</v>
      </c>
      <c r="L36" s="7"/>
      <c r="P36" s="15"/>
      <c r="Q36" s="15"/>
      <c r="R36" s="15"/>
    </row>
    <row r="37" spans="1:18">
      <c r="A37" s="12"/>
      <c r="B37" s="2" t="s">
        <v>58</v>
      </c>
      <c r="C37" s="27" t="s">
        <v>60</v>
      </c>
      <c r="D37" s="2" t="s">
        <v>71</v>
      </c>
      <c r="E37" s="7"/>
      <c r="F37" s="7"/>
      <c r="G37" s="7"/>
      <c r="H37" s="33"/>
      <c r="I37" s="33">
        <v>50</v>
      </c>
      <c r="J37" s="21">
        <v>6.0000000000000001E-3</v>
      </c>
      <c r="K37" s="21">
        <f t="shared" si="0"/>
        <v>0.3</v>
      </c>
      <c r="L37" s="7"/>
      <c r="P37" s="15"/>
      <c r="Q37" s="15"/>
      <c r="R37" s="15"/>
    </row>
    <row r="38" spans="1:18">
      <c r="A38" s="12"/>
      <c r="B38" s="2" t="s">
        <v>58</v>
      </c>
      <c r="C38" s="27" t="s">
        <v>60</v>
      </c>
      <c r="D38" s="2" t="s">
        <v>72</v>
      </c>
      <c r="E38" s="7"/>
      <c r="F38" s="7"/>
      <c r="G38" s="7"/>
      <c r="H38" s="33"/>
      <c r="I38" s="33">
        <v>100</v>
      </c>
      <c r="J38" s="21">
        <v>2.4E-2</v>
      </c>
      <c r="K38" s="21">
        <f t="shared" si="0"/>
        <v>2.4</v>
      </c>
      <c r="L38" s="7"/>
      <c r="P38" s="15"/>
      <c r="Q38" s="15"/>
      <c r="R38" s="15"/>
    </row>
    <row r="39" spans="1:18">
      <c r="A39" s="12"/>
      <c r="B39" s="2" t="s">
        <v>58</v>
      </c>
      <c r="C39" s="27" t="s">
        <v>60</v>
      </c>
      <c r="D39" s="2" t="s">
        <v>73</v>
      </c>
      <c r="E39" s="7"/>
      <c r="F39" s="7"/>
      <c r="G39" s="7"/>
      <c r="H39" s="34"/>
      <c r="I39" s="34" t="s">
        <v>118</v>
      </c>
      <c r="K39" s="21">
        <v>5</v>
      </c>
      <c r="L39" s="7"/>
      <c r="P39" s="15"/>
      <c r="Q39" s="15"/>
      <c r="R39" s="15"/>
    </row>
    <row r="40" spans="1:18">
      <c r="A40" s="12"/>
      <c r="B40" s="2" t="s">
        <v>58</v>
      </c>
      <c r="C40" s="27" t="s">
        <v>61</v>
      </c>
      <c r="D40" s="2" t="s">
        <v>62</v>
      </c>
      <c r="E40" s="1">
        <v>2</v>
      </c>
      <c r="G40" s="1">
        <v>16</v>
      </c>
      <c r="P40" s="15"/>
      <c r="Q40" s="15"/>
      <c r="R40" s="15"/>
    </row>
    <row r="41" spans="1:18">
      <c r="A41" s="12"/>
      <c r="B41" s="2" t="s">
        <v>58</v>
      </c>
      <c r="C41" s="27" t="s">
        <v>61</v>
      </c>
      <c r="D41" s="2" t="s">
        <v>74</v>
      </c>
      <c r="H41" s="33"/>
      <c r="I41" s="33">
        <f>472.46+5.78</f>
        <v>478.23999999999995</v>
      </c>
      <c r="J41" s="21">
        <v>3.0000000000000001E-3</v>
      </c>
      <c r="K41" s="21">
        <f t="shared" si="0"/>
        <v>1.43472</v>
      </c>
      <c r="P41" s="15"/>
      <c r="Q41" s="15"/>
      <c r="R41" s="15"/>
    </row>
    <row r="42" spans="1:18">
      <c r="A42" s="12"/>
      <c r="B42" s="2" t="s">
        <v>58</v>
      </c>
      <c r="C42" s="27" t="s">
        <v>61</v>
      </c>
      <c r="D42" s="25" t="s">
        <v>75</v>
      </c>
      <c r="H42" s="33"/>
      <c r="I42" s="33">
        <v>60</v>
      </c>
      <c r="J42" s="21">
        <v>2.4E-2</v>
      </c>
      <c r="K42" s="21">
        <f t="shared" si="0"/>
        <v>1.44</v>
      </c>
      <c r="M42" s="25"/>
      <c r="P42" s="15"/>
      <c r="Q42" s="15"/>
      <c r="R42" s="15"/>
    </row>
    <row r="43" spans="1:18">
      <c r="A43" s="12"/>
      <c r="B43" s="2" t="s">
        <v>58</v>
      </c>
      <c r="C43" s="27" t="s">
        <v>61</v>
      </c>
      <c r="D43" s="2" t="s">
        <v>76</v>
      </c>
      <c r="H43" s="33"/>
      <c r="I43" s="33">
        <v>75</v>
      </c>
      <c r="J43" s="21">
        <v>0</v>
      </c>
      <c r="K43" s="21">
        <v>7.5</v>
      </c>
      <c r="P43" s="15"/>
      <c r="Q43" s="15"/>
      <c r="R43" s="15"/>
    </row>
    <row r="44" spans="1:18">
      <c r="A44" s="12"/>
      <c r="B44" s="2" t="s">
        <v>58</v>
      </c>
      <c r="C44" s="27" t="s">
        <v>61</v>
      </c>
      <c r="D44" s="2" t="s">
        <v>77</v>
      </c>
      <c r="H44" s="33"/>
      <c r="I44" s="33">
        <v>160</v>
      </c>
      <c r="J44" s="21">
        <v>1.2E-2</v>
      </c>
      <c r="K44" s="21">
        <f t="shared" si="0"/>
        <v>1.92</v>
      </c>
      <c r="O44" s="25"/>
      <c r="P44" s="15"/>
      <c r="Q44" s="15"/>
      <c r="R44" s="15"/>
    </row>
    <row r="45" spans="1:18">
      <c r="A45" s="12"/>
      <c r="B45" s="2" t="s">
        <v>58</v>
      </c>
      <c r="C45" s="27" t="s">
        <v>61</v>
      </c>
      <c r="D45" s="2" t="s">
        <v>78</v>
      </c>
      <c r="H45" s="33"/>
      <c r="I45" s="33">
        <v>90</v>
      </c>
      <c r="J45" s="21">
        <v>1.2E-2</v>
      </c>
      <c r="K45" s="21">
        <f t="shared" si="0"/>
        <v>1.08</v>
      </c>
      <c r="O45" s="25"/>
      <c r="P45" s="15"/>
      <c r="Q45" s="15"/>
      <c r="R45" s="15"/>
    </row>
    <row r="46" spans="1:18">
      <c r="A46" s="12"/>
      <c r="B46" s="2" t="s">
        <v>58</v>
      </c>
      <c r="C46" s="27" t="s">
        <v>61</v>
      </c>
      <c r="D46" s="2" t="s">
        <v>79</v>
      </c>
      <c r="H46" s="33"/>
      <c r="I46" s="33">
        <v>250</v>
      </c>
      <c r="J46" s="21">
        <v>0.03</v>
      </c>
      <c r="K46" s="21">
        <f t="shared" si="0"/>
        <v>7.5</v>
      </c>
      <c r="O46" s="25"/>
      <c r="P46" s="15"/>
      <c r="Q46" s="15"/>
      <c r="R46" s="15"/>
    </row>
    <row r="47" spans="1:18">
      <c r="A47" s="12"/>
      <c r="B47" s="2" t="s">
        <v>58</v>
      </c>
      <c r="C47" s="27" t="s">
        <v>61</v>
      </c>
      <c r="D47" s="2" t="s">
        <v>80</v>
      </c>
      <c r="H47" s="34"/>
      <c r="I47" s="34">
        <v>75</v>
      </c>
      <c r="J47" s="21">
        <v>0</v>
      </c>
      <c r="K47" s="21">
        <v>9</v>
      </c>
      <c r="O47" s="25"/>
      <c r="P47" s="15"/>
      <c r="Q47" s="15"/>
      <c r="R47" s="15"/>
    </row>
    <row r="48" spans="1:18">
      <c r="A48" s="12"/>
      <c r="B48" s="2" t="s">
        <v>58</v>
      </c>
      <c r="C48" s="27" t="s">
        <v>61</v>
      </c>
      <c r="D48" s="2" t="s">
        <v>81</v>
      </c>
      <c r="H48" s="33"/>
      <c r="I48" s="33">
        <v>0</v>
      </c>
      <c r="J48" s="21">
        <v>0</v>
      </c>
      <c r="K48" s="21">
        <f t="shared" si="0"/>
        <v>0</v>
      </c>
      <c r="O48" s="25"/>
      <c r="P48" s="15"/>
      <c r="Q48" s="15"/>
      <c r="R48" s="15"/>
    </row>
    <row r="49" spans="1:18">
      <c r="A49" s="12"/>
      <c r="B49" s="2" t="s">
        <v>33</v>
      </c>
      <c r="C49" s="20" t="s">
        <v>87</v>
      </c>
      <c r="D49" s="2" t="s">
        <v>88</v>
      </c>
      <c r="K49" s="35">
        <v>10</v>
      </c>
      <c r="O49" s="25"/>
      <c r="P49" s="15"/>
      <c r="Q49" s="15"/>
      <c r="R49" s="15"/>
    </row>
    <row r="50" spans="1:18">
      <c r="A50" s="12"/>
      <c r="B50" s="2" t="s">
        <v>33</v>
      </c>
      <c r="C50" s="20" t="s">
        <v>87</v>
      </c>
      <c r="D50" s="2" t="s">
        <v>89</v>
      </c>
      <c r="K50" s="35">
        <v>6.5</v>
      </c>
      <c r="O50" s="25"/>
      <c r="P50" s="15"/>
      <c r="Q50" s="15"/>
      <c r="R50" s="15"/>
    </row>
    <row r="51" spans="1:18">
      <c r="A51" s="12"/>
      <c r="B51" s="2" t="s">
        <v>33</v>
      </c>
      <c r="C51" s="20" t="s">
        <v>87</v>
      </c>
      <c r="D51" s="2" t="s">
        <v>37</v>
      </c>
      <c r="K51" s="35">
        <v>3</v>
      </c>
      <c r="O51" s="25"/>
      <c r="P51" s="15"/>
      <c r="Q51" s="15"/>
      <c r="R51" s="15"/>
    </row>
    <row r="52" spans="1:18">
      <c r="A52" s="12"/>
      <c r="B52" s="2" t="s">
        <v>33</v>
      </c>
      <c r="C52" s="20" t="s">
        <v>87</v>
      </c>
      <c r="D52" s="2" t="s">
        <v>90</v>
      </c>
      <c r="K52" s="35">
        <v>1.2</v>
      </c>
      <c r="O52" s="25"/>
      <c r="P52" s="15"/>
      <c r="Q52" s="15"/>
      <c r="R52" s="15"/>
    </row>
    <row r="53" spans="1:18">
      <c r="A53" s="12"/>
      <c r="B53" s="2" t="s">
        <v>33</v>
      </c>
      <c r="C53" s="20" t="s">
        <v>87</v>
      </c>
      <c r="D53" s="2" t="s">
        <v>91</v>
      </c>
      <c r="K53" s="35">
        <v>0.5</v>
      </c>
      <c r="O53" s="25"/>
      <c r="P53" s="15"/>
      <c r="Q53" s="15"/>
      <c r="R53" s="15"/>
    </row>
    <row r="54" spans="1:18">
      <c r="A54" s="12"/>
      <c r="B54" s="2" t="s">
        <v>36</v>
      </c>
      <c r="C54" s="20" t="s">
        <v>92</v>
      </c>
      <c r="D54" s="2" t="s">
        <v>93</v>
      </c>
      <c r="E54" s="1">
        <v>1</v>
      </c>
      <c r="O54" s="25"/>
      <c r="P54" s="15"/>
      <c r="Q54" s="15"/>
      <c r="R54" s="15"/>
    </row>
    <row r="55" spans="1:18">
      <c r="A55" s="12"/>
      <c r="B55" s="2" t="s">
        <v>36</v>
      </c>
      <c r="C55" s="20" t="s">
        <v>92</v>
      </c>
      <c r="D55" s="2" t="s">
        <v>94</v>
      </c>
      <c r="G55" s="1">
        <v>2</v>
      </c>
      <c r="O55" s="25"/>
      <c r="P55" s="15"/>
      <c r="Q55" s="15"/>
      <c r="R55" s="15"/>
    </row>
    <row r="56" spans="1:18">
      <c r="A56" s="12"/>
      <c r="B56" s="2" t="s">
        <v>36</v>
      </c>
      <c r="C56" s="20" t="s">
        <v>92</v>
      </c>
      <c r="D56" s="2" t="s">
        <v>97</v>
      </c>
      <c r="E56" s="7"/>
      <c r="F56" s="7"/>
      <c r="G56" s="7"/>
      <c r="H56" s="7"/>
      <c r="I56" s="7"/>
      <c r="K56" s="21">
        <v>60</v>
      </c>
      <c r="L56" s="7"/>
      <c r="O56" s="25"/>
      <c r="P56" s="15"/>
      <c r="Q56" s="15"/>
      <c r="R56" s="15"/>
    </row>
    <row r="57" spans="1:18">
      <c r="A57" s="12"/>
      <c r="B57" s="2" t="s">
        <v>36</v>
      </c>
      <c r="C57" s="20" t="s">
        <v>92</v>
      </c>
      <c r="D57" s="2" t="s">
        <v>83</v>
      </c>
      <c r="E57" s="7"/>
      <c r="F57" s="7"/>
      <c r="G57" s="7"/>
      <c r="H57" s="7"/>
      <c r="I57" s="7"/>
      <c r="K57" s="21">
        <v>3</v>
      </c>
      <c r="L57" s="7"/>
      <c r="O57" s="25"/>
      <c r="P57" s="15"/>
      <c r="Q57" s="15"/>
      <c r="R57" s="15"/>
    </row>
    <row r="58" spans="1:18">
      <c r="A58" s="12"/>
      <c r="B58" s="2" t="s">
        <v>36</v>
      </c>
      <c r="C58" s="20" t="s">
        <v>95</v>
      </c>
      <c r="D58" s="2" t="s">
        <v>96</v>
      </c>
      <c r="E58" s="1">
        <v>1.2</v>
      </c>
      <c r="O58" s="25"/>
      <c r="P58" s="15"/>
      <c r="Q58" s="15"/>
      <c r="R58" s="15"/>
    </row>
    <row r="59" spans="1:18">
      <c r="A59" s="12"/>
      <c r="B59" s="2" t="s">
        <v>36</v>
      </c>
      <c r="C59" s="20" t="s">
        <v>95</v>
      </c>
      <c r="D59" s="2" t="s">
        <v>31</v>
      </c>
      <c r="E59" s="7"/>
      <c r="F59" s="7">
        <v>3</v>
      </c>
      <c r="G59" s="7">
        <v>8</v>
      </c>
      <c r="H59" s="7"/>
      <c r="I59" s="7"/>
      <c r="L59" s="7"/>
      <c r="O59" s="25"/>
      <c r="P59" s="15"/>
      <c r="Q59" s="15"/>
      <c r="R59" s="15"/>
    </row>
    <row r="60" spans="1:18">
      <c r="A60" s="12"/>
      <c r="B60" s="2" t="s">
        <v>36</v>
      </c>
      <c r="C60" s="20" t="s">
        <v>95</v>
      </c>
      <c r="D60" s="2" t="s">
        <v>97</v>
      </c>
      <c r="K60" s="21">
        <v>20</v>
      </c>
      <c r="O60" s="25"/>
      <c r="P60" s="15"/>
      <c r="Q60" s="15"/>
      <c r="R60" s="15"/>
    </row>
    <row r="61" spans="1:18">
      <c r="A61" s="12"/>
      <c r="B61" s="2" t="s">
        <v>36</v>
      </c>
      <c r="C61" s="20" t="s">
        <v>95</v>
      </c>
      <c r="D61" s="2" t="s">
        <v>83</v>
      </c>
      <c r="K61" s="21">
        <v>6</v>
      </c>
      <c r="O61" s="25"/>
      <c r="P61" s="15"/>
      <c r="Q61" s="15"/>
      <c r="R61" s="15"/>
    </row>
    <row r="62" spans="1:18">
      <c r="A62" s="12"/>
      <c r="B62" s="2" t="s">
        <v>36</v>
      </c>
      <c r="C62" s="20" t="s">
        <v>98</v>
      </c>
      <c r="D62" s="2" t="s">
        <v>96</v>
      </c>
      <c r="E62" s="1">
        <v>0.2</v>
      </c>
      <c r="O62" s="25"/>
      <c r="P62" s="15"/>
      <c r="Q62" s="15"/>
      <c r="R62" s="15"/>
    </row>
    <row r="63" spans="1:18">
      <c r="A63" s="12"/>
      <c r="B63" s="2" t="s">
        <v>36</v>
      </c>
      <c r="C63" s="20" t="s">
        <v>98</v>
      </c>
      <c r="D63" s="2" t="s">
        <v>31</v>
      </c>
      <c r="E63" s="7"/>
      <c r="F63" s="7">
        <v>1</v>
      </c>
      <c r="G63" s="7">
        <v>2</v>
      </c>
      <c r="H63" s="7"/>
      <c r="I63" s="7"/>
      <c r="L63" s="7"/>
      <c r="O63" s="25"/>
      <c r="P63" s="15"/>
      <c r="Q63" s="15"/>
      <c r="R63" s="15"/>
    </row>
    <row r="64" spans="1:18">
      <c r="A64" s="12"/>
      <c r="B64" s="2" t="s">
        <v>36</v>
      </c>
      <c r="C64" s="20" t="s">
        <v>98</v>
      </c>
      <c r="D64" s="2" t="s">
        <v>97</v>
      </c>
      <c r="K64" s="21">
        <v>2</v>
      </c>
      <c r="O64" s="25"/>
      <c r="P64" s="15"/>
      <c r="Q64" s="15"/>
      <c r="R64" s="15"/>
    </row>
    <row r="65" spans="1:18">
      <c r="A65" s="12"/>
      <c r="B65" s="2" t="s">
        <v>36</v>
      </c>
      <c r="C65" s="20" t="s">
        <v>98</v>
      </c>
      <c r="D65" s="2" t="s">
        <v>83</v>
      </c>
      <c r="K65" s="21">
        <v>1.5</v>
      </c>
      <c r="O65" s="25"/>
      <c r="P65" s="15"/>
      <c r="Q65" s="15"/>
      <c r="R65" s="15"/>
    </row>
    <row r="66" spans="1:18">
      <c r="A66" s="12"/>
      <c r="B66" s="2" t="s">
        <v>36</v>
      </c>
      <c r="C66" s="20" t="s">
        <v>99</v>
      </c>
      <c r="D66" s="2" t="s">
        <v>96</v>
      </c>
      <c r="E66" s="1">
        <v>0.8</v>
      </c>
      <c r="O66" s="25"/>
      <c r="P66" s="15"/>
      <c r="Q66" s="15"/>
      <c r="R66" s="15"/>
    </row>
    <row r="67" spans="1:18">
      <c r="A67" s="12"/>
      <c r="B67" s="2" t="s">
        <v>36</v>
      </c>
      <c r="C67" s="20" t="s">
        <v>99</v>
      </c>
      <c r="D67" s="2" t="s">
        <v>31</v>
      </c>
      <c r="E67" s="7"/>
      <c r="F67" s="7">
        <v>3</v>
      </c>
      <c r="G67" s="7">
        <v>2</v>
      </c>
      <c r="H67" s="7"/>
      <c r="I67" s="7"/>
      <c r="L67" s="7"/>
      <c r="O67" s="25"/>
      <c r="P67" s="15"/>
      <c r="Q67" s="15"/>
      <c r="R67" s="15"/>
    </row>
    <row r="68" spans="1:18">
      <c r="A68" s="12"/>
      <c r="B68" s="2" t="s">
        <v>36</v>
      </c>
      <c r="C68" s="20" t="s">
        <v>99</v>
      </c>
      <c r="D68" s="2" t="s">
        <v>97</v>
      </c>
      <c r="K68" s="21">
        <v>5</v>
      </c>
      <c r="O68" s="25"/>
      <c r="P68" s="15"/>
      <c r="Q68" s="15"/>
      <c r="R68" s="15"/>
    </row>
    <row r="69" spans="1:18">
      <c r="A69" s="12"/>
      <c r="B69" s="2" t="s">
        <v>36</v>
      </c>
      <c r="C69" s="20" t="s">
        <v>99</v>
      </c>
      <c r="D69" s="2" t="s">
        <v>83</v>
      </c>
      <c r="K69" s="21">
        <v>1.5</v>
      </c>
      <c r="O69" s="25"/>
      <c r="P69" s="15"/>
      <c r="Q69" s="15"/>
      <c r="R69" s="15"/>
    </row>
    <row r="70" spans="1:18">
      <c r="A70" s="12"/>
      <c r="B70" s="2" t="s">
        <v>36</v>
      </c>
      <c r="C70" s="20" t="s">
        <v>100</v>
      </c>
      <c r="D70" s="2" t="s">
        <v>93</v>
      </c>
      <c r="O70" s="25"/>
      <c r="P70" s="15"/>
      <c r="Q70" s="15"/>
      <c r="R70" s="15"/>
    </row>
    <row r="71" spans="1:18">
      <c r="A71" s="12"/>
      <c r="B71" s="2" t="s">
        <v>36</v>
      </c>
      <c r="C71" s="20" t="s">
        <v>100</v>
      </c>
      <c r="D71" s="2" t="s">
        <v>101</v>
      </c>
      <c r="E71" s="1">
        <v>6</v>
      </c>
      <c r="G71" s="1">
        <v>10</v>
      </c>
      <c r="O71" s="25"/>
      <c r="P71" s="15"/>
      <c r="Q71" s="15"/>
      <c r="R71" s="15"/>
    </row>
    <row r="72" spans="1:18">
      <c r="A72" s="12"/>
      <c r="B72" s="2" t="s">
        <v>36</v>
      </c>
      <c r="C72" s="20" t="s">
        <v>100</v>
      </c>
      <c r="D72" s="2" t="s">
        <v>32</v>
      </c>
      <c r="E72" s="7">
        <v>4</v>
      </c>
      <c r="F72" s="7"/>
      <c r="G72" s="7"/>
      <c r="H72" s="7"/>
      <c r="I72" s="7"/>
      <c r="L72" s="7"/>
      <c r="O72" s="25"/>
      <c r="P72" s="15"/>
      <c r="Q72" s="15"/>
      <c r="R72" s="15"/>
    </row>
    <row r="73" spans="1:18">
      <c r="A73" s="12"/>
      <c r="B73" s="2" t="s">
        <v>36</v>
      </c>
      <c r="C73" s="20" t="s">
        <v>30</v>
      </c>
      <c r="D73" s="2" t="s">
        <v>102</v>
      </c>
      <c r="E73" s="1">
        <v>8</v>
      </c>
      <c r="O73" s="25"/>
      <c r="P73" s="15"/>
      <c r="Q73" s="15"/>
      <c r="R73" s="15"/>
    </row>
    <row r="74" spans="1:18">
      <c r="A74" s="12"/>
      <c r="B74" s="2" t="s">
        <v>36</v>
      </c>
      <c r="C74" s="20" t="s">
        <v>30</v>
      </c>
      <c r="D74" s="2" t="s">
        <v>103</v>
      </c>
      <c r="E74" s="1">
        <v>1</v>
      </c>
      <c r="O74" s="25"/>
      <c r="P74" s="15"/>
      <c r="Q74" s="15"/>
      <c r="R74" s="15"/>
    </row>
    <row r="75" spans="1:18">
      <c r="A75" s="12"/>
      <c r="B75" s="2" t="s">
        <v>107</v>
      </c>
      <c r="C75" s="20" t="s">
        <v>104</v>
      </c>
      <c r="E75" s="1">
        <v>1</v>
      </c>
      <c r="K75" s="21">
        <v>5</v>
      </c>
      <c r="O75" s="25"/>
      <c r="P75" s="15"/>
      <c r="Q75" s="15"/>
      <c r="R75" s="15"/>
    </row>
    <row r="76" spans="1:18">
      <c r="A76" s="12"/>
      <c r="B76" s="2" t="s">
        <v>107</v>
      </c>
      <c r="C76" s="20" t="s">
        <v>105</v>
      </c>
      <c r="G76" s="1">
        <v>24</v>
      </c>
      <c r="K76" s="21">
        <v>35</v>
      </c>
      <c r="O76" s="25"/>
      <c r="P76" s="15"/>
      <c r="Q76" s="15"/>
      <c r="R76" s="15"/>
    </row>
    <row r="77" spans="1:18">
      <c r="A77" s="12"/>
      <c r="B77" s="2" t="s">
        <v>107</v>
      </c>
      <c r="C77" s="20" t="s">
        <v>106</v>
      </c>
      <c r="E77" s="1">
        <v>10</v>
      </c>
      <c r="G77" s="1">
        <v>5</v>
      </c>
      <c r="K77" s="21">
        <v>50</v>
      </c>
      <c r="O77" s="25"/>
      <c r="P77" s="15"/>
      <c r="Q77" s="15"/>
      <c r="R77" s="15"/>
    </row>
    <row r="78" spans="1:18">
      <c r="A78" s="12"/>
      <c r="B78" s="2" t="s">
        <v>107</v>
      </c>
      <c r="C78" s="20" t="s">
        <v>108</v>
      </c>
      <c r="E78" s="1">
        <v>4</v>
      </c>
      <c r="G78" s="1">
        <v>1</v>
      </c>
      <c r="K78" s="21">
        <v>28</v>
      </c>
      <c r="O78" s="25"/>
      <c r="P78" s="15"/>
      <c r="Q78" s="15"/>
      <c r="R78" s="15"/>
    </row>
    <row r="79" spans="1:18">
      <c r="A79" s="12"/>
      <c r="B79" s="2" t="s">
        <v>107</v>
      </c>
      <c r="C79" s="20" t="s">
        <v>34</v>
      </c>
      <c r="D79" s="2" t="s">
        <v>109</v>
      </c>
      <c r="G79" s="1">
        <v>4</v>
      </c>
      <c r="K79" s="21">
        <v>10</v>
      </c>
      <c r="O79" s="25"/>
      <c r="P79" s="15"/>
      <c r="Q79" s="15"/>
      <c r="R79" s="15"/>
    </row>
    <row r="80" spans="1:18">
      <c r="A80" s="12"/>
      <c r="B80" s="2" t="s">
        <v>107</v>
      </c>
      <c r="C80" s="20" t="s">
        <v>110</v>
      </c>
      <c r="G80" s="1">
        <v>1</v>
      </c>
      <c r="K80" s="21">
        <v>6</v>
      </c>
      <c r="O80" s="25"/>
      <c r="P80" s="15"/>
      <c r="Q80" s="15"/>
      <c r="R80" s="15"/>
    </row>
    <row r="81" spans="1:18">
      <c r="A81" s="12"/>
      <c r="O81" s="25"/>
      <c r="P81" s="15"/>
      <c r="Q81" s="15"/>
      <c r="R81" s="15"/>
    </row>
    <row r="82" spans="1:18">
      <c r="A82" s="12"/>
      <c r="O82" s="25"/>
      <c r="P82" s="15"/>
      <c r="Q82" s="15"/>
      <c r="R82" s="15"/>
    </row>
    <row r="83" spans="1:18">
      <c r="A83" s="12"/>
      <c r="O83" s="25"/>
      <c r="P83" s="15"/>
      <c r="Q83" s="15"/>
      <c r="R83" s="15"/>
    </row>
    <row r="84" spans="1:18">
      <c r="A84" s="12"/>
      <c r="O84" s="25"/>
      <c r="P84" s="15"/>
      <c r="Q84" s="15"/>
      <c r="R84" s="15"/>
    </row>
    <row r="85" spans="1:18">
      <c r="A85" s="12"/>
      <c r="O85" s="25"/>
      <c r="P85" s="15"/>
      <c r="Q85" s="15"/>
      <c r="R85" s="15"/>
    </row>
    <row r="86" spans="1:18">
      <c r="A86" s="12"/>
      <c r="O86" s="25"/>
      <c r="P86" s="15"/>
      <c r="Q86" s="15"/>
      <c r="R86" s="15"/>
    </row>
    <row r="87" spans="1:18">
      <c r="A87" s="12"/>
      <c r="O87" s="25"/>
      <c r="P87" s="15"/>
      <c r="Q87" s="15"/>
      <c r="R87" s="15"/>
    </row>
    <row r="88" spans="1:18">
      <c r="A88" s="12"/>
      <c r="O88" s="25"/>
      <c r="P88" s="15"/>
      <c r="Q88" s="15"/>
      <c r="R88" s="15"/>
    </row>
    <row r="89" spans="1:18">
      <c r="A89" s="12"/>
      <c r="O89" s="25"/>
      <c r="P89" s="15"/>
      <c r="Q89" s="15"/>
      <c r="R89" s="15"/>
    </row>
    <row r="90" spans="1:18">
      <c r="A90" s="12"/>
      <c r="O90" s="25"/>
      <c r="P90" s="15"/>
      <c r="Q90" s="15"/>
      <c r="R90" s="15"/>
    </row>
    <row r="91" spans="1:18">
      <c r="A91" s="12"/>
      <c r="O91" s="25"/>
      <c r="P91" s="15"/>
      <c r="Q91" s="15"/>
      <c r="R91" s="15"/>
    </row>
    <row r="92" spans="1:18">
      <c r="A92" s="12"/>
      <c r="O92" s="25"/>
      <c r="P92" s="15"/>
      <c r="Q92" s="15"/>
      <c r="R92" s="15"/>
    </row>
    <row r="93" spans="1:18">
      <c r="A93" s="12"/>
      <c r="O93" s="25"/>
      <c r="P93" s="15"/>
      <c r="Q93" s="15"/>
      <c r="R93" s="15"/>
    </row>
    <row r="94" spans="1:18">
      <c r="A94" s="12"/>
      <c r="O94" s="25"/>
      <c r="P94" s="15"/>
      <c r="Q94" s="15"/>
      <c r="R94" s="15"/>
    </row>
    <row r="95" spans="1:18">
      <c r="A95" s="12"/>
      <c r="B95" s="28"/>
      <c r="C95" s="13"/>
      <c r="D95" s="18"/>
      <c r="E95" s="14"/>
      <c r="F95" s="14"/>
      <c r="G95" s="14"/>
      <c r="H95" s="14"/>
      <c r="I95" s="14"/>
      <c r="J95" s="16"/>
      <c r="K95" s="16"/>
      <c r="L95" s="14"/>
      <c r="M95" s="12"/>
      <c r="P95" s="15"/>
      <c r="Q95" s="15"/>
      <c r="R95" s="15"/>
    </row>
    <row r="96" spans="1:18">
      <c r="A96" s="12"/>
      <c r="B96" s="28"/>
      <c r="C96" s="13"/>
      <c r="D96" s="13"/>
      <c r="E96" s="14"/>
      <c r="F96" s="14"/>
      <c r="G96" s="14"/>
      <c r="H96" s="14"/>
      <c r="I96" s="14"/>
      <c r="J96" s="16"/>
      <c r="K96" s="16"/>
      <c r="L96" s="14"/>
      <c r="P96" s="15"/>
      <c r="Q96" s="15"/>
      <c r="R96" s="15"/>
    </row>
    <row r="97" spans="1:18">
      <c r="A97" s="12"/>
      <c r="B97" s="28"/>
      <c r="C97" s="13"/>
      <c r="D97" s="13"/>
      <c r="E97" s="14"/>
      <c r="F97" s="14"/>
      <c r="G97" s="14"/>
      <c r="H97" s="14"/>
      <c r="I97" s="14"/>
      <c r="J97" s="16"/>
      <c r="K97" s="16"/>
      <c r="L97" s="14"/>
      <c r="M97" s="12"/>
      <c r="P97" s="15"/>
      <c r="Q97" s="15"/>
      <c r="R97" s="15"/>
    </row>
    <row r="98" spans="1:18">
      <c r="A98" s="12"/>
      <c r="B98" s="28"/>
      <c r="C98" s="13"/>
      <c r="D98" s="13"/>
      <c r="E98" s="14"/>
      <c r="F98" s="14"/>
      <c r="G98" s="14"/>
      <c r="H98" s="14"/>
      <c r="I98" s="14"/>
      <c r="J98" s="16"/>
      <c r="K98" s="16"/>
      <c r="L98" s="14"/>
      <c r="P98" s="15"/>
      <c r="Q98" s="15"/>
      <c r="R98" s="15"/>
    </row>
    <row r="99" spans="1:18">
      <c r="A99" s="12"/>
      <c r="B99" s="28"/>
      <c r="C99" s="13"/>
      <c r="D99" s="13"/>
      <c r="E99" s="14"/>
      <c r="F99" s="14"/>
      <c r="G99" s="14"/>
      <c r="H99" s="14"/>
      <c r="I99" s="14"/>
      <c r="J99" s="16"/>
      <c r="K99" s="16"/>
      <c r="L99" s="14"/>
      <c r="P99" s="15"/>
      <c r="Q99" s="15"/>
      <c r="R99" s="15"/>
    </row>
    <row r="100" spans="1:18">
      <c r="A100" s="12"/>
      <c r="C100" s="13"/>
      <c r="D100" s="18"/>
      <c r="E100" s="14"/>
      <c r="F100" s="14"/>
      <c r="G100" s="14"/>
      <c r="H100" s="14"/>
      <c r="I100" s="14"/>
      <c r="J100" s="16"/>
      <c r="K100" s="16"/>
      <c r="L100" s="14"/>
      <c r="M100" s="12"/>
      <c r="P100" s="15"/>
      <c r="Q100" s="15"/>
      <c r="R100" s="15"/>
    </row>
    <row r="101" spans="1:18">
      <c r="A101" s="12"/>
      <c r="C101" s="13"/>
      <c r="D101" s="13"/>
      <c r="E101" s="14"/>
      <c r="F101" s="14"/>
      <c r="G101" s="14"/>
      <c r="H101" s="14"/>
      <c r="I101" s="14"/>
      <c r="J101" s="16"/>
      <c r="K101" s="16"/>
      <c r="L101" s="14"/>
      <c r="P101" s="15"/>
      <c r="Q101" s="15"/>
      <c r="R101" s="15"/>
    </row>
    <row r="102" spans="1:18">
      <c r="A102" s="12"/>
      <c r="C102" s="13"/>
      <c r="D102" s="13"/>
      <c r="E102" s="14"/>
      <c r="F102" s="14"/>
      <c r="G102" s="14"/>
      <c r="H102" s="14"/>
      <c r="I102" s="14"/>
      <c r="J102" s="16"/>
      <c r="K102" s="16"/>
      <c r="L102" s="14"/>
      <c r="M102" s="12"/>
      <c r="P102" s="15"/>
      <c r="Q102" s="15"/>
      <c r="R102" s="15"/>
    </row>
    <row r="103" spans="1:18">
      <c r="A103" s="12"/>
      <c r="C103" s="13"/>
      <c r="D103" s="29"/>
      <c r="E103" s="14"/>
      <c r="F103" s="14"/>
      <c r="G103" s="14"/>
      <c r="H103" s="14"/>
      <c r="I103" s="14"/>
      <c r="J103" s="16"/>
      <c r="K103" s="16"/>
      <c r="L103" s="14"/>
      <c r="P103" s="15"/>
      <c r="Q103" s="15"/>
      <c r="R103" s="15"/>
    </row>
    <row r="104" spans="1:18">
      <c r="A104" s="12"/>
      <c r="C104" s="13"/>
      <c r="D104" s="29"/>
      <c r="E104" s="14"/>
      <c r="F104" s="14"/>
      <c r="G104" s="14"/>
      <c r="H104" s="14"/>
      <c r="I104" s="14"/>
      <c r="J104" s="16"/>
      <c r="K104" s="16"/>
      <c r="L104" s="14"/>
      <c r="P104" s="15"/>
      <c r="Q104" s="15"/>
      <c r="R104" s="15"/>
    </row>
    <row r="105" spans="1:18">
      <c r="A105" s="12"/>
      <c r="C105" s="29"/>
      <c r="D105" s="18"/>
      <c r="E105" s="14"/>
      <c r="F105" s="14"/>
      <c r="G105" s="14"/>
      <c r="H105" s="14"/>
      <c r="I105" s="14"/>
      <c r="J105" s="16"/>
      <c r="K105" s="16"/>
      <c r="L105" s="14"/>
      <c r="M105" s="12"/>
      <c r="P105" s="15"/>
      <c r="Q105" s="15"/>
      <c r="R105" s="15"/>
    </row>
    <row r="106" spans="1:18">
      <c r="A106" s="12"/>
      <c r="C106" s="29"/>
      <c r="D106" s="13"/>
      <c r="E106" s="14"/>
      <c r="F106" s="14"/>
      <c r="G106" s="14"/>
      <c r="H106" s="14"/>
      <c r="I106" s="14"/>
      <c r="J106" s="16"/>
      <c r="K106" s="16"/>
      <c r="L106" s="14"/>
      <c r="P106" s="15"/>
      <c r="Q106" s="15"/>
      <c r="R106" s="15"/>
    </row>
    <row r="107" spans="1:18">
      <c r="A107" s="12"/>
      <c r="C107" s="29"/>
      <c r="D107" s="13"/>
      <c r="E107" s="14"/>
      <c r="F107" s="14"/>
      <c r="G107" s="14"/>
      <c r="H107" s="14"/>
      <c r="I107" s="14"/>
      <c r="J107" s="16"/>
      <c r="K107" s="16"/>
      <c r="L107" s="14"/>
      <c r="M107" s="12"/>
      <c r="P107" s="15"/>
      <c r="Q107" s="15"/>
      <c r="R107" s="15"/>
    </row>
    <row r="108" spans="1:18">
      <c r="A108" s="12"/>
      <c r="C108" s="29"/>
      <c r="D108" s="29"/>
      <c r="E108" s="14"/>
      <c r="F108" s="14"/>
      <c r="G108" s="14"/>
      <c r="H108" s="14"/>
      <c r="I108" s="14"/>
      <c r="J108" s="16"/>
      <c r="K108" s="16"/>
      <c r="L108" s="14"/>
      <c r="M108" s="12"/>
      <c r="P108" s="15"/>
      <c r="Q108" s="15"/>
      <c r="R108" s="15"/>
    </row>
    <row r="109" spans="1:18">
      <c r="A109" s="12"/>
      <c r="C109" s="29"/>
      <c r="D109" s="29"/>
      <c r="E109" s="14"/>
      <c r="F109" s="14"/>
      <c r="G109" s="14"/>
      <c r="H109" s="14"/>
      <c r="I109" s="14"/>
      <c r="J109" s="16"/>
      <c r="K109" s="16"/>
      <c r="L109" s="14"/>
      <c r="M109" s="12"/>
      <c r="P109" s="15"/>
      <c r="Q109" s="15"/>
      <c r="R109" s="15"/>
    </row>
    <row r="110" spans="1:18">
      <c r="A110" s="12"/>
      <c r="B110" s="28"/>
      <c r="C110" s="13"/>
      <c r="D110" s="18"/>
      <c r="E110" s="14"/>
      <c r="F110" s="14"/>
      <c r="G110" s="14"/>
      <c r="H110" s="14"/>
      <c r="I110" s="14"/>
      <c r="J110" s="16"/>
      <c r="K110" s="16"/>
      <c r="L110" s="14"/>
      <c r="M110" s="12"/>
      <c r="P110" s="15"/>
      <c r="Q110" s="15"/>
      <c r="R110" s="15"/>
    </row>
    <row r="111" spans="1:18">
      <c r="A111" s="12"/>
      <c r="B111" s="28"/>
      <c r="C111" s="13"/>
      <c r="D111" s="13"/>
      <c r="E111" s="14"/>
      <c r="F111" s="14"/>
      <c r="G111" s="14"/>
      <c r="H111" s="14"/>
      <c r="I111" s="14"/>
      <c r="J111" s="16"/>
      <c r="K111" s="16"/>
      <c r="L111" s="14"/>
      <c r="M111" s="30"/>
      <c r="P111" s="15"/>
      <c r="Q111" s="15"/>
      <c r="R111" s="15"/>
    </row>
    <row r="112" spans="1:18">
      <c r="A112" s="12"/>
      <c r="B112" s="28"/>
      <c r="C112" s="13"/>
      <c r="D112" s="13"/>
      <c r="E112" s="14"/>
      <c r="F112" s="14"/>
      <c r="G112" s="14"/>
      <c r="H112" s="14"/>
      <c r="I112" s="14"/>
      <c r="J112" s="16"/>
      <c r="K112" s="16"/>
      <c r="L112" s="14"/>
      <c r="P112" s="15"/>
      <c r="Q112" s="15"/>
      <c r="R112" s="15"/>
    </row>
    <row r="113" spans="1:18">
      <c r="A113" s="12"/>
      <c r="B113" s="28"/>
      <c r="C113" s="13"/>
      <c r="D113" s="29"/>
      <c r="E113" s="14"/>
      <c r="F113" s="14"/>
      <c r="G113" s="14"/>
      <c r="H113" s="14"/>
      <c r="I113" s="14"/>
      <c r="J113" s="16"/>
      <c r="K113" s="16"/>
      <c r="L113" s="14"/>
      <c r="P113" s="15"/>
      <c r="Q113" s="15"/>
      <c r="R113" s="15"/>
    </row>
    <row r="114" spans="1:18">
      <c r="A114" s="12"/>
      <c r="B114" s="28"/>
      <c r="C114" s="13"/>
      <c r="D114" s="29"/>
      <c r="E114" s="14"/>
      <c r="F114" s="14"/>
      <c r="G114" s="14"/>
      <c r="H114" s="14"/>
      <c r="I114" s="14"/>
      <c r="J114" s="16"/>
      <c r="K114" s="16"/>
      <c r="L114" s="14"/>
      <c r="P114" s="15"/>
      <c r="Q114" s="15"/>
      <c r="R114" s="15"/>
    </row>
    <row r="115" spans="1:18">
      <c r="A115" s="12"/>
      <c r="C115" s="13"/>
      <c r="D115" s="18"/>
      <c r="E115" s="14"/>
      <c r="F115" s="14"/>
      <c r="G115" s="14"/>
      <c r="H115" s="14"/>
      <c r="I115" s="14"/>
      <c r="J115" s="16"/>
      <c r="K115" s="16"/>
      <c r="L115" s="14"/>
      <c r="P115" s="15"/>
      <c r="Q115" s="15"/>
      <c r="R115" s="15"/>
    </row>
    <row r="116" spans="1:18">
      <c r="A116" s="12"/>
      <c r="C116" s="13"/>
      <c r="D116" s="13"/>
      <c r="E116" s="14"/>
      <c r="F116" s="14"/>
      <c r="G116" s="14"/>
      <c r="H116" s="14"/>
      <c r="I116" s="14"/>
      <c r="J116" s="16"/>
      <c r="K116" s="16"/>
      <c r="L116" s="14"/>
      <c r="P116" s="15"/>
      <c r="Q116" s="15"/>
      <c r="R116" s="15"/>
    </row>
    <row r="117" spans="1:18">
      <c r="A117" s="12"/>
      <c r="C117" s="13"/>
      <c r="D117" s="13"/>
      <c r="E117" s="14"/>
      <c r="F117" s="14"/>
      <c r="G117" s="14"/>
      <c r="H117" s="8"/>
      <c r="I117" s="8"/>
      <c r="J117" s="10"/>
      <c r="K117" s="10"/>
      <c r="L117" s="14"/>
      <c r="P117" s="15"/>
      <c r="Q117" s="15"/>
      <c r="R117" s="15"/>
    </row>
    <row r="118" spans="1:18">
      <c r="A118" s="12"/>
      <c r="C118" s="13"/>
      <c r="D118" s="29"/>
      <c r="E118" s="14"/>
      <c r="F118" s="14"/>
      <c r="G118" s="14"/>
      <c r="H118" s="14"/>
      <c r="I118" s="14"/>
      <c r="J118" s="16"/>
      <c r="K118" s="16"/>
      <c r="L118" s="14"/>
      <c r="P118" s="15"/>
      <c r="Q118" s="15"/>
      <c r="R118" s="15"/>
    </row>
    <row r="119" spans="1:18">
      <c r="A119" s="12"/>
      <c r="C119" s="13"/>
      <c r="D119" s="29"/>
      <c r="E119" s="14"/>
      <c r="F119" s="14"/>
      <c r="G119" s="14"/>
      <c r="H119" s="14"/>
      <c r="I119" s="14"/>
      <c r="J119" s="16"/>
      <c r="K119" s="16"/>
      <c r="L119" s="14"/>
      <c r="P119" s="15"/>
      <c r="Q119" s="15"/>
      <c r="R119" s="15"/>
    </row>
    <row r="120" spans="1:18">
      <c r="A120" s="12"/>
      <c r="C120" s="13"/>
      <c r="D120" s="31"/>
      <c r="E120" s="14"/>
      <c r="F120" s="14"/>
      <c r="G120" s="14"/>
      <c r="H120" s="14"/>
      <c r="I120" s="14"/>
      <c r="J120" s="16"/>
      <c r="K120" s="16"/>
      <c r="L120" s="14"/>
      <c r="M120" s="30"/>
      <c r="P120" s="15"/>
      <c r="Q120" s="15"/>
      <c r="R120" s="15"/>
    </row>
    <row r="121" spans="1:18">
      <c r="A121" s="12"/>
      <c r="C121" s="13"/>
      <c r="E121" s="14"/>
      <c r="F121" s="14"/>
      <c r="G121" s="14"/>
      <c r="H121" s="14"/>
      <c r="I121" s="14"/>
      <c r="J121" s="16"/>
      <c r="K121" s="16"/>
      <c r="L121" s="14"/>
      <c r="M121" s="30"/>
      <c r="P121" s="15"/>
      <c r="Q121" s="15"/>
      <c r="R121" s="15"/>
    </row>
    <row r="122" spans="1:18">
      <c r="A122" s="12"/>
      <c r="J122" s="1"/>
      <c r="K122" s="1"/>
      <c r="P122" s="15"/>
      <c r="Q122" s="15"/>
      <c r="R122" s="15"/>
    </row>
    <row r="123" spans="1:18">
      <c r="A123" s="12"/>
      <c r="J123" s="1"/>
      <c r="K123" s="1"/>
      <c r="P123" s="15"/>
      <c r="Q123" s="15"/>
      <c r="R123" s="15"/>
    </row>
    <row r="124" spans="1:18">
      <c r="A124" s="12"/>
      <c r="J124" s="1"/>
      <c r="K124" s="1"/>
      <c r="P124" s="15"/>
      <c r="Q124" s="15"/>
      <c r="R124" s="15"/>
    </row>
    <row r="125" spans="1:18">
      <c r="A125" s="12"/>
      <c r="J125" s="1"/>
      <c r="K125" s="1"/>
      <c r="P125" s="15"/>
      <c r="Q125" s="15"/>
      <c r="R125" s="15"/>
    </row>
    <row r="126" spans="1:18">
      <c r="A126" s="12"/>
      <c r="J126" s="1"/>
      <c r="K126" s="1"/>
      <c r="P126" s="15"/>
      <c r="Q126" s="15"/>
      <c r="R126" s="15"/>
    </row>
    <row r="127" spans="1:18">
      <c r="A127" s="12"/>
      <c r="J127" s="1"/>
      <c r="K127" s="1"/>
      <c r="P127" s="15"/>
      <c r="Q127" s="15"/>
      <c r="R127" s="15"/>
    </row>
    <row r="128" spans="1:18">
      <c r="A128" s="12"/>
      <c r="J128" s="1"/>
      <c r="K128" s="1"/>
      <c r="P128" s="15"/>
      <c r="Q128" s="15"/>
      <c r="R128" s="15"/>
    </row>
    <row r="129" spans="1:18">
      <c r="A129" s="12"/>
      <c r="J129" s="1"/>
      <c r="K129" s="1"/>
      <c r="P129" s="15"/>
      <c r="Q129" s="15"/>
      <c r="R129" s="15"/>
    </row>
    <row r="130" spans="1:18">
      <c r="A130" s="12"/>
      <c r="J130" s="1"/>
      <c r="K130" s="1"/>
      <c r="P130" s="15"/>
      <c r="Q130" s="15"/>
      <c r="R130" s="15"/>
    </row>
    <row r="131" spans="1:18">
      <c r="A131" s="12"/>
      <c r="J131" s="1"/>
      <c r="K131" s="1"/>
      <c r="P131" s="15"/>
      <c r="Q131" s="15"/>
      <c r="R131" s="15"/>
    </row>
    <row r="132" spans="1:18">
      <c r="A132" s="12"/>
      <c r="J132" s="1"/>
      <c r="K132" s="1"/>
      <c r="P132" s="15"/>
      <c r="Q132" s="15"/>
      <c r="R132" s="15"/>
    </row>
    <row r="133" spans="1:18">
      <c r="A133" s="12"/>
      <c r="J133" s="1"/>
      <c r="K133" s="1"/>
      <c r="P133" s="15"/>
      <c r="Q133" s="15"/>
      <c r="R133" s="15"/>
    </row>
    <row r="134" spans="1:18">
      <c r="A134" s="12"/>
      <c r="J134" s="1"/>
      <c r="K134" s="1"/>
      <c r="P134" s="15"/>
      <c r="Q134" s="15"/>
      <c r="R134" s="15"/>
    </row>
    <row r="135" spans="1:18">
      <c r="A135" s="12"/>
      <c r="J135" s="1"/>
      <c r="K135" s="1"/>
      <c r="P135" s="15"/>
      <c r="Q135" s="15"/>
      <c r="R135" s="15"/>
    </row>
    <row r="136" spans="1:18">
      <c r="A136" s="12"/>
      <c r="J136" s="1"/>
      <c r="K136" s="1"/>
      <c r="P136" s="15"/>
      <c r="Q136" s="15"/>
      <c r="R136" s="15"/>
    </row>
    <row r="137" spans="1:18">
      <c r="A137" s="12"/>
      <c r="J137" s="1"/>
      <c r="K137" s="1"/>
      <c r="P137" s="15"/>
      <c r="Q137" s="15"/>
      <c r="R137" s="15"/>
    </row>
    <row r="138" spans="1:18">
      <c r="A138" s="12"/>
      <c r="J138" s="1"/>
      <c r="K138" s="1"/>
      <c r="P138" s="15"/>
      <c r="Q138" s="15"/>
      <c r="R138" s="15"/>
    </row>
    <row r="139" spans="1:18">
      <c r="A139" s="12"/>
      <c r="J139" s="1"/>
      <c r="K139" s="1"/>
      <c r="P139" s="15"/>
      <c r="Q139" s="15"/>
      <c r="R139" s="15"/>
    </row>
    <row r="140" spans="1:18">
      <c r="A140" s="12"/>
      <c r="J140" s="1"/>
      <c r="K140" s="1"/>
      <c r="P140" s="15"/>
      <c r="Q140" s="15"/>
      <c r="R140" s="15"/>
    </row>
    <row r="141" spans="1:18">
      <c r="A141" s="12"/>
      <c r="J141" s="1"/>
      <c r="K141" s="1"/>
      <c r="P141" s="15"/>
      <c r="Q141" s="15"/>
      <c r="R141" s="15"/>
    </row>
    <row r="142" spans="1:18">
      <c r="A142" s="12"/>
      <c r="J142" s="1"/>
      <c r="K142" s="1"/>
      <c r="P142" s="15"/>
      <c r="Q142" s="15"/>
      <c r="R142" s="15"/>
    </row>
    <row r="143" spans="1:18">
      <c r="A143" s="12"/>
      <c r="J143" s="1"/>
      <c r="K143" s="1"/>
      <c r="P143" s="15"/>
      <c r="Q143" s="15"/>
      <c r="R143" s="15"/>
    </row>
    <row r="144" spans="1:18">
      <c r="A144" s="12"/>
      <c r="J144" s="1"/>
      <c r="K144" s="1"/>
      <c r="P144" s="15"/>
      <c r="Q144" s="15"/>
      <c r="R144" s="15"/>
    </row>
    <row r="145" spans="1:19">
      <c r="A145" s="12"/>
      <c r="J145" s="1"/>
      <c r="K145" s="1"/>
      <c r="P145" s="15"/>
      <c r="Q145" s="15"/>
      <c r="R145" s="15"/>
    </row>
    <row r="146" spans="1:19">
      <c r="A146" s="12"/>
      <c r="J146" s="1"/>
      <c r="K146" s="1"/>
      <c r="P146" s="15"/>
      <c r="Q146" s="15"/>
      <c r="R146" s="15"/>
    </row>
    <row r="147" spans="1:19">
      <c r="A147" s="12"/>
      <c r="J147" s="1"/>
      <c r="K147" s="1"/>
      <c r="P147" s="15"/>
      <c r="Q147" s="15"/>
      <c r="R147" s="15"/>
    </row>
    <row r="148" spans="1:19">
      <c r="A148" s="12"/>
      <c r="J148" s="1"/>
      <c r="K148" s="1"/>
      <c r="P148" s="15"/>
      <c r="Q148" s="15"/>
      <c r="R148" s="15"/>
    </row>
    <row r="149" spans="1:19">
      <c r="A149" s="12"/>
      <c r="J149" s="1"/>
      <c r="K149" s="1"/>
      <c r="P149" s="15"/>
      <c r="Q149" s="15"/>
      <c r="R149" s="15"/>
    </row>
    <row r="150" spans="1:19">
      <c r="A150" s="12"/>
      <c r="J150" s="1"/>
      <c r="K150" s="1"/>
      <c r="P150" s="15"/>
      <c r="Q150" s="15"/>
      <c r="R150" s="15"/>
      <c r="S150" s="22"/>
    </row>
    <row r="151" spans="1:19">
      <c r="A151" s="12"/>
      <c r="J151" s="1"/>
      <c r="K151" s="1"/>
      <c r="P151" s="15"/>
      <c r="Q151" s="15"/>
      <c r="R151" s="15"/>
    </row>
    <row r="152" spans="1:19">
      <c r="A152" s="12"/>
      <c r="J152" s="1"/>
      <c r="K152" s="1"/>
      <c r="P152" s="15"/>
      <c r="Q152" s="15"/>
      <c r="R152" s="15"/>
    </row>
    <row r="153" spans="1:19">
      <c r="A153" s="12"/>
      <c r="J153" s="1"/>
      <c r="K153" s="1"/>
      <c r="P153" s="15"/>
      <c r="Q153" s="15"/>
      <c r="R153" s="15"/>
    </row>
    <row r="154" spans="1:19">
      <c r="A154" s="12"/>
      <c r="P154" s="15"/>
      <c r="Q154" s="15"/>
      <c r="R154" s="15"/>
    </row>
    <row r="155" spans="1:19">
      <c r="A155" s="12"/>
      <c r="J155" s="1"/>
      <c r="K155" s="1"/>
      <c r="P155" s="15"/>
      <c r="Q155" s="15"/>
      <c r="R155" s="15"/>
    </row>
    <row r="156" spans="1:19">
      <c r="P156" s="15"/>
      <c r="Q156" s="15"/>
      <c r="R156" s="15"/>
    </row>
    <row r="157" spans="1:19">
      <c r="P157" s="15"/>
      <c r="Q157" s="15"/>
      <c r="R157" s="15"/>
    </row>
    <row r="158" spans="1:19">
      <c r="P158" s="15"/>
      <c r="Q158" s="15"/>
      <c r="R158" s="15"/>
    </row>
    <row r="159" spans="1:19">
      <c r="P159" s="15"/>
      <c r="Q159" s="15"/>
      <c r="R159" s="15"/>
    </row>
    <row r="160" spans="1:19">
      <c r="P160" s="15"/>
      <c r="Q160" s="15"/>
      <c r="R160" s="15"/>
    </row>
    <row r="161" spans="3:18">
      <c r="P161" s="15"/>
      <c r="Q161" s="15"/>
      <c r="R161" s="15"/>
    </row>
    <row r="162" spans="3:18">
      <c r="P162" s="15"/>
      <c r="Q162" s="15"/>
      <c r="R162" s="15"/>
    </row>
    <row r="163" spans="3:18">
      <c r="P163" s="15"/>
      <c r="Q163" s="15"/>
      <c r="R163" s="15"/>
    </row>
    <row r="164" spans="3:18">
      <c r="P164" s="15"/>
      <c r="Q164" s="15"/>
      <c r="R164" s="15"/>
    </row>
    <row r="165" spans="3:18">
      <c r="P165" s="15"/>
      <c r="Q165" s="15"/>
      <c r="R165" s="15"/>
    </row>
    <row r="166" spans="3:18">
      <c r="C166" s="2"/>
      <c r="E166" s="2"/>
      <c r="F166" s="2"/>
      <c r="G166" s="2"/>
      <c r="H166" s="2"/>
      <c r="I166" s="2"/>
      <c r="J166" s="2"/>
      <c r="K166" s="2"/>
      <c r="L166" s="2"/>
      <c r="P166" s="15"/>
      <c r="Q166" s="15"/>
      <c r="R166" s="15"/>
    </row>
    <row r="167" spans="3:18">
      <c r="C167" s="2"/>
      <c r="E167" s="2"/>
      <c r="F167" s="2"/>
      <c r="G167" s="2"/>
      <c r="H167" s="2"/>
      <c r="I167" s="2"/>
      <c r="J167" s="2"/>
      <c r="K167" s="2"/>
      <c r="L167" s="2"/>
      <c r="P167" s="15"/>
      <c r="Q167" s="15"/>
      <c r="R167" s="15"/>
    </row>
    <row r="168" spans="3:18">
      <c r="C168" s="2"/>
      <c r="E168" s="2"/>
      <c r="F168" s="2"/>
      <c r="G168" s="2"/>
      <c r="H168" s="2"/>
      <c r="I168" s="2"/>
      <c r="J168" s="2"/>
      <c r="K168" s="2"/>
      <c r="L168" s="2"/>
      <c r="P168" s="15"/>
      <c r="Q168" s="15"/>
      <c r="R168" s="15"/>
    </row>
    <row r="169" spans="3:18">
      <c r="C169" s="2"/>
      <c r="E169" s="2"/>
      <c r="F169" s="2"/>
      <c r="G169" s="2"/>
      <c r="H169" s="2"/>
      <c r="I169" s="2"/>
      <c r="J169" s="2"/>
      <c r="K169" s="2"/>
      <c r="L169" s="2"/>
      <c r="P169" s="15"/>
      <c r="Q169" s="15"/>
      <c r="R169" s="15"/>
    </row>
    <row r="170" spans="3:18">
      <c r="C170" s="2"/>
      <c r="E170" s="2"/>
      <c r="F170" s="2"/>
      <c r="G170" s="2"/>
      <c r="H170" s="2"/>
      <c r="I170" s="2"/>
      <c r="J170" s="2"/>
      <c r="K170" s="2"/>
      <c r="L170" s="2"/>
      <c r="P170" s="15"/>
      <c r="Q170" s="15"/>
      <c r="R170" s="15"/>
    </row>
    <row r="171" spans="3:18">
      <c r="C171" s="2"/>
      <c r="E171" s="2"/>
      <c r="F171" s="2"/>
      <c r="G171" s="2"/>
      <c r="H171" s="2"/>
      <c r="I171" s="2"/>
      <c r="J171" s="2"/>
      <c r="K171" s="2"/>
      <c r="L171" s="2"/>
      <c r="P171" s="15"/>
      <c r="Q171" s="15"/>
      <c r="R171" s="15"/>
    </row>
    <row r="172" spans="3:18">
      <c r="C172" s="2"/>
      <c r="E172" s="2"/>
      <c r="F172" s="2"/>
      <c r="G172" s="2"/>
      <c r="H172" s="2"/>
      <c r="I172" s="2"/>
      <c r="J172" s="2"/>
      <c r="K172" s="2"/>
      <c r="L172" s="2"/>
      <c r="P172" s="15"/>
      <c r="Q172" s="15"/>
      <c r="R172" s="15"/>
    </row>
    <row r="173" spans="3:18">
      <c r="C173" s="2"/>
      <c r="E173" s="2"/>
      <c r="F173" s="2"/>
      <c r="G173" s="2"/>
      <c r="H173" s="2"/>
      <c r="I173" s="2"/>
      <c r="J173" s="2"/>
      <c r="K173" s="2"/>
      <c r="L173" s="2"/>
      <c r="P173" s="15"/>
      <c r="Q173" s="15"/>
      <c r="R173" s="15"/>
    </row>
    <row r="174" spans="3:18">
      <c r="C174" s="2"/>
      <c r="E174" s="2"/>
      <c r="F174" s="2"/>
      <c r="G174" s="2"/>
      <c r="H174" s="2"/>
      <c r="I174" s="2"/>
      <c r="J174" s="2"/>
      <c r="K174" s="2"/>
      <c r="L174" s="2"/>
      <c r="P174" s="15"/>
      <c r="Q174" s="15"/>
      <c r="R174" s="15"/>
    </row>
    <row r="175" spans="3:18">
      <c r="C175" s="2"/>
      <c r="E175" s="2"/>
      <c r="F175" s="2"/>
      <c r="G175" s="2"/>
      <c r="H175" s="2"/>
      <c r="I175" s="2"/>
      <c r="J175" s="2"/>
      <c r="K175" s="2"/>
      <c r="L175" s="2"/>
      <c r="P175" s="15"/>
      <c r="Q175" s="15"/>
      <c r="R175" s="15"/>
    </row>
    <row r="176" spans="3:18">
      <c r="C176" s="2"/>
      <c r="E176" s="2"/>
      <c r="F176" s="2"/>
      <c r="G176" s="2"/>
      <c r="H176" s="2"/>
      <c r="I176" s="2"/>
      <c r="J176" s="2"/>
      <c r="K176" s="2"/>
      <c r="L176" s="2"/>
      <c r="P176" s="15"/>
      <c r="Q176" s="15"/>
      <c r="R176" s="15"/>
    </row>
    <row r="177" spans="3:18">
      <c r="C177" s="2"/>
      <c r="E177" s="2"/>
      <c r="F177" s="2"/>
      <c r="G177" s="2"/>
      <c r="H177" s="2"/>
      <c r="I177" s="2"/>
      <c r="J177" s="2"/>
      <c r="K177" s="2"/>
      <c r="L177" s="2"/>
      <c r="P177" s="15"/>
      <c r="Q177" s="15"/>
      <c r="R177" s="15"/>
    </row>
    <row r="178" spans="3:18">
      <c r="C178" s="2"/>
      <c r="E178" s="2"/>
      <c r="F178" s="2"/>
      <c r="G178" s="2"/>
      <c r="H178" s="2"/>
      <c r="I178" s="2"/>
      <c r="J178" s="2"/>
      <c r="K178" s="2"/>
      <c r="L178" s="2"/>
      <c r="P178" s="15"/>
      <c r="Q178" s="15"/>
      <c r="R178" s="15"/>
    </row>
    <row r="179" spans="3:18">
      <c r="C179" s="2"/>
      <c r="E179" s="2"/>
      <c r="F179" s="2"/>
      <c r="G179" s="2"/>
      <c r="H179" s="2"/>
      <c r="I179" s="2"/>
      <c r="J179" s="2"/>
      <c r="K179" s="2"/>
      <c r="L179" s="2"/>
      <c r="P179" s="15"/>
      <c r="Q179" s="15"/>
      <c r="R179" s="15"/>
    </row>
    <row r="180" spans="3:18">
      <c r="C180" s="2"/>
      <c r="E180" s="2"/>
      <c r="F180" s="2"/>
      <c r="G180" s="2"/>
      <c r="H180" s="2"/>
      <c r="I180" s="2"/>
      <c r="J180" s="2"/>
      <c r="K180" s="2"/>
      <c r="L180" s="2"/>
      <c r="P180" s="15"/>
      <c r="Q180" s="15"/>
      <c r="R180" s="15"/>
    </row>
    <row r="181" spans="3:18">
      <c r="C181" s="2"/>
      <c r="E181" s="2"/>
      <c r="F181" s="2"/>
      <c r="G181" s="2"/>
      <c r="H181" s="2"/>
      <c r="I181" s="2"/>
      <c r="J181" s="2"/>
      <c r="K181" s="2"/>
      <c r="L181" s="2"/>
      <c r="P181" s="15"/>
      <c r="Q181" s="15"/>
      <c r="R181" s="15"/>
    </row>
    <row r="182" spans="3:18">
      <c r="C182" s="2"/>
      <c r="E182" s="2"/>
      <c r="F182" s="2"/>
      <c r="G182" s="2"/>
      <c r="H182" s="2"/>
      <c r="I182" s="2"/>
      <c r="J182" s="2"/>
      <c r="K182" s="2"/>
      <c r="L182" s="2"/>
      <c r="P182" s="15"/>
      <c r="Q182" s="15"/>
      <c r="R182" s="15"/>
    </row>
    <row r="183" spans="3:18">
      <c r="C183" s="2"/>
      <c r="E183" s="2"/>
      <c r="F183" s="2"/>
      <c r="G183" s="2"/>
      <c r="H183" s="2"/>
      <c r="I183" s="2"/>
      <c r="J183" s="2"/>
      <c r="K183" s="2"/>
      <c r="L183" s="2"/>
      <c r="P183" s="15"/>
      <c r="Q183" s="15"/>
      <c r="R183" s="15"/>
    </row>
    <row r="184" spans="3:18">
      <c r="C184" s="2"/>
      <c r="E184" s="2"/>
      <c r="F184" s="2"/>
      <c r="G184" s="2"/>
      <c r="H184" s="2"/>
      <c r="I184" s="2"/>
      <c r="J184" s="2"/>
      <c r="K184" s="2"/>
      <c r="L184" s="2"/>
      <c r="P184" s="15"/>
      <c r="Q184" s="15"/>
      <c r="R184" s="15"/>
    </row>
    <row r="185" spans="3:18">
      <c r="C185" s="2"/>
      <c r="E185" s="2"/>
      <c r="F185" s="2"/>
      <c r="G185" s="2"/>
      <c r="H185" s="2"/>
      <c r="I185" s="2"/>
      <c r="J185" s="2"/>
      <c r="K185" s="2"/>
      <c r="L185" s="2"/>
      <c r="P185" s="15"/>
      <c r="Q185" s="15"/>
      <c r="R185" s="15"/>
    </row>
    <row r="186" spans="3:18">
      <c r="C186" s="2"/>
      <c r="E186" s="2"/>
      <c r="F186" s="2"/>
      <c r="G186" s="2"/>
      <c r="H186" s="2"/>
      <c r="I186" s="2"/>
      <c r="J186" s="2"/>
      <c r="K186" s="2"/>
      <c r="L186" s="2"/>
      <c r="P186" s="15"/>
      <c r="Q186" s="15"/>
      <c r="R186" s="15"/>
    </row>
    <row r="187" spans="3:18">
      <c r="C187" s="2"/>
      <c r="E187" s="2"/>
      <c r="F187" s="2"/>
      <c r="G187" s="2"/>
      <c r="H187" s="2"/>
      <c r="I187" s="2"/>
      <c r="J187" s="2"/>
      <c r="K187" s="2"/>
      <c r="L187" s="2"/>
      <c r="P187" s="15"/>
      <c r="Q187" s="15"/>
      <c r="R187" s="15"/>
    </row>
    <row r="188" spans="3:18">
      <c r="C188" s="2"/>
      <c r="E188" s="2"/>
      <c r="F188" s="2"/>
      <c r="G188" s="2"/>
      <c r="H188" s="2"/>
      <c r="I188" s="2"/>
      <c r="J188" s="2"/>
      <c r="K188" s="2"/>
      <c r="L188" s="2"/>
      <c r="P188" s="15"/>
      <c r="Q188" s="15"/>
      <c r="R188" s="15"/>
    </row>
    <row r="189" spans="3:18">
      <c r="C189" s="2"/>
      <c r="E189" s="2"/>
      <c r="F189" s="2"/>
      <c r="G189" s="2"/>
      <c r="H189" s="2"/>
      <c r="I189" s="2"/>
      <c r="J189" s="2"/>
      <c r="K189" s="2"/>
      <c r="L189" s="2"/>
      <c r="P189" s="15"/>
      <c r="Q189" s="15"/>
      <c r="R189" s="15"/>
    </row>
    <row r="190" spans="3:18">
      <c r="C190" s="2"/>
      <c r="E190" s="2"/>
      <c r="F190" s="2"/>
      <c r="G190" s="2"/>
      <c r="H190" s="2"/>
      <c r="I190" s="2"/>
      <c r="J190" s="2"/>
      <c r="K190" s="2"/>
      <c r="L190" s="2"/>
      <c r="P190" s="15"/>
      <c r="Q190" s="15"/>
      <c r="R190" s="15"/>
    </row>
    <row r="191" spans="3:18">
      <c r="C191" s="2"/>
      <c r="E191" s="2"/>
      <c r="F191" s="2"/>
      <c r="G191" s="2"/>
      <c r="H191" s="2"/>
      <c r="I191" s="2"/>
      <c r="J191" s="2"/>
      <c r="K191" s="2"/>
      <c r="L191" s="2"/>
      <c r="P191" s="15"/>
      <c r="Q191" s="15"/>
      <c r="R191" s="15"/>
    </row>
    <row r="192" spans="3:18">
      <c r="C192" s="2"/>
      <c r="E192" s="2"/>
      <c r="F192" s="2"/>
      <c r="G192" s="2"/>
      <c r="H192" s="2"/>
      <c r="I192" s="2"/>
      <c r="J192" s="2"/>
      <c r="K192" s="2"/>
      <c r="L192" s="2"/>
      <c r="P192" s="15"/>
      <c r="Q192" s="15"/>
      <c r="R192" s="15"/>
    </row>
    <row r="193" spans="3:18">
      <c r="C193" s="2"/>
      <c r="E193" s="2"/>
      <c r="F193" s="2"/>
      <c r="G193" s="2"/>
      <c r="H193" s="2"/>
      <c r="I193" s="2"/>
      <c r="J193" s="2"/>
      <c r="K193" s="2"/>
      <c r="L193" s="2"/>
      <c r="P193" s="15"/>
      <c r="Q193" s="15"/>
      <c r="R193" s="15"/>
    </row>
    <row r="194" spans="3:18">
      <c r="C194" s="2"/>
      <c r="E194" s="2"/>
      <c r="F194" s="2"/>
      <c r="G194" s="2"/>
      <c r="H194" s="2"/>
      <c r="I194" s="2"/>
      <c r="J194" s="2"/>
      <c r="K194" s="2"/>
      <c r="L194" s="2"/>
      <c r="P194" s="15"/>
      <c r="Q194" s="15"/>
      <c r="R194" s="15"/>
    </row>
    <row r="195" spans="3:18">
      <c r="C195" s="2"/>
      <c r="E195" s="2"/>
      <c r="F195" s="2"/>
      <c r="G195" s="2"/>
      <c r="H195" s="2"/>
      <c r="I195" s="2"/>
      <c r="J195" s="2"/>
      <c r="K195" s="2"/>
      <c r="L195" s="2"/>
      <c r="P195" s="15"/>
      <c r="Q195" s="15"/>
      <c r="R195" s="15"/>
    </row>
    <row r="196" spans="3:18">
      <c r="C196" s="2"/>
      <c r="E196" s="2"/>
      <c r="F196" s="2"/>
      <c r="G196" s="2"/>
      <c r="H196" s="2"/>
      <c r="I196" s="2"/>
      <c r="J196" s="2"/>
      <c r="K196" s="2"/>
      <c r="L196" s="2"/>
      <c r="P196" s="15"/>
      <c r="Q196" s="15"/>
      <c r="R196" s="15"/>
    </row>
    <row r="197" spans="3:18">
      <c r="C197" s="2"/>
      <c r="E197" s="2"/>
      <c r="F197" s="2"/>
      <c r="G197" s="2"/>
      <c r="H197" s="2"/>
      <c r="I197" s="2"/>
      <c r="J197" s="2"/>
      <c r="K197" s="2"/>
      <c r="L197" s="2"/>
      <c r="P197" s="15"/>
      <c r="Q197" s="15"/>
      <c r="R197" s="15"/>
    </row>
    <row r="198" spans="3:18">
      <c r="C198" s="2"/>
      <c r="E198" s="2"/>
      <c r="F198" s="2"/>
      <c r="G198" s="2"/>
      <c r="H198" s="2"/>
      <c r="I198" s="2"/>
      <c r="J198" s="2"/>
      <c r="K198" s="2"/>
      <c r="L198" s="2"/>
      <c r="P198" s="15"/>
      <c r="Q198" s="15"/>
      <c r="R198" s="15"/>
    </row>
    <row r="199" spans="3:18">
      <c r="C199" s="2"/>
      <c r="E199" s="2"/>
      <c r="F199" s="2"/>
      <c r="G199" s="2"/>
      <c r="H199" s="2"/>
      <c r="I199" s="2"/>
      <c r="J199" s="2"/>
      <c r="K199" s="2"/>
      <c r="L199" s="2"/>
      <c r="P199" s="15"/>
      <c r="Q199" s="15"/>
      <c r="R199" s="15"/>
    </row>
    <row r="200" spans="3:18">
      <c r="C200" s="2"/>
      <c r="E200" s="2"/>
      <c r="F200" s="2"/>
      <c r="G200" s="2"/>
      <c r="H200" s="2"/>
      <c r="I200" s="2"/>
      <c r="J200" s="2"/>
      <c r="K200" s="2"/>
      <c r="L200" s="2"/>
      <c r="P200" s="15"/>
      <c r="Q200" s="15"/>
      <c r="R200" s="15"/>
    </row>
    <row r="201" spans="3:18">
      <c r="C201" s="2"/>
      <c r="E201" s="2"/>
      <c r="F201" s="2"/>
      <c r="G201" s="2"/>
      <c r="H201" s="2"/>
      <c r="I201" s="2"/>
      <c r="J201" s="2"/>
      <c r="K201" s="2"/>
      <c r="L201" s="2"/>
      <c r="P201" s="15"/>
      <c r="Q201" s="15"/>
      <c r="R201" s="15"/>
    </row>
    <row r="202" spans="3:18">
      <c r="C202" s="2"/>
      <c r="E202" s="2"/>
      <c r="F202" s="2"/>
      <c r="G202" s="2"/>
      <c r="H202" s="2"/>
      <c r="I202" s="2"/>
      <c r="J202" s="2"/>
      <c r="K202" s="2"/>
      <c r="L202" s="2"/>
      <c r="P202" s="15"/>
      <c r="Q202" s="15"/>
      <c r="R202" s="15"/>
    </row>
  </sheetData>
  <mergeCells count="6">
    <mergeCell ref="E2:K2"/>
    <mergeCell ref="P2:T2"/>
    <mergeCell ref="B3:D3"/>
    <mergeCell ref="E3:G3"/>
    <mergeCell ref="H3:K3"/>
    <mergeCell ref="R3:T3"/>
  </mergeCells>
  <dataValidations count="3">
    <dataValidation type="list" allowBlank="1" showInputMessage="1" showErrorMessage="1" sqref="B49:B94">
      <formula1>System</formula1>
    </dataValidation>
    <dataValidation type="list" allowBlank="1" showInputMessage="1" showErrorMessage="1" sqref="D44:D94">
      <formula1>Task</formula1>
    </dataValidation>
    <dataValidation type="list" allowBlank="1" showInputMessage="1" showErrorMessage="1" sqref="M44:M94">
      <formula1>BOE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9" sqref="C19"/>
    </sheetView>
  </sheetViews>
  <sheetFormatPr defaultRowHeight="15"/>
  <cols>
    <col min="1" max="1" width="60.85546875" customWidth="1"/>
    <col min="2" max="2" width="11.42578125" customWidth="1"/>
    <col min="3" max="3" width="9.42578125" style="41" customWidth="1"/>
  </cols>
  <sheetData>
    <row r="1" spans="1:4">
      <c r="A1" s="45" t="s">
        <v>139</v>
      </c>
    </row>
    <row r="3" spans="1:4" s="39" customFormat="1" ht="30">
      <c r="A3" s="38" t="s">
        <v>120</v>
      </c>
      <c r="B3" s="39" t="s">
        <v>138</v>
      </c>
      <c r="C3" s="40" t="s">
        <v>125</v>
      </c>
    </row>
    <row r="4" spans="1:4">
      <c r="A4" s="36" t="s">
        <v>137</v>
      </c>
      <c r="B4" s="37">
        <v>2</v>
      </c>
    </row>
    <row r="5" spans="1:4">
      <c r="A5" s="36" t="s">
        <v>141</v>
      </c>
      <c r="B5" s="37">
        <v>2</v>
      </c>
    </row>
    <row r="6" spans="1:4">
      <c r="A6" s="36" t="s">
        <v>130</v>
      </c>
      <c r="B6" s="37">
        <v>2.5</v>
      </c>
    </row>
    <row r="7" spans="1:4">
      <c r="A7" s="36" t="s">
        <v>131</v>
      </c>
      <c r="B7" s="37">
        <v>12</v>
      </c>
    </row>
    <row r="8" spans="1:4">
      <c r="A8" s="36" t="s">
        <v>132</v>
      </c>
      <c r="B8" s="37">
        <v>1.5</v>
      </c>
    </row>
    <row r="9" spans="1:4">
      <c r="A9" s="36" t="s">
        <v>135</v>
      </c>
      <c r="B9" s="37"/>
      <c r="C9" s="41">
        <v>24</v>
      </c>
    </row>
    <row r="10" spans="1:4">
      <c r="A10" s="36" t="s">
        <v>136</v>
      </c>
      <c r="B10" s="37"/>
      <c r="C10" s="41">
        <v>10</v>
      </c>
    </row>
    <row r="11" spans="1:4">
      <c r="A11" s="36" t="s">
        <v>121</v>
      </c>
      <c r="B11" s="37">
        <v>20</v>
      </c>
      <c r="C11" s="41">
        <v>34</v>
      </c>
    </row>
    <row r="12" spans="1:4">
      <c r="A12" s="36" t="s">
        <v>163</v>
      </c>
      <c r="B12" s="50"/>
      <c r="C12" s="50">
        <f>GETPIVOTDATA("M&amp;S ($K)",$A$3)*(1+Overheads!C23)</f>
        <v>40.932600000000001</v>
      </c>
    </row>
    <row r="13" spans="1:4">
      <c r="A13" s="36" t="s">
        <v>157</v>
      </c>
      <c r="B13" s="50">
        <f>Overheads!C5/1000</f>
        <v>3.4</v>
      </c>
      <c r="C13" s="50"/>
      <c r="D13" s="48" t="s">
        <v>153</v>
      </c>
    </row>
    <row r="14" spans="1:4">
      <c r="A14" s="36" t="s">
        <v>158</v>
      </c>
      <c r="B14" s="50">
        <f>GETPIVOTDATA("Labor (p-wks)",$A$3)*B13</f>
        <v>68</v>
      </c>
      <c r="C14" s="50">
        <f>C12</f>
        <v>40.932600000000001</v>
      </c>
      <c r="D14" s="50">
        <f>SUM(B14:C14)</f>
        <v>108.93260000000001</v>
      </c>
    </row>
    <row r="15" spans="1:4">
      <c r="A15" s="36"/>
      <c r="B15" s="50"/>
      <c r="C15" s="50"/>
      <c r="D15" s="48"/>
    </row>
    <row r="16" spans="1:4">
      <c r="A16" s="44" t="s">
        <v>159</v>
      </c>
      <c r="B16" s="50">
        <f>B14*2</f>
        <v>136</v>
      </c>
      <c r="C16" s="50">
        <f t="shared" ref="C16" si="0">C14*2</f>
        <v>81.865200000000002</v>
      </c>
      <c r="D16" s="50">
        <f>SUM(B16:C16)</f>
        <v>217.86520000000002</v>
      </c>
    </row>
    <row r="17" spans="1:4">
      <c r="A17" s="44" t="s">
        <v>160</v>
      </c>
      <c r="B17" s="103">
        <f>IF('Testing Summary'!B3 &gt; 0, B14*1.5, 0)</f>
        <v>102</v>
      </c>
      <c r="C17" s="103">
        <f>IF('Testing Summary'!B3 &gt; 0, C14*1.5, 0)</f>
        <v>61.398899999999998</v>
      </c>
      <c r="D17" s="50">
        <f>SUM(B17:C17)</f>
        <v>163.3989</v>
      </c>
    </row>
    <row r="18" spans="1:4">
      <c r="A18" s="44" t="s">
        <v>161</v>
      </c>
      <c r="B18" s="103">
        <f>IF('Testing Summary'!B3 &gt; 1, B14*1.25, 0)</f>
        <v>85</v>
      </c>
      <c r="C18" s="103">
        <f>IF('Testing Summary'!B3 &gt; 1, C14*1.25, 0)</f>
        <v>51.165750000000003</v>
      </c>
      <c r="D18" s="50">
        <f>SUM(B18:C18)</f>
        <v>136.16575</v>
      </c>
    </row>
    <row r="19" spans="1:4">
      <c r="A19" s="44" t="s">
        <v>162</v>
      </c>
      <c r="B19" s="103">
        <f>IF('Testing Summary'!B3 &gt; 2, ('Testing Summary'!B3-2)*B14, 0)</f>
        <v>544</v>
      </c>
      <c r="C19" s="103">
        <f>IF('Testing Summary'!B3 &gt; 2, ('Testing Summary'!B3-2)*C14, 0)</f>
        <v>327.46080000000001</v>
      </c>
      <c r="D19" s="50">
        <f>SUM(B19:C19)</f>
        <v>871.46080000000006</v>
      </c>
    </row>
    <row r="20" spans="1:4">
      <c r="B20" s="50"/>
      <c r="C20" s="50"/>
      <c r="D20" s="50"/>
    </row>
    <row r="21" spans="1:4">
      <c r="A21" s="44" t="s">
        <v>164</v>
      </c>
      <c r="B21" s="50">
        <f>SUM(B17:B19)</f>
        <v>731</v>
      </c>
      <c r="C21" s="50">
        <f>SUM(C17:C19)</f>
        <v>440.02544999999998</v>
      </c>
      <c r="D21" s="50">
        <f>SUM(D17:D19)</f>
        <v>1171.0254500000001</v>
      </c>
    </row>
    <row r="22" spans="1:4">
      <c r="A22" s="44" t="s">
        <v>165</v>
      </c>
      <c r="B22" s="50">
        <f>B16</f>
        <v>136</v>
      </c>
      <c r="C22" s="50">
        <f t="shared" ref="C22:D22" si="1">C16</f>
        <v>81.865200000000002</v>
      </c>
      <c r="D22" s="50">
        <f t="shared" si="1"/>
        <v>217.86520000000002</v>
      </c>
    </row>
  </sheetData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26" sqref="D26"/>
    </sheetView>
  </sheetViews>
  <sheetFormatPr defaultRowHeight="15"/>
  <cols>
    <col min="1" max="1" width="34.5703125" customWidth="1"/>
    <col min="4" max="4" width="11.85546875" customWidth="1"/>
  </cols>
  <sheetData>
    <row r="1" spans="1:16" s="8" customFormat="1" ht="60">
      <c r="A1" s="8" t="s">
        <v>129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10" t="s">
        <v>16</v>
      </c>
      <c r="H1" s="10" t="s">
        <v>17</v>
      </c>
      <c r="I1" s="8" t="s">
        <v>19</v>
      </c>
      <c r="J1" s="8" t="s">
        <v>20</v>
      </c>
      <c r="K1" s="8" t="s">
        <v>21</v>
      </c>
      <c r="L1" s="11" t="s">
        <v>22</v>
      </c>
      <c r="M1" s="11" t="s">
        <v>23</v>
      </c>
      <c r="N1" s="11" t="s">
        <v>24</v>
      </c>
      <c r="O1" s="8" t="s">
        <v>25</v>
      </c>
      <c r="P1" s="8" t="s">
        <v>26</v>
      </c>
    </row>
    <row r="2" spans="1:16">
      <c r="A2" t="s">
        <v>137</v>
      </c>
      <c r="D2">
        <v>2</v>
      </c>
    </row>
    <row r="3" spans="1:16">
      <c r="A3" t="s">
        <v>141</v>
      </c>
      <c r="D3">
        <v>2</v>
      </c>
    </row>
    <row r="4" spans="1:16">
      <c r="A4" t="s">
        <v>130</v>
      </c>
      <c r="D4">
        <v>2.5</v>
      </c>
    </row>
    <row r="5" spans="1:16">
      <c r="A5" t="s">
        <v>131</v>
      </c>
      <c r="D5">
        <v>12</v>
      </c>
    </row>
    <row r="6" spans="1:16">
      <c r="A6" t="s">
        <v>132</v>
      </c>
      <c r="D6">
        <v>1.5</v>
      </c>
    </row>
    <row r="7" spans="1:16">
      <c r="A7" t="s">
        <v>135</v>
      </c>
      <c r="H7">
        <v>24</v>
      </c>
      <c r="I7" t="s">
        <v>133</v>
      </c>
    </row>
    <row r="8" spans="1:16">
      <c r="A8" t="s">
        <v>136</v>
      </c>
      <c r="H8">
        <v>10</v>
      </c>
      <c r="I8" t="s">
        <v>134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opLeftCell="A10" zoomScale="70" zoomScaleNormal="70" workbookViewId="0">
      <selection activeCell="F11" sqref="F1:F1048576"/>
    </sheetView>
  </sheetViews>
  <sheetFormatPr defaultRowHeight="15.75"/>
  <cols>
    <col min="1" max="1" width="45.28515625" style="104" bestFit="1" customWidth="1"/>
    <col min="2" max="2" width="6.28515625" style="104" bestFit="1" customWidth="1"/>
    <col min="3" max="3" width="12.7109375" style="104" bestFit="1" customWidth="1"/>
    <col min="4" max="4" width="2.42578125" style="104" customWidth="1"/>
    <col min="5" max="10" width="12.7109375" style="104" customWidth="1"/>
    <col min="11" max="12" width="11" style="104" customWidth="1"/>
    <col min="13" max="13" width="11.42578125" style="104" customWidth="1"/>
    <col min="14" max="14" width="9.28515625" style="104" bestFit="1" customWidth="1"/>
    <col min="15" max="15" width="9.28515625" style="104" customWidth="1"/>
    <col min="16" max="16" width="13.85546875" style="104" bestFit="1" customWidth="1"/>
    <col min="17" max="20" width="9.28515625" style="104" customWidth="1"/>
    <col min="21" max="16384" width="9.140625" style="104"/>
  </cols>
  <sheetData>
    <row r="1" spans="1:21" ht="18.75">
      <c r="A1" s="607" t="s">
        <v>168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9"/>
    </row>
    <row r="2" spans="1:21" ht="18.75">
      <c r="A2" s="610">
        <v>41036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2"/>
    </row>
    <row r="3" spans="1:21">
      <c r="A3" s="105"/>
    </row>
    <row r="4" spans="1:21">
      <c r="A4" s="106" t="s">
        <v>169</v>
      </c>
      <c r="B4" s="107"/>
      <c r="C4" s="108">
        <v>41046</v>
      </c>
      <c r="E4" s="109" t="s">
        <v>170</v>
      </c>
      <c r="F4" s="110"/>
      <c r="G4" s="107"/>
      <c r="H4" s="111"/>
      <c r="I4" s="111"/>
      <c r="J4" s="111"/>
      <c r="K4" s="111"/>
      <c r="L4" s="111"/>
      <c r="M4" s="111"/>
    </row>
    <row r="5" spans="1:21">
      <c r="A5" s="106"/>
      <c r="B5" s="107"/>
      <c r="C5" s="108">
        <v>41150</v>
      </c>
      <c r="E5" s="109" t="s">
        <v>236</v>
      </c>
      <c r="F5" s="110"/>
      <c r="G5" s="107"/>
      <c r="H5" s="111"/>
      <c r="I5" s="111"/>
      <c r="J5" s="111"/>
      <c r="K5" s="111"/>
      <c r="L5" s="111"/>
      <c r="M5" s="111"/>
    </row>
    <row r="6" spans="1:21">
      <c r="A6" s="106"/>
      <c r="B6" s="107"/>
      <c r="C6" s="108"/>
      <c r="E6" s="109"/>
      <c r="F6" s="110"/>
      <c r="G6" s="107"/>
      <c r="H6" s="111"/>
      <c r="I6" s="111"/>
      <c r="J6" s="111"/>
      <c r="K6" s="111"/>
      <c r="L6" s="111"/>
      <c r="M6" s="111"/>
    </row>
    <row r="7" spans="1:21">
      <c r="A7" s="105"/>
    </row>
    <row r="8" spans="1:21">
      <c r="A8" s="106" t="s">
        <v>171</v>
      </c>
      <c r="B8" s="107"/>
      <c r="C8" s="112">
        <v>2.4E-2</v>
      </c>
    </row>
    <row r="9" spans="1:21">
      <c r="A9" s="105"/>
    </row>
    <row r="10" spans="1:21">
      <c r="E10" s="604" t="s">
        <v>172</v>
      </c>
      <c r="F10" s="605"/>
      <c r="G10" s="605"/>
      <c r="H10" s="605"/>
      <c r="I10" s="605"/>
      <c r="J10" s="606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</row>
    <row r="11" spans="1:21">
      <c r="A11" s="604" t="s">
        <v>173</v>
      </c>
      <c r="B11" s="606"/>
      <c r="C11" s="113" t="s">
        <v>174</v>
      </c>
      <c r="E11" s="113" t="s">
        <v>175</v>
      </c>
      <c r="F11" s="113" t="s">
        <v>176</v>
      </c>
      <c r="G11" s="113" t="s">
        <v>177</v>
      </c>
      <c r="H11" s="113" t="s">
        <v>178</v>
      </c>
      <c r="I11" s="113" t="s">
        <v>179</v>
      </c>
      <c r="J11" s="113" t="s">
        <v>180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</row>
    <row r="12" spans="1:21">
      <c r="A12" s="109" t="s">
        <v>181</v>
      </c>
      <c r="B12" s="107"/>
      <c r="C12" s="114" t="s">
        <v>182</v>
      </c>
      <c r="D12" s="115"/>
      <c r="E12" s="114">
        <v>1</v>
      </c>
      <c r="F12" s="116">
        <v>44000</v>
      </c>
      <c r="G12" s="116">
        <f t="shared" ref="G12:G24" si="0">E12*F12</f>
        <v>44000</v>
      </c>
      <c r="H12" s="117">
        <v>0.75</v>
      </c>
      <c r="I12" s="118">
        <f>(1+$C$8)^12</f>
        <v>1.3292279957849158</v>
      </c>
      <c r="J12" s="119">
        <f>G12*H12*I12</f>
        <v>43864.52386090222</v>
      </c>
      <c r="K12" s="111" t="s">
        <v>183</v>
      </c>
      <c r="L12" s="111"/>
      <c r="M12" s="111"/>
      <c r="N12" s="111" t="s">
        <v>237</v>
      </c>
      <c r="O12" s="111"/>
      <c r="P12" s="111"/>
      <c r="Q12" s="111"/>
      <c r="R12" s="111"/>
      <c r="S12" s="111"/>
      <c r="T12" s="111"/>
      <c r="U12" s="111"/>
    </row>
    <row r="13" spans="1:21">
      <c r="A13" s="109" t="s">
        <v>184</v>
      </c>
      <c r="B13" s="107"/>
      <c r="C13" s="114" t="s">
        <v>182</v>
      </c>
      <c r="D13" s="115"/>
      <c r="E13" s="114">
        <v>1</v>
      </c>
      <c r="F13" s="116">
        <v>2500</v>
      </c>
      <c r="G13" s="116">
        <f t="shared" si="0"/>
        <v>2500</v>
      </c>
      <c r="H13" s="117">
        <v>0.55000000000000004</v>
      </c>
      <c r="I13" s="118">
        <f t="shared" ref="I13:I23" si="1">(1+$C$8)^11</f>
        <v>1.298074214633707</v>
      </c>
      <c r="J13" s="119">
        <f t="shared" ref="J13:J24" si="2">G13*H13*I13</f>
        <v>1784.8520451213471</v>
      </c>
      <c r="K13" s="111" t="s">
        <v>238</v>
      </c>
      <c r="L13" s="111"/>
      <c r="M13" s="111"/>
      <c r="N13" s="111" t="s">
        <v>239</v>
      </c>
      <c r="O13" s="111"/>
      <c r="P13" s="111"/>
      <c r="Q13" s="111"/>
      <c r="R13" s="111"/>
      <c r="S13" s="111"/>
      <c r="T13" s="111"/>
      <c r="U13" s="111"/>
    </row>
    <row r="14" spans="1:21">
      <c r="A14" s="109" t="s">
        <v>185</v>
      </c>
      <c r="B14" s="107"/>
      <c r="C14" s="114" t="s">
        <v>182</v>
      </c>
      <c r="D14" s="115"/>
      <c r="E14" s="114">
        <v>1</v>
      </c>
      <c r="F14" s="116">
        <v>8000</v>
      </c>
      <c r="G14" s="116">
        <f t="shared" si="0"/>
        <v>8000</v>
      </c>
      <c r="H14" s="117">
        <v>0.55000000000000004</v>
      </c>
      <c r="I14" s="118">
        <f t="shared" si="1"/>
        <v>1.298074214633707</v>
      </c>
      <c r="J14" s="119">
        <f t="shared" si="2"/>
        <v>5711.5265443883109</v>
      </c>
      <c r="K14" s="111"/>
      <c r="L14" s="111"/>
      <c r="M14" s="111"/>
      <c r="N14" s="111" t="s">
        <v>239</v>
      </c>
      <c r="O14" s="111"/>
      <c r="P14" s="111"/>
      <c r="Q14" s="111"/>
      <c r="R14" s="111"/>
      <c r="S14" s="111"/>
      <c r="T14" s="111"/>
      <c r="U14" s="111"/>
    </row>
    <row r="15" spans="1:21">
      <c r="A15" s="109" t="s">
        <v>186</v>
      </c>
      <c r="B15" s="107"/>
      <c r="C15" s="114" t="s">
        <v>182</v>
      </c>
      <c r="D15" s="115"/>
      <c r="E15" s="114">
        <v>2</v>
      </c>
      <c r="F15" s="116">
        <v>5500</v>
      </c>
      <c r="G15" s="116">
        <f t="shared" si="0"/>
        <v>11000</v>
      </c>
      <c r="H15" s="117">
        <v>1</v>
      </c>
      <c r="I15" s="118">
        <f t="shared" si="1"/>
        <v>1.298074214633707</v>
      </c>
      <c r="J15" s="119">
        <f t="shared" si="2"/>
        <v>14278.816360970777</v>
      </c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</row>
    <row r="16" spans="1:21">
      <c r="A16" s="109" t="s">
        <v>187</v>
      </c>
      <c r="B16" s="107"/>
      <c r="C16" s="114" t="s">
        <v>182</v>
      </c>
      <c r="D16" s="115"/>
      <c r="E16" s="114">
        <v>2</v>
      </c>
      <c r="F16" s="116">
        <v>1650</v>
      </c>
      <c r="G16" s="116">
        <f t="shared" si="0"/>
        <v>3300</v>
      </c>
      <c r="H16" s="117">
        <v>0.55000000000000004</v>
      </c>
      <c r="I16" s="118">
        <f t="shared" si="1"/>
        <v>1.298074214633707</v>
      </c>
      <c r="J16" s="119">
        <f t="shared" si="2"/>
        <v>2356.0046995601783</v>
      </c>
      <c r="K16" s="111"/>
      <c r="L16" s="111"/>
      <c r="M16" s="111"/>
      <c r="N16" s="111" t="s">
        <v>239</v>
      </c>
      <c r="O16" s="111"/>
      <c r="P16" s="111"/>
      <c r="Q16" s="111"/>
      <c r="R16" s="111"/>
      <c r="S16" s="111"/>
      <c r="T16" s="111"/>
      <c r="U16" s="111"/>
    </row>
    <row r="17" spans="1:21">
      <c r="A17" s="109" t="s">
        <v>188</v>
      </c>
      <c r="B17" s="107"/>
      <c r="C17" s="114" t="s">
        <v>118</v>
      </c>
      <c r="D17" s="115"/>
      <c r="E17" s="114">
        <v>1</v>
      </c>
      <c r="F17" s="116">
        <v>1000</v>
      </c>
      <c r="G17" s="116">
        <f t="shared" si="0"/>
        <v>1000</v>
      </c>
      <c r="H17" s="117">
        <v>0.55000000000000004</v>
      </c>
      <c r="I17" s="118">
        <f t="shared" si="1"/>
        <v>1.298074214633707</v>
      </c>
      <c r="J17" s="119">
        <f t="shared" si="2"/>
        <v>713.94081804853886</v>
      </c>
      <c r="K17" s="111"/>
      <c r="L17" s="111"/>
      <c r="M17" s="111"/>
      <c r="N17" s="111" t="s">
        <v>239</v>
      </c>
      <c r="O17" s="111"/>
      <c r="P17" s="111"/>
      <c r="Q17" s="111"/>
      <c r="R17" s="111"/>
      <c r="S17" s="111"/>
      <c r="T17" s="111"/>
      <c r="U17" s="111"/>
    </row>
    <row r="18" spans="1:21">
      <c r="A18" s="109" t="s">
        <v>189</v>
      </c>
      <c r="B18" s="107"/>
      <c r="C18" s="114" t="s">
        <v>182</v>
      </c>
      <c r="D18" s="115"/>
      <c r="E18" s="114">
        <v>2</v>
      </c>
      <c r="F18" s="116">
        <v>600</v>
      </c>
      <c r="G18" s="116">
        <f t="shared" si="0"/>
        <v>1200</v>
      </c>
      <c r="H18" s="117">
        <v>1</v>
      </c>
      <c r="I18" s="118">
        <f t="shared" si="1"/>
        <v>1.298074214633707</v>
      </c>
      <c r="J18" s="119">
        <f t="shared" si="2"/>
        <v>1557.6890575604484</v>
      </c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</row>
    <row r="19" spans="1:21">
      <c r="A19" s="109" t="s">
        <v>190</v>
      </c>
      <c r="B19" s="107"/>
      <c r="C19" s="114" t="s">
        <v>182</v>
      </c>
      <c r="D19" s="115"/>
      <c r="E19" s="114">
        <v>4</v>
      </c>
      <c r="F19" s="116">
        <v>580</v>
      </c>
      <c r="G19" s="116">
        <f t="shared" si="0"/>
        <v>2320</v>
      </c>
      <c r="H19" s="117">
        <v>1</v>
      </c>
      <c r="I19" s="118">
        <f t="shared" si="1"/>
        <v>1.298074214633707</v>
      </c>
      <c r="J19" s="119">
        <f t="shared" si="2"/>
        <v>3011.5321779502001</v>
      </c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</row>
    <row r="20" spans="1:21">
      <c r="A20" s="109" t="s">
        <v>191</v>
      </c>
      <c r="B20" s="107"/>
      <c r="C20" s="114" t="s">
        <v>182</v>
      </c>
      <c r="D20" s="115"/>
      <c r="E20" s="114">
        <v>2</v>
      </c>
      <c r="F20" s="116">
        <v>2500</v>
      </c>
      <c r="G20" s="116">
        <f t="shared" si="0"/>
        <v>5000</v>
      </c>
      <c r="H20" s="117">
        <v>1</v>
      </c>
      <c r="I20" s="118">
        <f t="shared" si="1"/>
        <v>1.298074214633707</v>
      </c>
      <c r="J20" s="119">
        <f t="shared" si="2"/>
        <v>6490.3710731685351</v>
      </c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</row>
    <row r="21" spans="1:21">
      <c r="A21" s="109" t="s">
        <v>192</v>
      </c>
      <c r="B21" s="107"/>
      <c r="C21" s="114" t="s">
        <v>182</v>
      </c>
      <c r="D21" s="115"/>
      <c r="E21" s="114">
        <v>3</v>
      </c>
      <c r="F21" s="116">
        <v>1640</v>
      </c>
      <c r="G21" s="116">
        <f t="shared" si="0"/>
        <v>4920</v>
      </c>
      <c r="H21" s="117">
        <v>1</v>
      </c>
      <c r="I21" s="118">
        <f t="shared" si="1"/>
        <v>1.298074214633707</v>
      </c>
      <c r="J21" s="119">
        <f t="shared" si="2"/>
        <v>6386.5251359978383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</row>
    <row r="22" spans="1:21">
      <c r="A22" s="109" t="s">
        <v>193</v>
      </c>
      <c r="B22" s="107"/>
      <c r="C22" s="114" t="s">
        <v>182</v>
      </c>
      <c r="D22" s="115"/>
      <c r="E22" s="114">
        <v>2</v>
      </c>
      <c r="F22" s="116">
        <v>750</v>
      </c>
      <c r="G22" s="116">
        <f t="shared" si="0"/>
        <v>1500</v>
      </c>
      <c r="H22" s="117">
        <v>1</v>
      </c>
      <c r="I22" s="118">
        <f t="shared" si="1"/>
        <v>1.298074214633707</v>
      </c>
      <c r="J22" s="119">
        <f t="shared" si="2"/>
        <v>1947.1113219505605</v>
      </c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</row>
    <row r="23" spans="1:21">
      <c r="A23" s="109" t="s">
        <v>194</v>
      </c>
      <c r="B23" s="107"/>
      <c r="C23" s="114" t="s">
        <v>182</v>
      </c>
      <c r="D23" s="115"/>
      <c r="E23" s="114">
        <v>1</v>
      </c>
      <c r="F23" s="116">
        <v>500</v>
      </c>
      <c r="G23" s="116">
        <f t="shared" si="0"/>
        <v>500</v>
      </c>
      <c r="H23" s="117">
        <v>0.55000000000000004</v>
      </c>
      <c r="I23" s="118">
        <f t="shared" si="1"/>
        <v>1.298074214633707</v>
      </c>
      <c r="J23" s="119">
        <f t="shared" si="2"/>
        <v>356.97040902426943</v>
      </c>
      <c r="K23" s="111"/>
      <c r="L23" s="111"/>
      <c r="M23" s="111"/>
      <c r="N23" s="111" t="s">
        <v>239</v>
      </c>
      <c r="O23" s="111"/>
      <c r="P23" s="111"/>
      <c r="Q23" s="111"/>
      <c r="R23" s="111"/>
      <c r="S23" s="111"/>
      <c r="T23" s="111"/>
      <c r="U23" s="111"/>
    </row>
    <row r="24" spans="1:21">
      <c r="A24" s="109" t="s">
        <v>195</v>
      </c>
      <c r="B24" s="107"/>
      <c r="C24" s="114" t="s">
        <v>118</v>
      </c>
      <c r="D24" s="115"/>
      <c r="E24" s="114">
        <v>1</v>
      </c>
      <c r="F24" s="116">
        <v>50000</v>
      </c>
      <c r="G24" s="116">
        <f t="shared" si="0"/>
        <v>50000</v>
      </c>
      <c r="H24" s="117">
        <v>1</v>
      </c>
      <c r="I24" s="118">
        <f>(1+$C$8)^0</f>
        <v>1</v>
      </c>
      <c r="J24" s="119">
        <f t="shared" si="2"/>
        <v>50000</v>
      </c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</row>
    <row r="25" spans="1:21">
      <c r="A25" s="120"/>
      <c r="B25" s="120"/>
      <c r="C25" s="121"/>
      <c r="D25" s="115"/>
      <c r="E25" s="121"/>
      <c r="F25" s="122"/>
      <c r="G25" s="122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</row>
    <row r="26" spans="1:21">
      <c r="A26" s="604" t="s">
        <v>196</v>
      </c>
      <c r="B26" s="606"/>
      <c r="C26" s="121"/>
      <c r="D26" s="115"/>
      <c r="E26" s="121"/>
      <c r="F26" s="122"/>
      <c r="G26" s="122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</row>
    <row r="27" spans="1:21">
      <c r="A27" s="109" t="s">
        <v>197</v>
      </c>
      <c r="B27" s="107"/>
      <c r="C27" s="114" t="s">
        <v>182</v>
      </c>
      <c r="D27" s="115"/>
      <c r="E27" s="114">
        <v>1</v>
      </c>
      <c r="F27" s="116">
        <v>250</v>
      </c>
      <c r="G27" s="116">
        <f t="shared" ref="G27:G31" si="3">E27*F27</f>
        <v>250</v>
      </c>
      <c r="H27" s="117">
        <v>1</v>
      </c>
      <c r="I27" s="118">
        <f t="shared" ref="I27:I31" si="4">(1+$C$8)^11</f>
        <v>1.298074214633707</v>
      </c>
      <c r="J27" s="119">
        <f t="shared" ref="J27:J31" si="5">G27*H27*I27</f>
        <v>324.51855365842675</v>
      </c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</row>
    <row r="28" spans="1:21">
      <c r="A28" s="109" t="s">
        <v>198</v>
      </c>
      <c r="B28" s="107"/>
      <c r="C28" s="114" t="s">
        <v>118</v>
      </c>
      <c r="D28" s="115"/>
      <c r="E28" s="114">
        <v>1</v>
      </c>
      <c r="F28" s="116">
        <f>P41</f>
        <v>7074.5044697537032</v>
      </c>
      <c r="G28" s="116">
        <f t="shared" si="3"/>
        <v>7074.5044697537032</v>
      </c>
      <c r="H28" s="117">
        <v>1</v>
      </c>
      <c r="I28" s="118">
        <f t="shared" si="4"/>
        <v>1.298074214633707</v>
      </c>
      <c r="J28" s="119">
        <f t="shared" si="5"/>
        <v>9183.2318334981883</v>
      </c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1:21">
      <c r="A29" s="109" t="s">
        <v>199</v>
      </c>
      <c r="B29" s="107"/>
      <c r="C29" s="114" t="s">
        <v>118</v>
      </c>
      <c r="D29" s="115"/>
      <c r="E29" s="114">
        <v>1</v>
      </c>
      <c r="F29" s="116">
        <v>1250</v>
      </c>
      <c r="G29" s="116">
        <f t="shared" si="3"/>
        <v>1250</v>
      </c>
      <c r="H29" s="117">
        <v>1</v>
      </c>
      <c r="I29" s="118">
        <f t="shared" si="4"/>
        <v>1.298074214633707</v>
      </c>
      <c r="J29" s="119">
        <f t="shared" si="5"/>
        <v>1622.5927682921338</v>
      </c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21">
      <c r="A30" s="109" t="s">
        <v>200</v>
      </c>
      <c r="B30" s="107"/>
      <c r="C30" s="114" t="s">
        <v>118</v>
      </c>
      <c r="D30" s="115"/>
      <c r="E30" s="114">
        <v>1</v>
      </c>
      <c r="F30" s="116">
        <v>500</v>
      </c>
      <c r="G30" s="116">
        <f t="shared" si="3"/>
        <v>500</v>
      </c>
      <c r="H30" s="117">
        <v>1</v>
      </c>
      <c r="I30" s="118">
        <f t="shared" si="4"/>
        <v>1.298074214633707</v>
      </c>
      <c r="J30" s="119">
        <f t="shared" si="5"/>
        <v>649.03710731685351</v>
      </c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1">
      <c r="A31" s="109" t="s">
        <v>201</v>
      </c>
      <c r="B31" s="107"/>
      <c r="C31" s="114" t="s">
        <v>182</v>
      </c>
      <c r="D31" s="115"/>
      <c r="E31" s="114">
        <v>1</v>
      </c>
      <c r="F31" s="116">
        <v>600</v>
      </c>
      <c r="G31" s="116">
        <f t="shared" si="3"/>
        <v>600</v>
      </c>
      <c r="H31" s="117">
        <v>1</v>
      </c>
      <c r="I31" s="118">
        <f t="shared" si="4"/>
        <v>1.298074214633707</v>
      </c>
      <c r="J31" s="119">
        <f t="shared" si="5"/>
        <v>778.84452878022421</v>
      </c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</row>
    <row r="32" spans="1:21" ht="5.0999999999999996" customHeight="1">
      <c r="A32" s="120"/>
      <c r="B32" s="121"/>
      <c r="C32" s="123"/>
      <c r="D32" s="115"/>
      <c r="E32" s="121"/>
      <c r="F32" s="121"/>
      <c r="G32" s="12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</row>
    <row r="33" spans="1:16">
      <c r="A33" s="109" t="s">
        <v>202</v>
      </c>
      <c r="B33" s="110"/>
      <c r="C33" s="107"/>
      <c r="D33" s="120"/>
      <c r="E33" s="109"/>
      <c r="F33" s="110"/>
      <c r="G33" s="124">
        <f>SUM(G12:G31)</f>
        <v>144914.50446975371</v>
      </c>
      <c r="H33" s="125"/>
      <c r="I33" s="125"/>
      <c r="J33" s="126">
        <f>SUM(J12:J31)</f>
        <v>151018.08829618906</v>
      </c>
      <c r="K33" s="111"/>
      <c r="L33" s="111"/>
      <c r="M33" s="111"/>
    </row>
    <row r="34" spans="1:16">
      <c r="A34" s="120" t="s">
        <v>240</v>
      </c>
      <c r="B34" s="120"/>
      <c r="C34" s="120"/>
      <c r="D34" s="120"/>
      <c r="E34" s="120"/>
      <c r="F34" s="120"/>
      <c r="G34" s="149"/>
      <c r="H34" s="150"/>
      <c r="I34" s="150"/>
      <c r="J34" s="149">
        <f>J33*(1+Overheads!C23)</f>
        <v>181810.67649978201</v>
      </c>
      <c r="K34" s="111"/>
      <c r="L34" s="111"/>
      <c r="M34" s="111"/>
    </row>
    <row r="35" spans="1:16">
      <c r="A35" s="127"/>
      <c r="B35" s="127"/>
      <c r="C35" s="127"/>
      <c r="D35" s="127"/>
      <c r="E35" s="127"/>
      <c r="F35" s="127"/>
      <c r="G35" s="127"/>
      <c r="H35" s="111"/>
      <c r="I35" s="111"/>
      <c r="J35" s="111"/>
      <c r="K35" s="111"/>
      <c r="L35" s="111"/>
      <c r="M35" s="111"/>
    </row>
    <row r="36" spans="1:16">
      <c r="E36" s="604" t="s">
        <v>203</v>
      </c>
      <c r="F36" s="605"/>
      <c r="G36" s="606"/>
      <c r="H36" s="127"/>
      <c r="I36" s="604" t="s">
        <v>198</v>
      </c>
      <c r="J36" s="605"/>
      <c r="K36" s="606"/>
      <c r="L36" s="113" t="s">
        <v>204</v>
      </c>
      <c r="M36" s="113" t="s">
        <v>176</v>
      </c>
      <c r="N36" s="113" t="s">
        <v>177</v>
      </c>
      <c r="O36" s="113" t="s">
        <v>179</v>
      </c>
      <c r="P36" s="113" t="s">
        <v>180</v>
      </c>
    </row>
    <row r="37" spans="1:16">
      <c r="A37" s="128" t="s">
        <v>205</v>
      </c>
      <c r="B37" s="113" t="s">
        <v>174</v>
      </c>
      <c r="C37" s="113" t="s">
        <v>176</v>
      </c>
      <c r="E37" s="113" t="s">
        <v>204</v>
      </c>
      <c r="F37" s="113" t="s">
        <v>206</v>
      </c>
      <c r="G37" s="113" t="s">
        <v>177</v>
      </c>
      <c r="H37" s="127"/>
      <c r="I37" s="129" t="s">
        <v>192</v>
      </c>
      <c r="J37" s="129"/>
      <c r="K37" s="129"/>
      <c r="L37" s="130">
        <v>2</v>
      </c>
      <c r="M37" s="116">
        <v>1600</v>
      </c>
      <c r="N37" s="116">
        <f>M37*L37</f>
        <v>3200</v>
      </c>
      <c r="O37" s="118">
        <f t="shared" ref="O37:O40" si="6">(1+$C$8)^11</f>
        <v>1.298074214633707</v>
      </c>
      <c r="P37" s="131">
        <f t="shared" ref="P37:P40" si="7">N37*O37</f>
        <v>4153.8374868278624</v>
      </c>
    </row>
    <row r="38" spans="1:16">
      <c r="A38" s="130" t="s">
        <v>207</v>
      </c>
      <c r="B38" s="114" t="s">
        <v>208</v>
      </c>
      <c r="C38" s="132">
        <f>Overheads!B5</f>
        <v>85</v>
      </c>
      <c r="E38" s="114">
        <v>2</v>
      </c>
      <c r="F38" s="114">
        <v>100</v>
      </c>
      <c r="G38" s="116">
        <f t="shared" ref="G38:G43" si="8">$C38*E38*F38</f>
        <v>17000</v>
      </c>
      <c r="H38" s="127"/>
      <c r="I38" s="129" t="s">
        <v>209</v>
      </c>
      <c r="J38" s="129"/>
      <c r="K38" s="129"/>
      <c r="L38" s="130">
        <v>1</v>
      </c>
      <c r="M38" s="116">
        <v>750</v>
      </c>
      <c r="N38" s="116">
        <f>M38*L38</f>
        <v>750</v>
      </c>
      <c r="O38" s="118">
        <f t="shared" si="6"/>
        <v>1.298074214633707</v>
      </c>
      <c r="P38" s="131">
        <f t="shared" si="7"/>
        <v>973.55566097528026</v>
      </c>
    </row>
    <row r="39" spans="1:16">
      <c r="A39" s="130" t="s">
        <v>210</v>
      </c>
      <c r="B39" s="114" t="s">
        <v>208</v>
      </c>
      <c r="C39" s="132">
        <f>Overheads!B5</f>
        <v>85</v>
      </c>
      <c r="E39" s="114">
        <v>1</v>
      </c>
      <c r="F39" s="114">
        <v>100</v>
      </c>
      <c r="G39" s="116">
        <f t="shared" si="8"/>
        <v>8500</v>
      </c>
      <c r="H39" s="127"/>
      <c r="I39" s="129" t="s">
        <v>211</v>
      </c>
      <c r="J39" s="129"/>
      <c r="K39" s="129"/>
      <c r="L39" s="130">
        <v>1</v>
      </c>
      <c r="M39" s="116">
        <v>500</v>
      </c>
      <c r="N39" s="116">
        <f>M39*L39</f>
        <v>500</v>
      </c>
      <c r="O39" s="118">
        <f t="shared" si="6"/>
        <v>1.298074214633707</v>
      </c>
      <c r="P39" s="131">
        <f t="shared" si="7"/>
        <v>649.03710731685351</v>
      </c>
    </row>
    <row r="40" spans="1:16">
      <c r="A40" s="130" t="s">
        <v>212</v>
      </c>
      <c r="B40" s="114" t="s">
        <v>208</v>
      </c>
      <c r="C40" s="132">
        <f>Overheads!B5</f>
        <v>85</v>
      </c>
      <c r="E40" s="114">
        <v>1</v>
      </c>
      <c r="F40" s="114">
        <v>160</v>
      </c>
      <c r="G40" s="116">
        <f t="shared" si="8"/>
        <v>13600</v>
      </c>
      <c r="H40" s="127"/>
      <c r="I40" s="133" t="s">
        <v>213</v>
      </c>
      <c r="J40" s="133"/>
      <c r="K40" s="133"/>
      <c r="L40" s="134">
        <v>2</v>
      </c>
      <c r="M40" s="135">
        <v>500</v>
      </c>
      <c r="N40" s="135">
        <f>M40*L40</f>
        <v>1000</v>
      </c>
      <c r="O40" s="136">
        <f t="shared" si="6"/>
        <v>1.298074214633707</v>
      </c>
      <c r="P40" s="131">
        <f t="shared" si="7"/>
        <v>1298.074214633707</v>
      </c>
    </row>
    <row r="41" spans="1:16">
      <c r="A41" s="130" t="s">
        <v>214</v>
      </c>
      <c r="B41" s="114" t="s">
        <v>208</v>
      </c>
      <c r="C41" s="132">
        <f>Overheads!B5</f>
        <v>85</v>
      </c>
      <c r="E41" s="114">
        <v>3</v>
      </c>
      <c r="F41" s="114">
        <v>160</v>
      </c>
      <c r="G41" s="116">
        <f t="shared" si="8"/>
        <v>40800</v>
      </c>
      <c r="H41" s="127"/>
      <c r="I41" s="602" t="s">
        <v>215</v>
      </c>
      <c r="J41" s="603"/>
      <c r="K41" s="603"/>
      <c r="L41" s="109"/>
      <c r="M41" s="110"/>
      <c r="N41" s="124">
        <f>SUM(N37:N40)</f>
        <v>5450</v>
      </c>
      <c r="O41" s="110"/>
      <c r="P41" s="126">
        <f>SUM(P37:P40)</f>
        <v>7074.5044697537032</v>
      </c>
    </row>
    <row r="42" spans="1:16">
      <c r="A42" s="130" t="s">
        <v>216</v>
      </c>
      <c r="B42" s="114" t="s">
        <v>208</v>
      </c>
      <c r="C42" s="132">
        <f>Overheads!B5</f>
        <v>85</v>
      </c>
      <c r="E42" s="114">
        <v>1</v>
      </c>
      <c r="F42" s="114">
        <v>50</v>
      </c>
      <c r="G42" s="116">
        <f t="shared" si="8"/>
        <v>4250</v>
      </c>
      <c r="H42" s="127"/>
    </row>
    <row r="43" spans="1:16">
      <c r="A43" s="130" t="s">
        <v>217</v>
      </c>
      <c r="B43" s="114" t="s">
        <v>208</v>
      </c>
      <c r="C43" s="132">
        <f>Overheads!B5</f>
        <v>85</v>
      </c>
      <c r="E43" s="114">
        <v>1</v>
      </c>
      <c r="F43" s="114">
        <v>50</v>
      </c>
      <c r="G43" s="116">
        <f t="shared" si="8"/>
        <v>4250</v>
      </c>
      <c r="H43" s="127"/>
      <c r="I43" s="127"/>
      <c r="J43" s="127"/>
      <c r="K43" s="127"/>
      <c r="L43" s="127"/>
      <c r="M43" s="127"/>
      <c r="N43" s="127"/>
    </row>
    <row r="44" spans="1:16" ht="5.0999999999999996" customHeight="1">
      <c r="A44" s="120"/>
      <c r="B44" s="121"/>
      <c r="C44" s="123"/>
      <c r="D44" s="115"/>
      <c r="E44" s="121"/>
      <c r="F44" s="121"/>
      <c r="G44" s="123"/>
      <c r="H44" s="127"/>
      <c r="I44" s="127"/>
      <c r="J44" s="127"/>
      <c r="K44" s="127"/>
      <c r="L44" s="127"/>
      <c r="M44" s="127"/>
    </row>
    <row r="45" spans="1:16">
      <c r="A45" s="109" t="s">
        <v>218</v>
      </c>
      <c r="B45" s="110"/>
      <c r="C45" s="107"/>
      <c r="D45" s="120"/>
      <c r="E45" s="109"/>
      <c r="F45" s="110"/>
      <c r="G45" s="126">
        <f>SUM(G37:G43)</f>
        <v>88400</v>
      </c>
      <c r="H45" s="127"/>
      <c r="I45" s="127"/>
      <c r="J45" s="127"/>
      <c r="K45" s="127"/>
      <c r="L45" s="127"/>
      <c r="M45" s="127"/>
    </row>
    <row r="47" spans="1:16">
      <c r="E47" s="604" t="s">
        <v>219</v>
      </c>
      <c r="F47" s="605"/>
      <c r="G47" s="606"/>
      <c r="H47" s="127"/>
      <c r="I47" s="127"/>
      <c r="J47" s="127"/>
      <c r="K47" s="127"/>
    </row>
    <row r="48" spans="1:16">
      <c r="A48" s="137" t="s">
        <v>220</v>
      </c>
      <c r="B48" s="138"/>
      <c r="C48" s="128" t="s">
        <v>221</v>
      </c>
      <c r="E48" s="113" t="s">
        <v>222</v>
      </c>
      <c r="F48" s="113" t="s">
        <v>223</v>
      </c>
      <c r="G48" s="113" t="s">
        <v>153</v>
      </c>
      <c r="H48" s="127"/>
      <c r="I48" s="127"/>
      <c r="J48" s="127"/>
      <c r="K48" s="127"/>
    </row>
    <row r="49" spans="1:20">
      <c r="A49" s="109" t="s">
        <v>148</v>
      </c>
      <c r="B49" s="107"/>
      <c r="C49" s="132">
        <f>Overheads!D7</f>
        <v>312000</v>
      </c>
      <c r="E49" s="139">
        <v>0.75</v>
      </c>
      <c r="F49" s="139">
        <v>0.25</v>
      </c>
      <c r="G49" s="140">
        <f>C49*SUM(E49:F49)</f>
        <v>312000</v>
      </c>
      <c r="H49" s="127"/>
      <c r="I49" s="127"/>
      <c r="J49" s="127"/>
    </row>
    <row r="50" spans="1:20">
      <c r="A50" s="109" t="s">
        <v>148</v>
      </c>
      <c r="B50" s="107"/>
      <c r="C50" s="132">
        <f>Overheads!D7</f>
        <v>312000</v>
      </c>
      <c r="E50" s="139">
        <v>0.75</v>
      </c>
      <c r="F50" s="139">
        <v>0.25</v>
      </c>
      <c r="G50" s="140">
        <f t="shared" ref="G50:G52" si="9">C50*SUM(E50:F50)</f>
        <v>312000</v>
      </c>
      <c r="H50" s="127"/>
      <c r="I50" s="127"/>
      <c r="J50" s="127"/>
    </row>
    <row r="51" spans="1:20">
      <c r="A51" s="109" t="s">
        <v>224</v>
      </c>
      <c r="B51" s="107"/>
      <c r="C51" s="132">
        <f>Overheads!D6</f>
        <v>212160</v>
      </c>
      <c r="E51" s="139">
        <v>0.75</v>
      </c>
      <c r="F51" s="139">
        <v>0.5</v>
      </c>
      <c r="G51" s="140">
        <f t="shared" si="9"/>
        <v>265200</v>
      </c>
      <c r="H51" s="127"/>
      <c r="I51" s="127"/>
      <c r="J51" s="127"/>
      <c r="T51" s="141"/>
    </row>
    <row r="52" spans="1:20">
      <c r="A52" s="109" t="s">
        <v>224</v>
      </c>
      <c r="B52" s="107"/>
      <c r="C52" s="132">
        <f>Overheads!D6</f>
        <v>212160</v>
      </c>
      <c r="E52" s="139">
        <v>0.75</v>
      </c>
      <c r="F52" s="139">
        <v>0.5</v>
      </c>
      <c r="G52" s="140">
        <f t="shared" si="9"/>
        <v>265200</v>
      </c>
      <c r="H52" s="127"/>
      <c r="I52" s="127"/>
      <c r="J52" s="127"/>
      <c r="K52" s="127"/>
    </row>
    <row r="53" spans="1:20" ht="5.0999999999999996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</row>
    <row r="54" spans="1:20">
      <c r="A54" s="142" t="s">
        <v>225</v>
      </c>
      <c r="B54" s="143"/>
      <c r="C54" s="107"/>
      <c r="E54" s="109"/>
      <c r="F54" s="124"/>
      <c r="G54" s="126">
        <f>SUM(G49:G52)</f>
        <v>1154400</v>
      </c>
      <c r="H54" s="127"/>
      <c r="I54" s="127"/>
      <c r="J54" s="127"/>
      <c r="K54" s="127"/>
    </row>
    <row r="56" spans="1:20">
      <c r="A56" s="144" t="s">
        <v>226</v>
      </c>
      <c r="B56" s="145"/>
      <c r="C56" s="146"/>
      <c r="D56" s="146"/>
      <c r="E56" s="147"/>
      <c r="F56" s="147"/>
      <c r="G56" s="148">
        <f>J34+G45+G54</f>
        <v>1424610.6764997821</v>
      </c>
      <c r="H56" s="127"/>
      <c r="I56" s="96" t="s">
        <v>229</v>
      </c>
      <c r="J56" s="96"/>
      <c r="K56" s="97">
        <f>SUM(G40:G43)</f>
        <v>62900</v>
      </c>
      <c r="L56" s="74"/>
    </row>
  </sheetData>
  <mergeCells count="9">
    <mergeCell ref="I41:K41"/>
    <mergeCell ref="E47:G47"/>
    <mergeCell ref="A1:M1"/>
    <mergeCell ref="A2:M2"/>
    <mergeCell ref="E10:J10"/>
    <mergeCell ref="A11:B11"/>
    <mergeCell ref="A26:B26"/>
    <mergeCell ref="E36:G36"/>
    <mergeCell ref="I36:K36"/>
  </mergeCells>
  <pageMargins left="0.75" right="0.75" top="0.5" bottom="0.5" header="0.5" footer="0.5"/>
  <pageSetup scale="4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opLeftCell="A7" zoomScale="75" workbookViewId="0">
      <selection activeCell="J35" sqref="J35"/>
    </sheetView>
  </sheetViews>
  <sheetFormatPr defaultRowHeight="15.75"/>
  <cols>
    <col min="1" max="1" width="45.28515625" style="51" bestFit="1" customWidth="1"/>
    <col min="2" max="2" width="6.28515625" style="51" bestFit="1" customWidth="1"/>
    <col min="3" max="3" width="12.7109375" style="51" bestFit="1" customWidth="1"/>
    <col min="4" max="4" width="2.42578125" style="51" customWidth="1"/>
    <col min="5" max="10" width="12.7109375" style="51" customWidth="1"/>
    <col min="11" max="12" width="11" style="51" customWidth="1"/>
    <col min="13" max="13" width="11.42578125" style="51" customWidth="1"/>
    <col min="14" max="14" width="9.28515625" style="51" bestFit="1" customWidth="1"/>
    <col min="15" max="15" width="9.28515625" style="51" customWidth="1"/>
    <col min="16" max="16" width="13.85546875" style="51" bestFit="1" customWidth="1"/>
    <col min="17" max="20" width="9.28515625" style="51" customWidth="1"/>
    <col min="21" max="16384" width="9.140625" style="51"/>
  </cols>
  <sheetData>
    <row r="1" spans="1:21" ht="18.75">
      <c r="A1" s="618" t="s">
        <v>168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20"/>
    </row>
    <row r="2" spans="1:21" ht="18.75">
      <c r="A2" s="621">
        <v>41036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3"/>
    </row>
    <row r="3" spans="1:21">
      <c r="A3" s="52"/>
    </row>
    <row r="4" spans="1:21">
      <c r="A4" s="53" t="s">
        <v>169</v>
      </c>
      <c r="B4" s="54"/>
      <c r="C4" s="55">
        <v>41046</v>
      </c>
      <c r="E4" s="56" t="s">
        <v>170</v>
      </c>
      <c r="F4" s="57"/>
      <c r="G4" s="54"/>
      <c r="H4" s="58"/>
      <c r="I4" s="58"/>
      <c r="J4" s="58"/>
      <c r="K4" s="58"/>
      <c r="L4" s="58"/>
      <c r="M4" s="58"/>
    </row>
    <row r="5" spans="1:21">
      <c r="A5" s="53"/>
      <c r="B5" s="54"/>
      <c r="C5" s="55"/>
      <c r="E5" s="56"/>
      <c r="F5" s="57"/>
      <c r="G5" s="54"/>
      <c r="H5" s="58"/>
      <c r="I5" s="58"/>
      <c r="J5" s="58"/>
      <c r="K5" s="58"/>
      <c r="L5" s="58"/>
      <c r="M5" s="58"/>
    </row>
    <row r="6" spans="1:21">
      <c r="A6" s="53"/>
      <c r="B6" s="54"/>
      <c r="C6" s="55"/>
      <c r="E6" s="56"/>
      <c r="F6" s="57"/>
      <c r="G6" s="54"/>
      <c r="H6" s="58"/>
      <c r="I6" s="58"/>
      <c r="J6" s="58"/>
      <c r="K6" s="58"/>
      <c r="L6" s="58"/>
      <c r="M6" s="58"/>
    </row>
    <row r="7" spans="1:21">
      <c r="A7" s="52"/>
    </row>
    <row r="8" spans="1:21">
      <c r="A8" s="53" t="s">
        <v>171</v>
      </c>
      <c r="B8" s="54"/>
      <c r="C8" s="59">
        <v>2.4E-2</v>
      </c>
    </row>
    <row r="9" spans="1:21">
      <c r="A9" s="52"/>
    </row>
    <row r="10" spans="1:21">
      <c r="E10" s="615" t="s">
        <v>172</v>
      </c>
      <c r="F10" s="616"/>
      <c r="G10" s="616"/>
      <c r="H10" s="616"/>
      <c r="I10" s="616"/>
      <c r="J10" s="61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1">
      <c r="A11" s="615" t="s">
        <v>173</v>
      </c>
      <c r="B11" s="617"/>
      <c r="C11" s="60" t="s">
        <v>174</v>
      </c>
      <c r="E11" s="60" t="s">
        <v>175</v>
      </c>
      <c r="F11" s="60" t="s">
        <v>176</v>
      </c>
      <c r="G11" s="60" t="s">
        <v>177</v>
      </c>
      <c r="H11" s="60" t="s">
        <v>178</v>
      </c>
      <c r="I11" s="60" t="s">
        <v>179</v>
      </c>
      <c r="J11" s="60" t="s">
        <v>180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>
      <c r="A12" s="56" t="s">
        <v>181</v>
      </c>
      <c r="B12" s="54"/>
      <c r="C12" s="61" t="s">
        <v>182</v>
      </c>
      <c r="D12" s="62"/>
      <c r="E12" s="61">
        <v>1</v>
      </c>
      <c r="F12" s="63">
        <v>44000</v>
      </c>
      <c r="G12" s="63">
        <f t="shared" ref="G12:G24" si="0">E12*F12</f>
        <v>44000</v>
      </c>
      <c r="H12" s="64">
        <v>1.5</v>
      </c>
      <c r="I12" s="65">
        <f>(1+$C$8)^12</f>
        <v>1.3292279957849158</v>
      </c>
      <c r="J12" s="66">
        <f>G12*H12*I12</f>
        <v>87729.04772180444</v>
      </c>
      <c r="K12" s="58" t="s">
        <v>183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>
      <c r="A13" s="56" t="s">
        <v>184</v>
      </c>
      <c r="B13" s="54"/>
      <c r="C13" s="61" t="s">
        <v>182</v>
      </c>
      <c r="D13" s="62"/>
      <c r="E13" s="61">
        <v>1</v>
      </c>
      <c r="F13" s="63">
        <v>2500</v>
      </c>
      <c r="G13" s="63">
        <f t="shared" si="0"/>
        <v>2500</v>
      </c>
      <c r="H13" s="64">
        <v>1.125</v>
      </c>
      <c r="I13" s="65">
        <f t="shared" ref="I13:I23" si="1">(1+$C$8)^11</f>
        <v>1.298074214633707</v>
      </c>
      <c r="J13" s="66">
        <f t="shared" ref="J13:J24" si="2">G13*H13*I13</f>
        <v>3650.833728657301</v>
      </c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1">
      <c r="A14" s="56" t="s">
        <v>185</v>
      </c>
      <c r="B14" s="54"/>
      <c r="C14" s="61" t="s">
        <v>182</v>
      </c>
      <c r="D14" s="62"/>
      <c r="E14" s="61">
        <v>1</v>
      </c>
      <c r="F14" s="63">
        <v>8000</v>
      </c>
      <c r="G14" s="63">
        <f t="shared" si="0"/>
        <v>8000</v>
      </c>
      <c r="H14" s="64">
        <v>1.125</v>
      </c>
      <c r="I14" s="65">
        <f t="shared" si="1"/>
        <v>1.298074214633707</v>
      </c>
      <c r="J14" s="66">
        <f t="shared" si="2"/>
        <v>11682.667931703363</v>
      </c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>
      <c r="A15" s="56" t="s">
        <v>186</v>
      </c>
      <c r="B15" s="54"/>
      <c r="C15" s="61" t="s">
        <v>182</v>
      </c>
      <c r="D15" s="62"/>
      <c r="E15" s="61">
        <v>3</v>
      </c>
      <c r="F15" s="63">
        <v>5500</v>
      </c>
      <c r="G15" s="63">
        <f t="shared" si="0"/>
        <v>16500</v>
      </c>
      <c r="H15" s="64">
        <v>1</v>
      </c>
      <c r="I15" s="65">
        <f t="shared" si="1"/>
        <v>1.298074214633707</v>
      </c>
      <c r="J15" s="66">
        <f t="shared" si="2"/>
        <v>21418.224541456166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>
      <c r="A16" s="56" t="s">
        <v>187</v>
      </c>
      <c r="B16" s="54"/>
      <c r="C16" s="61" t="s">
        <v>182</v>
      </c>
      <c r="D16" s="62"/>
      <c r="E16" s="61">
        <v>4</v>
      </c>
      <c r="F16" s="63">
        <v>1650</v>
      </c>
      <c r="G16" s="63">
        <f t="shared" si="0"/>
        <v>6600</v>
      </c>
      <c r="H16" s="64">
        <v>1.125</v>
      </c>
      <c r="I16" s="65">
        <f t="shared" si="1"/>
        <v>1.298074214633707</v>
      </c>
      <c r="J16" s="66">
        <f t="shared" si="2"/>
        <v>9638.2010436552737</v>
      </c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1:21">
      <c r="A17" s="56" t="s">
        <v>188</v>
      </c>
      <c r="B17" s="54"/>
      <c r="C17" s="61" t="s">
        <v>118</v>
      </c>
      <c r="D17" s="62"/>
      <c r="E17" s="61">
        <v>1</v>
      </c>
      <c r="F17" s="63">
        <v>1000</v>
      </c>
      <c r="G17" s="63">
        <f t="shared" si="0"/>
        <v>1000</v>
      </c>
      <c r="H17" s="64">
        <v>1.125</v>
      </c>
      <c r="I17" s="65">
        <f t="shared" si="1"/>
        <v>1.298074214633707</v>
      </c>
      <c r="J17" s="66">
        <f t="shared" si="2"/>
        <v>1460.3334914629204</v>
      </c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>
      <c r="A18" s="56" t="s">
        <v>189</v>
      </c>
      <c r="B18" s="54"/>
      <c r="C18" s="61" t="s">
        <v>182</v>
      </c>
      <c r="D18" s="62"/>
      <c r="E18" s="61">
        <v>3</v>
      </c>
      <c r="F18" s="63">
        <v>600</v>
      </c>
      <c r="G18" s="63">
        <f t="shared" si="0"/>
        <v>1800</v>
      </c>
      <c r="H18" s="64">
        <v>1</v>
      </c>
      <c r="I18" s="65">
        <f t="shared" si="1"/>
        <v>1.298074214633707</v>
      </c>
      <c r="J18" s="66">
        <f t="shared" si="2"/>
        <v>2336.5335863406726</v>
      </c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>
      <c r="A19" s="56" t="s">
        <v>190</v>
      </c>
      <c r="B19" s="54"/>
      <c r="C19" s="61" t="s">
        <v>182</v>
      </c>
      <c r="D19" s="62"/>
      <c r="E19" s="61">
        <v>6</v>
      </c>
      <c r="F19" s="63">
        <v>580</v>
      </c>
      <c r="G19" s="63">
        <f t="shared" si="0"/>
        <v>3480</v>
      </c>
      <c r="H19" s="64">
        <v>1</v>
      </c>
      <c r="I19" s="65">
        <f t="shared" si="1"/>
        <v>1.298074214633707</v>
      </c>
      <c r="J19" s="66">
        <f t="shared" si="2"/>
        <v>4517.2982669253006</v>
      </c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>
      <c r="A20" s="56" t="s">
        <v>191</v>
      </c>
      <c r="B20" s="54"/>
      <c r="C20" s="61" t="s">
        <v>182</v>
      </c>
      <c r="D20" s="62"/>
      <c r="E20" s="61">
        <v>2</v>
      </c>
      <c r="F20" s="63">
        <v>2500</v>
      </c>
      <c r="G20" s="63">
        <f t="shared" si="0"/>
        <v>5000</v>
      </c>
      <c r="H20" s="64">
        <v>1</v>
      </c>
      <c r="I20" s="65">
        <f t="shared" si="1"/>
        <v>1.298074214633707</v>
      </c>
      <c r="J20" s="66">
        <f t="shared" si="2"/>
        <v>6490.3710731685351</v>
      </c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spans="1:21">
      <c r="A21" s="56" t="s">
        <v>192</v>
      </c>
      <c r="B21" s="54"/>
      <c r="C21" s="61" t="s">
        <v>182</v>
      </c>
      <c r="D21" s="62"/>
      <c r="E21" s="61">
        <v>3</v>
      </c>
      <c r="F21" s="63">
        <v>1640</v>
      </c>
      <c r="G21" s="63">
        <f t="shared" si="0"/>
        <v>4920</v>
      </c>
      <c r="H21" s="64">
        <v>1</v>
      </c>
      <c r="I21" s="65">
        <f t="shared" si="1"/>
        <v>1.298074214633707</v>
      </c>
      <c r="J21" s="66">
        <f t="shared" si="2"/>
        <v>6386.5251359978383</v>
      </c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</row>
    <row r="22" spans="1:21">
      <c r="A22" s="56" t="s">
        <v>193</v>
      </c>
      <c r="B22" s="54"/>
      <c r="C22" s="61" t="s">
        <v>182</v>
      </c>
      <c r="D22" s="62"/>
      <c r="E22" s="61">
        <v>2</v>
      </c>
      <c r="F22" s="63">
        <v>750</v>
      </c>
      <c r="G22" s="63">
        <f t="shared" si="0"/>
        <v>1500</v>
      </c>
      <c r="H22" s="64">
        <v>1</v>
      </c>
      <c r="I22" s="65">
        <f t="shared" si="1"/>
        <v>1.298074214633707</v>
      </c>
      <c r="J22" s="66">
        <f t="shared" si="2"/>
        <v>1947.1113219505605</v>
      </c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3" spans="1:21">
      <c r="A23" s="56" t="s">
        <v>194</v>
      </c>
      <c r="B23" s="54"/>
      <c r="C23" s="61" t="s">
        <v>182</v>
      </c>
      <c r="D23" s="62"/>
      <c r="E23" s="61">
        <v>1</v>
      </c>
      <c r="F23" s="63">
        <v>500</v>
      </c>
      <c r="G23" s="63">
        <f t="shared" si="0"/>
        <v>500</v>
      </c>
      <c r="H23" s="64">
        <v>1.125</v>
      </c>
      <c r="I23" s="65">
        <f t="shared" si="1"/>
        <v>1.298074214633707</v>
      </c>
      <c r="J23" s="66">
        <f t="shared" si="2"/>
        <v>730.1667457314602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</row>
    <row r="24" spans="1:21">
      <c r="A24" s="56" t="s">
        <v>195</v>
      </c>
      <c r="B24" s="54"/>
      <c r="C24" s="61" t="s">
        <v>118</v>
      </c>
      <c r="D24" s="62"/>
      <c r="E24" s="61">
        <v>1</v>
      </c>
      <c r="F24" s="63">
        <v>50000</v>
      </c>
      <c r="G24" s="63">
        <f t="shared" si="0"/>
        <v>50000</v>
      </c>
      <c r="H24" s="64">
        <v>1</v>
      </c>
      <c r="I24" s="65">
        <f>(1+$C$8)^0</f>
        <v>1</v>
      </c>
      <c r="J24" s="66">
        <f t="shared" si="2"/>
        <v>50000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</row>
    <row r="25" spans="1:21">
      <c r="A25" s="67"/>
      <c r="B25" s="67"/>
      <c r="C25" s="68"/>
      <c r="D25" s="62"/>
      <c r="E25" s="68"/>
      <c r="F25" s="69"/>
      <c r="G25" s="69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</row>
    <row r="26" spans="1:21">
      <c r="A26" s="615" t="s">
        <v>196</v>
      </c>
      <c r="B26" s="617"/>
      <c r="C26" s="68"/>
      <c r="D26" s="62"/>
      <c r="E26" s="68"/>
      <c r="F26" s="69"/>
      <c r="G26" s="69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spans="1:21">
      <c r="A27" s="56" t="s">
        <v>197</v>
      </c>
      <c r="B27" s="54"/>
      <c r="C27" s="61" t="s">
        <v>182</v>
      </c>
      <c r="D27" s="62"/>
      <c r="E27" s="61">
        <v>1</v>
      </c>
      <c r="F27" s="63">
        <v>250</v>
      </c>
      <c r="G27" s="63">
        <f t="shared" ref="G27:G31" si="3">E27*F27</f>
        <v>250</v>
      </c>
      <c r="H27" s="64">
        <v>1</v>
      </c>
      <c r="I27" s="65">
        <f t="shared" ref="I27:I31" si="4">(1+$C$8)^11</f>
        <v>1.298074214633707</v>
      </c>
      <c r="J27" s="66">
        <f t="shared" ref="J27:J31" si="5">G27*H27*I27</f>
        <v>324.51855365842675</v>
      </c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</row>
    <row r="28" spans="1:21">
      <c r="A28" s="56" t="s">
        <v>198</v>
      </c>
      <c r="B28" s="54"/>
      <c r="C28" s="61" t="s">
        <v>118</v>
      </c>
      <c r="D28" s="62"/>
      <c r="E28" s="61">
        <v>1</v>
      </c>
      <c r="F28" s="63">
        <f>P41</f>
        <v>7074.5044697537032</v>
      </c>
      <c r="G28" s="63">
        <f t="shared" si="3"/>
        <v>7074.5044697537032</v>
      </c>
      <c r="H28" s="64">
        <v>1</v>
      </c>
      <c r="I28" s="65">
        <f t="shared" si="4"/>
        <v>1.298074214633707</v>
      </c>
      <c r="J28" s="66">
        <f t="shared" si="5"/>
        <v>9183.2318334981883</v>
      </c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>
      <c r="A29" s="56" t="s">
        <v>199</v>
      </c>
      <c r="B29" s="54"/>
      <c r="C29" s="61" t="s">
        <v>118</v>
      </c>
      <c r="D29" s="62"/>
      <c r="E29" s="61">
        <v>1</v>
      </c>
      <c r="F29" s="63">
        <v>1250</v>
      </c>
      <c r="G29" s="63">
        <f t="shared" si="3"/>
        <v>1250</v>
      </c>
      <c r="H29" s="64">
        <v>1</v>
      </c>
      <c r="I29" s="65">
        <f t="shared" si="4"/>
        <v>1.298074214633707</v>
      </c>
      <c r="J29" s="66">
        <f t="shared" si="5"/>
        <v>1622.5927682921338</v>
      </c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spans="1:21">
      <c r="A30" s="56" t="s">
        <v>200</v>
      </c>
      <c r="B30" s="54"/>
      <c r="C30" s="61" t="s">
        <v>118</v>
      </c>
      <c r="D30" s="62"/>
      <c r="E30" s="61">
        <v>1</v>
      </c>
      <c r="F30" s="63">
        <v>500</v>
      </c>
      <c r="G30" s="63">
        <f t="shared" si="3"/>
        <v>500</v>
      </c>
      <c r="H30" s="64">
        <v>1</v>
      </c>
      <c r="I30" s="65">
        <f t="shared" si="4"/>
        <v>1.298074214633707</v>
      </c>
      <c r="J30" s="66">
        <f t="shared" si="5"/>
        <v>649.03710731685351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>
      <c r="A31" s="56" t="s">
        <v>201</v>
      </c>
      <c r="B31" s="54"/>
      <c r="C31" s="61" t="s">
        <v>182</v>
      </c>
      <c r="D31" s="62"/>
      <c r="E31" s="61">
        <v>1</v>
      </c>
      <c r="F31" s="63">
        <v>600</v>
      </c>
      <c r="G31" s="63">
        <f t="shared" si="3"/>
        <v>600</v>
      </c>
      <c r="H31" s="64">
        <v>1</v>
      </c>
      <c r="I31" s="65">
        <f t="shared" si="4"/>
        <v>1.298074214633707</v>
      </c>
      <c r="J31" s="66">
        <f t="shared" si="5"/>
        <v>778.84452878022421</v>
      </c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 ht="5.0999999999999996" customHeight="1">
      <c r="A32" s="67"/>
      <c r="B32" s="68"/>
      <c r="C32" s="70"/>
      <c r="D32" s="62"/>
      <c r="E32" s="68"/>
      <c r="F32" s="68"/>
      <c r="G32" s="70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16">
      <c r="A33" s="56" t="s">
        <v>202</v>
      </c>
      <c r="B33" s="57"/>
      <c r="C33" s="54"/>
      <c r="D33" s="67"/>
      <c r="E33" s="56"/>
      <c r="F33" s="57"/>
      <c r="G33" s="71">
        <f>SUM(G12:G31)</f>
        <v>155474.50446975371</v>
      </c>
      <c r="H33" s="72"/>
      <c r="I33" s="72"/>
      <c r="J33" s="73">
        <f>SUM(J12:J31)</f>
        <v>220545.53938039966</v>
      </c>
      <c r="K33" s="58"/>
      <c r="L33" s="58"/>
      <c r="M33" s="58"/>
    </row>
    <row r="34" spans="1:16">
      <c r="A34" s="67" t="s">
        <v>232</v>
      </c>
      <c r="B34" s="67"/>
      <c r="C34" s="67"/>
      <c r="D34" s="67"/>
      <c r="E34" s="67"/>
      <c r="F34" s="67"/>
      <c r="G34" s="98"/>
      <c r="H34" s="99"/>
      <c r="I34" s="99"/>
      <c r="J34" s="98">
        <f>J33*1.2039</f>
        <v>265514.77486006316</v>
      </c>
      <c r="K34" s="58"/>
      <c r="L34" s="58"/>
      <c r="M34" s="58"/>
    </row>
    <row r="35" spans="1:16">
      <c r="A35" s="74"/>
      <c r="B35" s="74"/>
      <c r="C35" s="74"/>
      <c r="D35" s="74"/>
      <c r="E35" s="74"/>
      <c r="F35" s="74"/>
      <c r="G35" s="74"/>
      <c r="H35" s="58"/>
      <c r="I35" s="58"/>
      <c r="J35" s="58"/>
      <c r="K35" s="58"/>
      <c r="L35" s="58"/>
      <c r="M35" s="58"/>
    </row>
    <row r="36" spans="1:16">
      <c r="E36" s="615" t="s">
        <v>203</v>
      </c>
      <c r="F36" s="616"/>
      <c r="G36" s="617"/>
      <c r="H36" s="74"/>
      <c r="I36" s="615" t="s">
        <v>198</v>
      </c>
      <c r="J36" s="616"/>
      <c r="K36" s="617"/>
      <c r="L36" s="60" t="s">
        <v>204</v>
      </c>
      <c r="M36" s="60" t="s">
        <v>176</v>
      </c>
      <c r="N36" s="60" t="s">
        <v>177</v>
      </c>
      <c r="O36" s="60" t="s">
        <v>179</v>
      </c>
      <c r="P36" s="60" t="s">
        <v>180</v>
      </c>
    </row>
    <row r="37" spans="1:16">
      <c r="A37" s="75" t="s">
        <v>205</v>
      </c>
      <c r="B37" s="60" t="s">
        <v>174</v>
      </c>
      <c r="C37" s="60" t="s">
        <v>176</v>
      </c>
      <c r="E37" s="60" t="s">
        <v>204</v>
      </c>
      <c r="F37" s="60" t="s">
        <v>206</v>
      </c>
      <c r="G37" s="60" t="s">
        <v>177</v>
      </c>
      <c r="H37" s="74"/>
      <c r="I37" s="76" t="s">
        <v>192</v>
      </c>
      <c r="J37" s="76"/>
      <c r="K37" s="76"/>
      <c r="L37" s="77">
        <v>2</v>
      </c>
      <c r="M37" s="63">
        <v>1600</v>
      </c>
      <c r="N37" s="63">
        <f>M37*L37</f>
        <v>3200</v>
      </c>
      <c r="O37" s="65">
        <f t="shared" ref="O37:O40" si="6">(1+$C$8)^11</f>
        <v>1.298074214633707</v>
      </c>
      <c r="P37" s="78">
        <f t="shared" ref="P37:P40" si="7">N37*O37</f>
        <v>4153.8374868278624</v>
      </c>
    </row>
    <row r="38" spans="1:16">
      <c r="A38" s="77" t="s">
        <v>207</v>
      </c>
      <c r="B38" s="61" t="s">
        <v>208</v>
      </c>
      <c r="C38" s="79">
        <f>Overheads!B5</f>
        <v>85</v>
      </c>
      <c r="E38" s="61">
        <v>2</v>
      </c>
      <c r="F38" s="61">
        <v>160</v>
      </c>
      <c r="G38" s="63">
        <f t="shared" ref="G38:G43" si="8">$C38*E38*F38</f>
        <v>27200</v>
      </c>
      <c r="H38" s="74"/>
      <c r="I38" s="76" t="s">
        <v>209</v>
      </c>
      <c r="J38" s="76"/>
      <c r="K38" s="76"/>
      <c r="L38" s="77">
        <v>1</v>
      </c>
      <c r="M38" s="63">
        <v>750</v>
      </c>
      <c r="N38" s="63">
        <f>M38*L38</f>
        <v>750</v>
      </c>
      <c r="O38" s="65">
        <f t="shared" si="6"/>
        <v>1.298074214633707</v>
      </c>
      <c r="P38" s="78">
        <f t="shared" si="7"/>
        <v>973.55566097528026</v>
      </c>
    </row>
    <row r="39" spans="1:16">
      <c r="A39" s="77" t="s">
        <v>210</v>
      </c>
      <c r="B39" s="61" t="s">
        <v>208</v>
      </c>
      <c r="C39" s="79">
        <f>Overheads!B5</f>
        <v>85</v>
      </c>
      <c r="E39" s="61">
        <v>1</v>
      </c>
      <c r="F39" s="61">
        <v>160</v>
      </c>
      <c r="G39" s="63">
        <f t="shared" si="8"/>
        <v>13600</v>
      </c>
      <c r="H39" s="74"/>
      <c r="I39" s="76" t="s">
        <v>211</v>
      </c>
      <c r="J39" s="76"/>
      <c r="K39" s="76"/>
      <c r="L39" s="77">
        <v>1</v>
      </c>
      <c r="M39" s="63">
        <v>500</v>
      </c>
      <c r="N39" s="63">
        <f>M39*L39</f>
        <v>500</v>
      </c>
      <c r="O39" s="65">
        <f t="shared" si="6"/>
        <v>1.298074214633707</v>
      </c>
      <c r="P39" s="78">
        <f t="shared" si="7"/>
        <v>649.03710731685351</v>
      </c>
    </row>
    <row r="40" spans="1:16">
      <c r="A40" s="77" t="s">
        <v>212</v>
      </c>
      <c r="B40" s="61" t="s">
        <v>208</v>
      </c>
      <c r="C40" s="79">
        <f>Overheads!B5</f>
        <v>85</v>
      </c>
      <c r="E40" s="61">
        <v>1</v>
      </c>
      <c r="F40" s="61">
        <v>240</v>
      </c>
      <c r="G40" s="63">
        <f t="shared" si="8"/>
        <v>20400</v>
      </c>
      <c r="H40" s="74"/>
      <c r="I40" s="80" t="s">
        <v>213</v>
      </c>
      <c r="J40" s="80"/>
      <c r="K40" s="80"/>
      <c r="L40" s="81">
        <v>2</v>
      </c>
      <c r="M40" s="82">
        <v>500</v>
      </c>
      <c r="N40" s="82">
        <f>M40*L40</f>
        <v>1000</v>
      </c>
      <c r="O40" s="83">
        <f t="shared" si="6"/>
        <v>1.298074214633707</v>
      </c>
      <c r="P40" s="78">
        <f t="shared" si="7"/>
        <v>1298.074214633707</v>
      </c>
    </row>
    <row r="41" spans="1:16">
      <c r="A41" s="77" t="s">
        <v>214</v>
      </c>
      <c r="B41" s="61" t="s">
        <v>208</v>
      </c>
      <c r="C41" s="79">
        <f>Overheads!B5</f>
        <v>85</v>
      </c>
      <c r="E41" s="61">
        <v>3</v>
      </c>
      <c r="F41" s="61">
        <v>240</v>
      </c>
      <c r="G41" s="63">
        <f t="shared" si="8"/>
        <v>61200</v>
      </c>
      <c r="H41" s="74"/>
      <c r="I41" s="613" t="s">
        <v>215</v>
      </c>
      <c r="J41" s="614"/>
      <c r="K41" s="614"/>
      <c r="L41" s="56"/>
      <c r="M41" s="57"/>
      <c r="N41" s="71">
        <f>SUM(N37:N40)</f>
        <v>5450</v>
      </c>
      <c r="O41" s="57"/>
      <c r="P41" s="73">
        <f>SUM(P37:P40)</f>
        <v>7074.5044697537032</v>
      </c>
    </row>
    <row r="42" spans="1:16">
      <c r="A42" s="77" t="s">
        <v>216</v>
      </c>
      <c r="B42" s="61" t="s">
        <v>208</v>
      </c>
      <c r="C42" s="79">
        <f>Overheads!B5</f>
        <v>85</v>
      </c>
      <c r="E42" s="61">
        <v>1</v>
      </c>
      <c r="F42" s="61">
        <v>80</v>
      </c>
      <c r="G42" s="63">
        <f t="shared" si="8"/>
        <v>6800</v>
      </c>
      <c r="H42" s="74"/>
    </row>
    <row r="43" spans="1:16">
      <c r="A43" s="77" t="s">
        <v>217</v>
      </c>
      <c r="B43" s="61" t="s">
        <v>208</v>
      </c>
      <c r="C43" s="79">
        <f>Overheads!B5</f>
        <v>85</v>
      </c>
      <c r="E43" s="61">
        <v>1</v>
      </c>
      <c r="F43" s="61">
        <v>80</v>
      </c>
      <c r="G43" s="63">
        <f t="shared" si="8"/>
        <v>6800</v>
      </c>
      <c r="H43" s="74"/>
      <c r="I43" s="74"/>
      <c r="J43" s="74"/>
      <c r="K43" s="74"/>
      <c r="L43" s="74"/>
      <c r="M43" s="74"/>
      <c r="N43" s="74"/>
    </row>
    <row r="44" spans="1:16" ht="5.0999999999999996" customHeight="1">
      <c r="A44" s="67"/>
      <c r="B44" s="68"/>
      <c r="C44" s="70"/>
      <c r="D44" s="62"/>
      <c r="E44" s="68"/>
      <c r="F44" s="68"/>
      <c r="G44" s="70"/>
      <c r="H44" s="74"/>
      <c r="I44" s="74"/>
      <c r="J44" s="74"/>
      <c r="K44" s="74"/>
      <c r="L44" s="74"/>
      <c r="M44" s="74"/>
    </row>
    <row r="45" spans="1:16">
      <c r="A45" s="56" t="s">
        <v>218</v>
      </c>
      <c r="B45" s="57"/>
      <c r="C45" s="54"/>
      <c r="D45" s="67"/>
      <c r="E45" s="56"/>
      <c r="F45" s="57"/>
      <c r="G45" s="73">
        <f>SUM(G37:G43)</f>
        <v>136000</v>
      </c>
      <c r="H45" s="74"/>
      <c r="I45" s="74"/>
      <c r="J45" s="74"/>
      <c r="K45" s="74"/>
      <c r="L45" s="74"/>
      <c r="M45" s="74"/>
    </row>
    <row r="47" spans="1:16">
      <c r="E47" s="615" t="s">
        <v>219</v>
      </c>
      <c r="F47" s="616"/>
      <c r="G47" s="617"/>
      <c r="H47" s="74"/>
      <c r="I47" s="74"/>
      <c r="J47" s="74"/>
      <c r="K47" s="74"/>
    </row>
    <row r="48" spans="1:16">
      <c r="A48" s="84" t="s">
        <v>220</v>
      </c>
      <c r="B48" s="85"/>
      <c r="C48" s="75" t="s">
        <v>221</v>
      </c>
      <c r="E48" s="60" t="s">
        <v>222</v>
      </c>
      <c r="F48" s="60" t="s">
        <v>223</v>
      </c>
      <c r="G48" s="60" t="s">
        <v>153</v>
      </c>
      <c r="H48" s="74"/>
      <c r="I48" s="74"/>
      <c r="J48" s="74"/>
      <c r="K48" s="74"/>
    </row>
    <row r="49" spans="1:20">
      <c r="A49" s="56" t="s">
        <v>148</v>
      </c>
      <c r="B49" s="54"/>
      <c r="C49" s="79">
        <f>Overheads!D7</f>
        <v>312000</v>
      </c>
      <c r="E49" s="86">
        <v>0.75</v>
      </c>
      <c r="F49" s="86">
        <v>0.25</v>
      </c>
      <c r="G49" s="87">
        <f>C49*SUM(E49:F49)</f>
        <v>312000</v>
      </c>
      <c r="H49" s="74"/>
      <c r="I49" s="74"/>
      <c r="J49" s="74"/>
    </row>
    <row r="50" spans="1:20">
      <c r="A50" s="56" t="s">
        <v>148</v>
      </c>
      <c r="B50" s="54"/>
      <c r="C50" s="79">
        <f>Overheads!D7</f>
        <v>312000</v>
      </c>
      <c r="E50" s="86">
        <v>0.75</v>
      </c>
      <c r="F50" s="86">
        <v>0.25</v>
      </c>
      <c r="G50" s="87">
        <f t="shared" ref="G50:G52" si="9">C50*SUM(E50:F50)</f>
        <v>312000</v>
      </c>
      <c r="H50" s="74"/>
      <c r="I50" s="74"/>
      <c r="J50" s="74"/>
    </row>
    <row r="51" spans="1:20">
      <c r="A51" s="56" t="s">
        <v>224</v>
      </c>
      <c r="B51" s="54"/>
      <c r="C51" s="79">
        <f>Overheads!D6</f>
        <v>212160</v>
      </c>
      <c r="E51" s="86">
        <v>0.75</v>
      </c>
      <c r="F51" s="86">
        <v>0.5</v>
      </c>
      <c r="G51" s="87">
        <f t="shared" si="9"/>
        <v>265200</v>
      </c>
      <c r="H51" s="74"/>
      <c r="I51" s="74"/>
      <c r="J51" s="74"/>
      <c r="T51" s="88"/>
    </row>
    <row r="52" spans="1:20">
      <c r="A52" s="56" t="s">
        <v>224</v>
      </c>
      <c r="B52" s="54"/>
      <c r="C52" s="79">
        <f>Overheads!D6</f>
        <v>212160</v>
      </c>
      <c r="E52" s="86">
        <v>0.75</v>
      </c>
      <c r="F52" s="86">
        <v>0.5</v>
      </c>
      <c r="G52" s="87">
        <f t="shared" si="9"/>
        <v>265200</v>
      </c>
      <c r="H52" s="74"/>
      <c r="I52" s="74"/>
      <c r="J52" s="74"/>
      <c r="K52" s="74"/>
    </row>
    <row r="53" spans="1:20" ht="5.0999999999999996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</row>
    <row r="54" spans="1:20">
      <c r="A54" s="89" t="s">
        <v>225</v>
      </c>
      <c r="B54" s="90"/>
      <c r="C54" s="54"/>
      <c r="E54" s="56"/>
      <c r="F54" s="71"/>
      <c r="G54" s="73">
        <f>SUM(G49:G52)</f>
        <v>1154400</v>
      </c>
      <c r="H54" s="74"/>
      <c r="I54" s="74"/>
      <c r="J54" s="74"/>
      <c r="K54" s="74"/>
    </row>
    <row r="56" spans="1:20">
      <c r="A56" s="91" t="s">
        <v>226</v>
      </c>
      <c r="B56" s="92"/>
      <c r="C56" s="93"/>
      <c r="D56" s="93"/>
      <c r="E56" s="94"/>
      <c r="F56" s="94"/>
      <c r="G56" s="95">
        <f>J34+G45+G54</f>
        <v>1555914.7748600631</v>
      </c>
      <c r="H56" s="74"/>
      <c r="I56" s="96" t="s">
        <v>229</v>
      </c>
      <c r="J56" s="96"/>
      <c r="K56" s="97">
        <f>SUM(G40:G43)</f>
        <v>95200</v>
      </c>
      <c r="L56" s="74"/>
    </row>
  </sheetData>
  <mergeCells count="9">
    <mergeCell ref="I41:K41"/>
    <mergeCell ref="E47:G47"/>
    <mergeCell ref="A1:M1"/>
    <mergeCell ref="A2:M2"/>
    <mergeCell ref="E10:J10"/>
    <mergeCell ref="A11:B11"/>
    <mergeCell ref="A26:B26"/>
    <mergeCell ref="E36:G36"/>
    <mergeCell ref="I36:K36"/>
  </mergeCells>
  <pageMargins left="0.75" right="0.75" top="0.5" bottom="0.5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L16" sqref="L16"/>
    </sheetView>
  </sheetViews>
  <sheetFormatPr defaultRowHeight="15"/>
  <cols>
    <col min="1" max="1" width="15.42578125" customWidth="1"/>
    <col min="2" max="2" width="20.42578125" style="46" customWidth="1"/>
    <col min="3" max="4" width="20.85546875" style="46" customWidth="1"/>
    <col min="5" max="5" width="13" customWidth="1"/>
  </cols>
  <sheetData>
    <row r="2" spans="1:9">
      <c r="A2" t="s">
        <v>142</v>
      </c>
    </row>
    <row r="4" spans="1:9">
      <c r="A4" t="s">
        <v>143</v>
      </c>
      <c r="B4" s="46" t="s">
        <v>144</v>
      </c>
      <c r="C4" s="46" t="s">
        <v>145</v>
      </c>
      <c r="D4" s="46" t="s">
        <v>227</v>
      </c>
      <c r="E4" t="s">
        <v>149</v>
      </c>
    </row>
    <row r="5" spans="1:9">
      <c r="A5" t="s">
        <v>146</v>
      </c>
      <c r="B5" s="46">
        <v>85</v>
      </c>
      <c r="C5" s="46">
        <f>B5*40</f>
        <v>3400</v>
      </c>
      <c r="D5" s="46">
        <f>B5*2080</f>
        <v>176800</v>
      </c>
      <c r="E5" t="s">
        <v>151</v>
      </c>
    </row>
    <row r="6" spans="1:9">
      <c r="A6" t="s">
        <v>147</v>
      </c>
      <c r="B6" s="46">
        <v>102</v>
      </c>
      <c r="C6" s="46">
        <f t="shared" ref="C6:C7" si="0">B6*40</f>
        <v>4080</v>
      </c>
      <c r="D6" s="46">
        <f t="shared" ref="D6:D7" si="1">B6*2080</f>
        <v>212160</v>
      </c>
      <c r="E6" t="s">
        <v>152</v>
      </c>
    </row>
    <row r="7" spans="1:9">
      <c r="A7" t="s">
        <v>148</v>
      </c>
      <c r="B7" s="46">
        <v>150</v>
      </c>
      <c r="C7" s="46">
        <f t="shared" si="0"/>
        <v>6000</v>
      </c>
      <c r="D7" s="46">
        <f t="shared" si="1"/>
        <v>312000</v>
      </c>
      <c r="E7" t="s">
        <v>150</v>
      </c>
    </row>
    <row r="8" spans="1:9" ht="15.75" thickBot="1"/>
    <row r="9" spans="1:9" ht="15.75" thickBot="1">
      <c r="A9" s="151" t="s">
        <v>241</v>
      </c>
      <c r="B9" s="152" t="s">
        <v>3</v>
      </c>
      <c r="C9" s="152" t="s">
        <v>242</v>
      </c>
      <c r="D9" s="153" t="s">
        <v>243</v>
      </c>
      <c r="E9" s="152" t="s">
        <v>244</v>
      </c>
      <c r="G9" s="577" t="s">
        <v>1354</v>
      </c>
      <c r="H9" s="578"/>
      <c r="I9" s="579"/>
    </row>
    <row r="10" spans="1:9" ht="15.75" thickBot="1">
      <c r="A10" s="154"/>
      <c r="B10" s="155"/>
      <c r="C10" s="155"/>
      <c r="D10" s="155"/>
      <c r="E10" s="155"/>
      <c r="G10" s="352"/>
      <c r="I10" s="352"/>
    </row>
    <row r="11" spans="1:9" ht="15.75" thickBot="1">
      <c r="A11" s="154" t="s">
        <v>245</v>
      </c>
      <c r="B11" s="156">
        <v>0.96379999999999999</v>
      </c>
      <c r="C11" s="156">
        <v>0.2039</v>
      </c>
      <c r="D11" s="156">
        <v>1.4999999999999999E-2</v>
      </c>
      <c r="E11" s="157">
        <v>101.95</v>
      </c>
      <c r="G11" s="353" t="s">
        <v>1355</v>
      </c>
      <c r="H11" s="354" t="s">
        <v>127</v>
      </c>
      <c r="I11" s="355" t="s">
        <v>1356</v>
      </c>
    </row>
    <row r="12" spans="1:9" ht="15.75" thickBot="1">
      <c r="A12" s="154" t="s">
        <v>246</v>
      </c>
      <c r="B12" s="156">
        <v>0.96379999999999999</v>
      </c>
      <c r="C12" s="156">
        <v>0.2039</v>
      </c>
      <c r="D12" s="156">
        <v>1.4999999999999999E-2</v>
      </c>
      <c r="E12" s="157">
        <v>101.95</v>
      </c>
      <c r="G12" s="353">
        <v>2012</v>
      </c>
      <c r="H12" s="356" t="s">
        <v>1357</v>
      </c>
      <c r="I12" s="357"/>
    </row>
    <row r="13" spans="1:9" ht="15.75" thickBot="1">
      <c r="A13" s="154" t="s">
        <v>247</v>
      </c>
      <c r="B13" s="156">
        <v>0.51639999999999997</v>
      </c>
      <c r="C13" s="156">
        <v>0.2039</v>
      </c>
      <c r="D13" s="156">
        <v>1.4999999999999999E-2</v>
      </c>
      <c r="E13" s="157">
        <v>101.95</v>
      </c>
      <c r="G13" s="353">
        <v>2013</v>
      </c>
      <c r="H13" s="358">
        <v>8.0000000000000002E-3</v>
      </c>
      <c r="I13" s="358">
        <v>2.7E-2</v>
      </c>
    </row>
    <row r="14" spans="1:9" ht="15.75" thickBot="1">
      <c r="A14" s="154" t="s">
        <v>248</v>
      </c>
      <c r="B14" s="156">
        <v>0.67569999999999997</v>
      </c>
      <c r="C14" s="156">
        <v>0.2039</v>
      </c>
      <c r="D14" s="156">
        <v>1.4999999999999999E-2</v>
      </c>
      <c r="E14" s="157">
        <v>101.95</v>
      </c>
      <c r="G14" s="353">
        <v>2014</v>
      </c>
      <c r="H14" s="358">
        <v>2.8199999999999999E-2</v>
      </c>
      <c r="I14" s="358">
        <v>5.4699999999999999E-2</v>
      </c>
    </row>
    <row r="15" spans="1:9" ht="15.75" thickBot="1">
      <c r="A15" s="154" t="s">
        <v>249</v>
      </c>
      <c r="B15" s="156">
        <v>0.75600000000000001</v>
      </c>
      <c r="C15" s="156">
        <v>0.2039</v>
      </c>
      <c r="D15" s="156">
        <v>1.4999999999999999E-2</v>
      </c>
      <c r="E15" s="157">
        <v>101.95</v>
      </c>
      <c r="G15" s="353">
        <v>2015</v>
      </c>
      <c r="H15" s="358">
        <v>5.3900000000000003E-2</v>
      </c>
      <c r="I15" s="358">
        <v>8.3199999999999996E-2</v>
      </c>
    </row>
    <row r="16" spans="1:9" ht="15.75" thickBot="1">
      <c r="A16" s="154" t="s">
        <v>250</v>
      </c>
      <c r="B16" s="156">
        <v>0.51639999999999997</v>
      </c>
      <c r="C16" s="156">
        <v>0.2039</v>
      </c>
      <c r="D16" s="156">
        <v>1.4999999999999999E-2</v>
      </c>
      <c r="E16" s="157">
        <v>101.95</v>
      </c>
      <c r="G16" s="353">
        <v>2016</v>
      </c>
      <c r="H16" s="358">
        <v>8.0199999999999994E-2</v>
      </c>
      <c r="I16" s="358">
        <v>0.1124</v>
      </c>
    </row>
    <row r="17" spans="1:9" ht="15.75" thickBot="1">
      <c r="A17" s="154" t="s">
        <v>251</v>
      </c>
      <c r="B17" s="156">
        <v>0.51639999999999997</v>
      </c>
      <c r="C17" s="156">
        <v>0.2039</v>
      </c>
      <c r="D17" s="156">
        <v>1.4999999999999999E-2</v>
      </c>
      <c r="E17" s="157">
        <v>101.95</v>
      </c>
      <c r="G17" s="353">
        <v>2017</v>
      </c>
      <c r="H17" s="358">
        <v>0.1072</v>
      </c>
      <c r="I17" s="358">
        <v>0.1424</v>
      </c>
    </row>
    <row r="18" spans="1:9" ht="15.75" thickBot="1">
      <c r="A18" s="154" t="s">
        <v>252</v>
      </c>
      <c r="B18" s="156">
        <v>0.75600000000000001</v>
      </c>
      <c r="C18" s="156">
        <v>0.2039</v>
      </c>
      <c r="D18" s="156">
        <v>1.4999999999999999E-2</v>
      </c>
      <c r="E18" s="157">
        <v>101.95</v>
      </c>
      <c r="G18" s="353">
        <v>2018</v>
      </c>
      <c r="H18" s="358">
        <v>0.13489999999999999</v>
      </c>
      <c r="I18" s="358">
        <v>0.17319999999999999</v>
      </c>
    </row>
    <row r="19" spans="1:9" ht="15.75" thickBot="1">
      <c r="A19" s="154" t="s">
        <v>253</v>
      </c>
      <c r="B19" s="156">
        <v>0.51639999999999997</v>
      </c>
      <c r="C19" s="156">
        <v>0.2039</v>
      </c>
      <c r="D19" s="156">
        <v>1.4999999999999999E-2</v>
      </c>
      <c r="E19" s="157">
        <v>101.95</v>
      </c>
      <c r="G19" s="353">
        <v>2019</v>
      </c>
      <c r="H19" s="358">
        <v>0.1633</v>
      </c>
      <c r="I19" s="358">
        <v>0.2049</v>
      </c>
    </row>
    <row r="20" spans="1:9" ht="15.75" thickBot="1">
      <c r="A20" s="154" t="s">
        <v>254</v>
      </c>
      <c r="B20" s="156">
        <v>0.51639999999999997</v>
      </c>
      <c r="C20" s="156">
        <v>0.2039</v>
      </c>
      <c r="D20" s="156">
        <v>1.4999999999999999E-2</v>
      </c>
      <c r="E20" s="157">
        <v>101.95</v>
      </c>
      <c r="G20" s="353">
        <v>2020</v>
      </c>
      <c r="H20" s="358">
        <v>0.19239999999999999</v>
      </c>
      <c r="I20" s="358">
        <v>0.2374</v>
      </c>
    </row>
    <row r="21" spans="1:9" ht="15.75" thickBot="1">
      <c r="A21" s="154" t="s">
        <v>255</v>
      </c>
      <c r="B21" s="156">
        <v>0.51639999999999997</v>
      </c>
      <c r="C21" s="156">
        <v>0.2039</v>
      </c>
      <c r="D21" s="156">
        <v>1.4999999999999999E-2</v>
      </c>
      <c r="E21" s="157">
        <v>101.95</v>
      </c>
      <c r="G21" s="353">
        <v>2021</v>
      </c>
      <c r="H21" s="358">
        <v>0.22159999999999999</v>
      </c>
      <c r="I21" s="358">
        <v>0.27079999999999999</v>
      </c>
    </row>
    <row r="22" spans="1:9" ht="15.75" thickBot="1">
      <c r="A22" s="154" t="s">
        <v>256</v>
      </c>
      <c r="B22" s="156">
        <v>0.75600000000000001</v>
      </c>
      <c r="C22" s="156">
        <v>0.2039</v>
      </c>
      <c r="D22" s="156">
        <v>1.4999999999999999E-2</v>
      </c>
      <c r="E22" s="157">
        <v>101.95</v>
      </c>
      <c r="G22" s="353">
        <v>2022</v>
      </c>
      <c r="H22" s="358">
        <v>0.25269999999999998</v>
      </c>
      <c r="I22" s="358">
        <v>0.30509999999999998</v>
      </c>
    </row>
    <row r="23" spans="1:9" ht="15.75" thickBot="1">
      <c r="A23" s="154" t="s">
        <v>257</v>
      </c>
      <c r="B23" s="156">
        <v>0.85760000000000003</v>
      </c>
      <c r="C23" s="156">
        <v>0.2039</v>
      </c>
      <c r="D23" s="156">
        <v>1.4999999999999999E-2</v>
      </c>
      <c r="E23" s="157">
        <v>101.95</v>
      </c>
      <c r="G23" s="353">
        <v>2023</v>
      </c>
      <c r="H23" s="358">
        <v>0.28399999999999997</v>
      </c>
      <c r="I23" s="358">
        <v>0.34029999999999999</v>
      </c>
    </row>
    <row r="24" spans="1:9" ht="15.75" thickBot="1">
      <c r="A24" s="154" t="s">
        <v>258</v>
      </c>
      <c r="B24" s="156">
        <v>0.51639999999999997</v>
      </c>
      <c r="C24" s="156">
        <v>0.2039</v>
      </c>
      <c r="D24" s="156">
        <v>1.4999999999999999E-2</v>
      </c>
      <c r="E24" s="157">
        <v>101.95</v>
      </c>
      <c r="G24" s="353">
        <v>2024</v>
      </c>
      <c r="H24" s="358">
        <v>0.31609999999999999</v>
      </c>
      <c r="I24" s="358">
        <v>0.3765</v>
      </c>
    </row>
    <row r="25" spans="1:9" ht="15.75" thickBot="1">
      <c r="G25" s="353">
        <v>2025</v>
      </c>
      <c r="H25" s="358">
        <v>0.34899999999999998</v>
      </c>
      <c r="I25" s="358">
        <v>0.41370000000000001</v>
      </c>
    </row>
  </sheetData>
  <mergeCells count="1">
    <mergeCell ref="G9:I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5"/>
  <sheetViews>
    <sheetView zoomScale="90" zoomScaleNormal="90" workbookViewId="0">
      <selection activeCell="P59" sqref="P59"/>
    </sheetView>
  </sheetViews>
  <sheetFormatPr defaultColWidth="12.5703125" defaultRowHeight="12.75"/>
  <cols>
    <col min="1" max="6" width="3.7109375" style="372" customWidth="1"/>
    <col min="7" max="7" width="49" style="372" customWidth="1"/>
    <col min="8" max="9" width="8.85546875" style="372" customWidth="1"/>
    <col min="10" max="11" width="4.42578125" style="372" customWidth="1"/>
    <col min="12" max="12" width="8.85546875" style="372" customWidth="1"/>
    <col min="13" max="14" width="9.140625" style="372" customWidth="1"/>
    <col min="15" max="15" width="12" style="372" customWidth="1"/>
    <col min="16" max="19" width="12.5703125" style="372"/>
    <col min="20" max="20" width="35.42578125" style="372" customWidth="1"/>
    <col min="21" max="21" width="12.5703125" style="372"/>
    <col min="22" max="22" width="14.5703125" style="372" customWidth="1"/>
    <col min="23" max="16384" width="12.5703125" style="372"/>
  </cols>
  <sheetData>
    <row r="1" spans="1:20">
      <c r="A1" s="398" t="s">
        <v>1545</v>
      </c>
    </row>
    <row r="2" spans="1:20">
      <c r="A2" s="372" t="s">
        <v>1546</v>
      </c>
    </row>
    <row r="3" spans="1:20">
      <c r="G3" s="398" t="s">
        <v>1547</v>
      </c>
    </row>
    <row r="4" spans="1:20" ht="15">
      <c r="A4" s="448"/>
      <c r="G4" s="372" t="s">
        <v>1548</v>
      </c>
      <c r="I4" s="459" t="s">
        <v>1549</v>
      </c>
      <c r="J4" s="459"/>
      <c r="K4" s="459" t="s">
        <v>1550</v>
      </c>
      <c r="N4" s="373"/>
      <c r="O4" s="374" t="s">
        <v>3</v>
      </c>
      <c r="P4" s="374"/>
      <c r="Q4" s="374"/>
      <c r="R4" s="375"/>
      <c r="S4" s="375" t="s">
        <v>280</v>
      </c>
    </row>
    <row r="5" spans="1:20" ht="15">
      <c r="G5" s="381" t="s">
        <v>1551</v>
      </c>
      <c r="H5" s="381"/>
      <c r="I5" s="460">
        <v>1.2</v>
      </c>
      <c r="J5" s="461"/>
      <c r="K5" s="462">
        <v>3.7</v>
      </c>
      <c r="N5" s="376" t="s">
        <v>1552</v>
      </c>
      <c r="O5" s="377">
        <v>252</v>
      </c>
      <c r="P5" s="378" t="s">
        <v>1553</v>
      </c>
      <c r="Q5" s="379">
        <f>O5/5</f>
        <v>50.4</v>
      </c>
      <c r="R5" s="380"/>
      <c r="S5" s="380"/>
    </row>
    <row r="6" spans="1:20" ht="15">
      <c r="G6" s="381" t="s">
        <v>1554</v>
      </c>
      <c r="H6" s="381"/>
      <c r="I6" s="460">
        <v>1.1200000000000001</v>
      </c>
      <c r="J6" s="461"/>
      <c r="K6" s="462">
        <v>1.08</v>
      </c>
      <c r="N6" s="381"/>
      <c r="O6" s="382" t="s">
        <v>1555</v>
      </c>
      <c r="P6" s="383" t="s">
        <v>1556</v>
      </c>
      <c r="Q6" s="384" t="s">
        <v>1557</v>
      </c>
      <c r="R6" s="378"/>
      <c r="S6" s="385"/>
    </row>
    <row r="7" spans="1:20" ht="15">
      <c r="G7" s="381" t="s">
        <v>1558</v>
      </c>
      <c r="H7" s="381"/>
      <c r="I7" s="381"/>
      <c r="J7" s="463"/>
      <c r="K7" s="381"/>
      <c r="N7" s="376" t="s">
        <v>1559</v>
      </c>
      <c r="O7" s="387">
        <f>193.044*8*$O$5</f>
        <v>389176.70400000003</v>
      </c>
      <c r="P7" s="387">
        <f>146.6325*8*$O$5</f>
        <v>295611.12</v>
      </c>
      <c r="Q7" s="388">
        <f>116*8*$O$5</f>
        <v>233856</v>
      </c>
      <c r="R7" s="389" t="s">
        <v>1381</v>
      </c>
      <c r="S7" s="390">
        <v>9.2499999999999999E-2</v>
      </c>
    </row>
    <row r="8" spans="1:20">
      <c r="G8" s="372" t="s">
        <v>1560</v>
      </c>
      <c r="I8" s="464">
        <v>1.25</v>
      </c>
    </row>
    <row r="9" spans="1:20">
      <c r="G9" s="372" t="s">
        <v>1561</v>
      </c>
    </row>
    <row r="10" spans="1:20">
      <c r="G10" s="372" t="s">
        <v>1562</v>
      </c>
    </row>
    <row r="11" spans="1:20">
      <c r="G11" s="372" t="s">
        <v>1563</v>
      </c>
    </row>
    <row r="12" spans="1:20">
      <c r="G12" s="372" t="s">
        <v>1564</v>
      </c>
    </row>
    <row r="13" spans="1:20">
      <c r="G13" s="372" t="s">
        <v>1565</v>
      </c>
    </row>
    <row r="15" spans="1:20">
      <c r="H15" s="391"/>
      <c r="I15" s="391" t="s">
        <v>1566</v>
      </c>
      <c r="J15" s="392"/>
      <c r="L15" s="393" t="s">
        <v>1567</v>
      </c>
      <c r="M15" s="394"/>
      <c r="N15" s="394" t="s">
        <v>1568</v>
      </c>
      <c r="O15" s="395"/>
      <c r="P15" s="396" t="s">
        <v>1569</v>
      </c>
      <c r="Q15" s="395" t="s">
        <v>1570</v>
      </c>
      <c r="R15" s="396" t="s">
        <v>1571</v>
      </c>
      <c r="S15" s="397" t="s">
        <v>1572</v>
      </c>
    </row>
    <row r="16" spans="1:20">
      <c r="H16" s="391" t="s">
        <v>1573</v>
      </c>
      <c r="I16" s="391" t="s">
        <v>1574</v>
      </c>
      <c r="J16" s="399" t="s">
        <v>1575</v>
      </c>
      <c r="K16" s="400" t="s">
        <v>1576</v>
      </c>
      <c r="L16" s="401" t="s">
        <v>1577</v>
      </c>
      <c r="M16" s="394" t="s">
        <v>1578</v>
      </c>
      <c r="N16" s="394" t="s">
        <v>1579</v>
      </c>
      <c r="O16" s="395" t="s">
        <v>1580</v>
      </c>
      <c r="P16" s="402" t="s">
        <v>1581</v>
      </c>
      <c r="Q16" s="397" t="s">
        <v>1582</v>
      </c>
      <c r="R16" s="402" t="s">
        <v>1581</v>
      </c>
      <c r="S16" s="397" t="s">
        <v>1583</v>
      </c>
      <c r="T16" s="402" t="s">
        <v>1584</v>
      </c>
    </row>
    <row r="17" spans="2:19">
      <c r="J17" s="403"/>
      <c r="K17" s="400"/>
      <c r="L17" s="393"/>
      <c r="M17" s="404"/>
      <c r="N17" s="404"/>
      <c r="O17" s="405"/>
      <c r="P17" s="406"/>
      <c r="Q17" s="393"/>
      <c r="S17" s="393"/>
    </row>
    <row r="18" spans="2:19" s="408" customFormat="1">
      <c r="B18" s="408" t="s">
        <v>1585</v>
      </c>
      <c r="H18" s="408">
        <f>SUM(H19:H58)</f>
        <v>86</v>
      </c>
      <c r="I18" s="408">
        <f>SUM(I19:I58)</f>
        <v>133</v>
      </c>
      <c r="L18" s="409"/>
      <c r="M18" s="410">
        <f>SUM(M19:M58)</f>
        <v>0.34126984126984122</v>
      </c>
      <c r="N18" s="410">
        <f t="shared" ref="N18:O18" si="0">SUM(N19:N58)</f>
        <v>0.52777777777777768</v>
      </c>
      <c r="O18" s="410">
        <f t="shared" si="0"/>
        <v>0</v>
      </c>
      <c r="P18" s="411">
        <f>SUM(P19+P20+P25+P28+P34+P39+P44+P48+P52+P55)</f>
        <v>288831.25199999998</v>
      </c>
      <c r="Q18" s="409"/>
      <c r="S18" s="409"/>
    </row>
    <row r="19" spans="2:19" s="412" customFormat="1">
      <c r="C19" s="412" t="s">
        <v>1586</v>
      </c>
      <c r="H19" s="412">
        <v>2</v>
      </c>
      <c r="I19" s="412">
        <v>5</v>
      </c>
      <c r="J19" s="400"/>
      <c r="K19" s="400"/>
      <c r="L19" s="413"/>
      <c r="M19" s="414">
        <f>H19/$O$5</f>
        <v>7.9365079365079361E-3</v>
      </c>
      <c r="N19" s="414">
        <f>I19/$O$5</f>
        <v>1.984126984126984E-2</v>
      </c>
      <c r="O19" s="415"/>
      <c r="P19" s="416">
        <f>$M19*$O$7+$N19*$P$7+$O19*$Q$7</f>
        <v>8954.003999999999</v>
      </c>
      <c r="Q19" s="429"/>
      <c r="S19" s="413"/>
    </row>
    <row r="20" spans="2:19" s="412" customFormat="1">
      <c r="C20" s="412" t="s">
        <v>1382</v>
      </c>
      <c r="J20" s="403"/>
      <c r="K20" s="400"/>
      <c r="L20" s="413"/>
      <c r="M20" s="414"/>
      <c r="N20" s="414"/>
      <c r="O20" s="415"/>
      <c r="P20" s="416">
        <f>SUM(P21:P24)</f>
        <v>28777.656000000003</v>
      </c>
      <c r="Q20" s="417"/>
      <c r="S20" s="413"/>
    </row>
    <row r="21" spans="2:19">
      <c r="D21" s="372" t="s">
        <v>1383</v>
      </c>
      <c r="H21" s="372">
        <v>2</v>
      </c>
      <c r="I21" s="372">
        <v>4</v>
      </c>
      <c r="J21" s="403"/>
      <c r="K21" s="400"/>
      <c r="L21" s="393"/>
      <c r="M21" s="404">
        <f t="shared" ref="M21:M24" si="1">H21/$O$5</f>
        <v>7.9365079365079361E-3</v>
      </c>
      <c r="N21" s="404">
        <f>I21/$O$5</f>
        <v>1.5873015873015872E-2</v>
      </c>
      <c r="O21" s="405"/>
      <c r="P21" s="406">
        <f>$M21*$O$7+$N21*$P$7+$O21*$Q$7</f>
        <v>7780.9439999999995</v>
      </c>
      <c r="Q21" s="393"/>
      <c r="S21" s="393"/>
    </row>
    <row r="22" spans="2:19">
      <c r="D22" s="372" t="s">
        <v>1384</v>
      </c>
      <c r="H22" s="372">
        <v>2</v>
      </c>
      <c r="I22" s="372">
        <v>3</v>
      </c>
      <c r="J22" s="403"/>
      <c r="K22" s="400"/>
      <c r="L22" s="393"/>
      <c r="M22" s="404">
        <f t="shared" si="1"/>
        <v>7.9365079365079361E-3</v>
      </c>
      <c r="N22" s="404">
        <f>I22/$O$5</f>
        <v>1.1904761904761904E-2</v>
      </c>
      <c r="O22" s="405"/>
      <c r="P22" s="406">
        <f>$M22*$O$7+$N22*$P$7+$O22*$Q$7</f>
        <v>6607.884</v>
      </c>
      <c r="Q22" s="393"/>
      <c r="S22" s="393"/>
    </row>
    <row r="23" spans="2:19">
      <c r="D23" s="372" t="s">
        <v>1385</v>
      </c>
      <c r="H23" s="372">
        <v>2</v>
      </c>
      <c r="I23" s="372">
        <v>2</v>
      </c>
      <c r="J23" s="403"/>
      <c r="K23" s="400"/>
      <c r="L23" s="393"/>
      <c r="M23" s="404">
        <f t="shared" si="1"/>
        <v>7.9365079365079361E-3</v>
      </c>
      <c r="N23" s="404">
        <f>I23/$O$5</f>
        <v>7.9365079365079361E-3</v>
      </c>
      <c r="O23" s="405"/>
      <c r="P23" s="406">
        <f>$M23*$O$7+$N23*$P$7+$O23*$Q$7</f>
        <v>5434.8240000000005</v>
      </c>
      <c r="Q23" s="393"/>
      <c r="S23" s="393"/>
    </row>
    <row r="24" spans="2:19">
      <c r="D24" s="372" t="s">
        <v>1386</v>
      </c>
      <c r="H24" s="372">
        <v>2</v>
      </c>
      <c r="I24" s="372">
        <v>5</v>
      </c>
      <c r="J24" s="403"/>
      <c r="K24" s="400"/>
      <c r="L24" s="393"/>
      <c r="M24" s="404">
        <f t="shared" si="1"/>
        <v>7.9365079365079361E-3</v>
      </c>
      <c r="N24" s="404">
        <f>I24/$O$5</f>
        <v>1.984126984126984E-2</v>
      </c>
      <c r="O24" s="405"/>
      <c r="P24" s="406">
        <f>$M24*$O$7+$N24*$P$7+$O24*$Q$7</f>
        <v>8954.003999999999</v>
      </c>
      <c r="Q24" s="393"/>
      <c r="S24" s="393"/>
    </row>
    <row r="25" spans="2:19" s="412" customFormat="1">
      <c r="C25" s="412" t="s">
        <v>1387</v>
      </c>
      <c r="J25" s="403"/>
      <c r="K25" s="400"/>
      <c r="L25" s="413"/>
      <c r="M25" s="414"/>
      <c r="N25" s="414"/>
      <c r="O25" s="415"/>
      <c r="P25" s="416">
        <f>SUM(P26:P27)</f>
        <v>27174.12</v>
      </c>
      <c r="Q25" s="417"/>
      <c r="S25" s="413"/>
    </row>
    <row r="26" spans="2:19">
      <c r="D26" s="372" t="s">
        <v>1388</v>
      </c>
      <c r="H26" s="372">
        <v>10</v>
      </c>
      <c r="J26" s="403"/>
      <c r="K26" s="400"/>
      <c r="L26" s="393"/>
      <c r="M26" s="404">
        <f>H26/$O$5</f>
        <v>3.968253968253968E-2</v>
      </c>
      <c r="N26" s="404"/>
      <c r="O26" s="405"/>
      <c r="P26" s="406">
        <f>$M26*$O$7+$N26*$P$7+$O26*$Q$7</f>
        <v>15443.52</v>
      </c>
      <c r="Q26" s="393"/>
      <c r="S26" s="393"/>
    </row>
    <row r="27" spans="2:19">
      <c r="D27" s="372" t="s">
        <v>1389</v>
      </c>
      <c r="I27" s="372">
        <v>10</v>
      </c>
      <c r="J27" s="403"/>
      <c r="K27" s="400"/>
      <c r="L27" s="393"/>
      <c r="M27" s="404"/>
      <c r="N27" s="404">
        <f>I27/$O$5</f>
        <v>3.968253968253968E-2</v>
      </c>
      <c r="O27" s="405"/>
      <c r="P27" s="406">
        <f>$M27*$O$7+$N27*$P$7+$O27*$Q$7</f>
        <v>11730.599999999999</v>
      </c>
      <c r="Q27" s="393"/>
      <c r="S27" s="393"/>
    </row>
    <row r="28" spans="2:19" s="412" customFormat="1">
      <c r="C28" s="412" t="s">
        <v>1390</v>
      </c>
      <c r="J28" s="403"/>
      <c r="K28" s="400"/>
      <c r="L28" s="413"/>
      <c r="M28" s="414"/>
      <c r="N28" s="414"/>
      <c r="O28" s="415"/>
      <c r="P28" s="416">
        <f>SUM(P29:P33)</f>
        <v>15249.779999999997</v>
      </c>
      <c r="Q28" s="417"/>
      <c r="S28" s="413"/>
    </row>
    <row r="29" spans="2:19">
      <c r="D29" s="372" t="s">
        <v>1391</v>
      </c>
      <c r="I29" s="372">
        <v>5</v>
      </c>
      <c r="J29" s="403"/>
      <c r="K29" s="400"/>
      <c r="L29" s="393"/>
      <c r="M29" s="404"/>
      <c r="N29" s="404">
        <f>I29/$O$5</f>
        <v>1.984126984126984E-2</v>
      </c>
      <c r="O29" s="405"/>
      <c r="P29" s="406">
        <f>$M29*$O$7+$N29*$P$7+$O29*$Q$7</f>
        <v>5865.2999999999993</v>
      </c>
      <c r="Q29" s="393"/>
      <c r="S29" s="393"/>
    </row>
    <row r="30" spans="2:19">
      <c r="D30" s="372" t="s">
        <v>1392</v>
      </c>
      <c r="I30" s="372">
        <v>5</v>
      </c>
      <c r="J30" s="403"/>
      <c r="K30" s="400"/>
      <c r="L30" s="393"/>
      <c r="M30" s="404"/>
      <c r="N30" s="404">
        <f>I30/$O$5</f>
        <v>1.984126984126984E-2</v>
      </c>
      <c r="O30" s="405"/>
      <c r="P30" s="406">
        <f>$M30*$O$7+$N30*$P$7+$O30*$Q$7</f>
        <v>5865.2999999999993</v>
      </c>
      <c r="Q30" s="393"/>
      <c r="S30" s="393"/>
    </row>
    <row r="31" spans="2:19">
      <c r="D31" s="372" t="s">
        <v>1393</v>
      </c>
      <c r="I31" s="372">
        <v>1</v>
      </c>
      <c r="J31" s="403"/>
      <c r="K31" s="400"/>
      <c r="L31" s="393"/>
      <c r="M31" s="404"/>
      <c r="N31" s="404">
        <f>I31/$O$5</f>
        <v>3.968253968253968E-3</v>
      </c>
      <c r="O31" s="405"/>
      <c r="P31" s="406">
        <f>$M31*$O$7+$N31*$P$7+$O31*$Q$7</f>
        <v>1173.06</v>
      </c>
      <c r="Q31" s="393"/>
      <c r="S31" s="393"/>
    </row>
    <row r="32" spans="2:19">
      <c r="D32" s="372" t="s">
        <v>1394</v>
      </c>
      <c r="I32" s="372">
        <v>1</v>
      </c>
      <c r="J32" s="403"/>
      <c r="K32" s="400"/>
      <c r="L32" s="393"/>
      <c r="M32" s="404"/>
      <c r="N32" s="404">
        <f>I32/$O$5</f>
        <v>3.968253968253968E-3</v>
      </c>
      <c r="O32" s="405"/>
      <c r="P32" s="406">
        <f>$M32*$O$7+$N32*$P$7+$O32*$Q$7</f>
        <v>1173.06</v>
      </c>
      <c r="Q32" s="393"/>
      <c r="S32" s="393"/>
    </row>
    <row r="33" spans="3:19">
      <c r="D33" s="372" t="s">
        <v>1587</v>
      </c>
      <c r="I33" s="372">
        <v>1</v>
      </c>
      <c r="J33" s="403"/>
      <c r="K33" s="400"/>
      <c r="L33" s="393"/>
      <c r="M33" s="404"/>
      <c r="N33" s="404">
        <f>I33/$O$5</f>
        <v>3.968253968253968E-3</v>
      </c>
      <c r="O33" s="405"/>
      <c r="P33" s="406">
        <f>$M33*$O$7+$N33*$P$7+$O33*$Q$7</f>
        <v>1173.06</v>
      </c>
      <c r="Q33" s="393"/>
      <c r="S33" s="393"/>
    </row>
    <row r="34" spans="3:19" s="412" customFormat="1">
      <c r="C34" s="412" t="s">
        <v>1395</v>
      </c>
      <c r="J34" s="403"/>
      <c r="K34" s="400"/>
      <c r="L34" s="413"/>
      <c r="M34" s="414"/>
      <c r="N34" s="414"/>
      <c r="O34" s="415"/>
      <c r="P34" s="416">
        <f>SUM(P35:P38)</f>
        <v>37731.659999999996</v>
      </c>
      <c r="Q34" s="417"/>
      <c r="S34" s="413"/>
    </row>
    <row r="35" spans="3:19">
      <c r="D35" s="372" t="s">
        <v>1396</v>
      </c>
      <c r="H35" s="372">
        <v>4</v>
      </c>
      <c r="I35" s="372">
        <v>10</v>
      </c>
      <c r="J35" s="403"/>
      <c r="K35" s="400"/>
      <c r="L35" s="393"/>
      <c r="M35" s="404">
        <f>H35/$O$5</f>
        <v>1.5873015873015872E-2</v>
      </c>
      <c r="N35" s="404">
        <f>I35/$O$5</f>
        <v>3.968253968253968E-2</v>
      </c>
      <c r="O35" s="405"/>
      <c r="P35" s="419">
        <f>$M35*$O$7+$N35*$P$7+$O35*$Q$7</f>
        <v>17908.007999999998</v>
      </c>
      <c r="Q35" s="393"/>
      <c r="S35" s="393"/>
    </row>
    <row r="36" spans="3:19">
      <c r="D36" s="372" t="s">
        <v>1397</v>
      </c>
      <c r="I36" s="372">
        <v>2</v>
      </c>
      <c r="J36" s="403"/>
      <c r="K36" s="400"/>
      <c r="L36" s="393"/>
      <c r="M36" s="404"/>
      <c r="N36" s="404">
        <f>I36/$O$5</f>
        <v>7.9365079365079361E-3</v>
      </c>
      <c r="O36" s="405"/>
      <c r="P36" s="419">
        <f>$M36*$O$7+$N36*$P$7+$O36*$Q$7</f>
        <v>2346.12</v>
      </c>
      <c r="Q36" s="393"/>
      <c r="S36" s="393"/>
    </row>
    <row r="37" spans="3:19">
      <c r="D37" s="372" t="s">
        <v>1398</v>
      </c>
      <c r="H37" s="372">
        <v>4</v>
      </c>
      <c r="I37" s="372">
        <v>3</v>
      </c>
      <c r="J37" s="403"/>
      <c r="K37" s="400"/>
      <c r="L37" s="393"/>
      <c r="M37" s="404">
        <f>H37/$O$5</f>
        <v>1.5873015873015872E-2</v>
      </c>
      <c r="N37" s="404">
        <f>I37/$O$5</f>
        <v>1.1904761904761904E-2</v>
      </c>
      <c r="O37" s="405"/>
      <c r="P37" s="419">
        <f>$M37*$O$7+$N37*$P$7+$O37*$Q$7</f>
        <v>9696.5879999999997</v>
      </c>
      <c r="Q37" s="393"/>
      <c r="S37" s="393"/>
    </row>
    <row r="38" spans="3:19">
      <c r="D38" s="372" t="s">
        <v>1399</v>
      </c>
      <c r="H38" s="372">
        <v>2</v>
      </c>
      <c r="I38" s="372">
        <v>4</v>
      </c>
      <c r="J38" s="403"/>
      <c r="K38" s="400"/>
      <c r="L38" s="393"/>
      <c r="M38" s="404">
        <f>H38/$O$5</f>
        <v>7.9365079365079361E-3</v>
      </c>
      <c r="N38" s="404">
        <f>I38/$O$5</f>
        <v>1.5873015873015872E-2</v>
      </c>
      <c r="O38" s="405"/>
      <c r="P38" s="419">
        <f>$M38*$O$7+$N38*$P$7+$O38*$Q$7</f>
        <v>7780.9439999999995</v>
      </c>
      <c r="Q38" s="393"/>
      <c r="S38" s="393"/>
    </row>
    <row r="39" spans="3:19" s="412" customFormat="1">
      <c r="C39" s="412" t="s">
        <v>1400</v>
      </c>
      <c r="J39" s="403"/>
      <c r="K39" s="400"/>
      <c r="L39" s="413"/>
      <c r="M39" s="414"/>
      <c r="N39" s="414"/>
      <c r="O39" s="415"/>
      <c r="P39" s="416">
        <f>SUM(P40:P43)</f>
        <v>31123.775999999998</v>
      </c>
      <c r="Q39" s="413"/>
      <c r="S39" s="413"/>
    </row>
    <row r="40" spans="3:19">
      <c r="D40" s="372" t="s">
        <v>1401</v>
      </c>
      <c r="H40" s="372">
        <v>4</v>
      </c>
      <c r="I40" s="372">
        <v>10</v>
      </c>
      <c r="J40" s="403"/>
      <c r="K40" s="400"/>
      <c r="L40" s="393"/>
      <c r="M40" s="404">
        <f>H40/$O$5</f>
        <v>1.5873015873015872E-2</v>
      </c>
      <c r="N40" s="404">
        <f>I40/$O$5</f>
        <v>3.968253968253968E-2</v>
      </c>
      <c r="O40" s="405"/>
      <c r="P40" s="419">
        <f>$M40*$O$7+$N40*$P$7+$O40*$Q$7</f>
        <v>17908.007999999998</v>
      </c>
      <c r="Q40" s="393"/>
      <c r="S40" s="393"/>
    </row>
    <row r="41" spans="3:19">
      <c r="D41" s="372" t="s">
        <v>1402</v>
      </c>
      <c r="I41" s="372">
        <v>2</v>
      </c>
      <c r="J41" s="403"/>
      <c r="K41" s="400"/>
      <c r="L41" s="393"/>
      <c r="M41" s="404"/>
      <c r="N41" s="404">
        <f>I41/$O$5</f>
        <v>7.9365079365079361E-3</v>
      </c>
      <c r="O41" s="405"/>
      <c r="P41" s="419">
        <f>$M41*$O$7+$N41*$P$7+$O41*$Q$7</f>
        <v>2346.12</v>
      </c>
      <c r="Q41" s="393"/>
      <c r="S41" s="393"/>
    </row>
    <row r="42" spans="3:19">
      <c r="D42" s="372" t="s">
        <v>1403</v>
      </c>
      <c r="H42" s="372">
        <v>4</v>
      </c>
      <c r="I42" s="372">
        <v>3</v>
      </c>
      <c r="J42" s="403"/>
      <c r="K42" s="400"/>
      <c r="L42" s="393"/>
      <c r="M42" s="404">
        <f>H42/$O$5</f>
        <v>1.5873015873015872E-2</v>
      </c>
      <c r="N42" s="404">
        <f>I42/$O$5</f>
        <v>1.1904761904761904E-2</v>
      </c>
      <c r="O42" s="405"/>
      <c r="P42" s="419">
        <f>$M42*$O$7+$N42*$P$7+$O42*$Q$7</f>
        <v>9696.5879999999997</v>
      </c>
      <c r="Q42" s="393"/>
      <c r="S42" s="393"/>
    </row>
    <row r="43" spans="3:19">
      <c r="D43" s="372" t="s">
        <v>1404</v>
      </c>
      <c r="I43" s="372">
        <v>1</v>
      </c>
      <c r="J43" s="403"/>
      <c r="K43" s="400"/>
      <c r="L43" s="393"/>
      <c r="M43" s="404"/>
      <c r="N43" s="404">
        <f>I43/$O$5</f>
        <v>3.968253968253968E-3</v>
      </c>
      <c r="O43" s="405"/>
      <c r="P43" s="419">
        <f>$M43*$O$7+$N43*$P$7+$O43*$Q$7</f>
        <v>1173.06</v>
      </c>
      <c r="Q43" s="393"/>
      <c r="S43" s="393"/>
    </row>
    <row r="44" spans="3:19" s="412" customFormat="1">
      <c r="C44" s="412" t="s">
        <v>1405</v>
      </c>
      <c r="J44" s="403"/>
      <c r="K44" s="400"/>
      <c r="L44" s="413"/>
      <c r="M44" s="414"/>
      <c r="N44" s="414"/>
      <c r="O44" s="415"/>
      <c r="P44" s="416">
        <f>SUM(P45:P47)</f>
        <v>27292.487999999998</v>
      </c>
      <c r="Q44" s="413"/>
      <c r="S44" s="413"/>
    </row>
    <row r="45" spans="3:19">
      <c r="D45" s="372" t="s">
        <v>1406</v>
      </c>
      <c r="H45" s="372">
        <v>4</v>
      </c>
      <c r="I45" s="372">
        <v>15</v>
      </c>
      <c r="J45" s="403"/>
      <c r="K45" s="400"/>
      <c r="L45" s="393"/>
      <c r="M45" s="404">
        <f>H45/$O$5</f>
        <v>1.5873015873015872E-2</v>
      </c>
      <c r="N45" s="404">
        <f>I45/$O$5</f>
        <v>5.9523809523809521E-2</v>
      </c>
      <c r="O45" s="405"/>
      <c r="P45" s="419">
        <f>$M45*$O$7+$N45*$P$7+$O45*$Q$7</f>
        <v>23773.307999999997</v>
      </c>
      <c r="Q45" s="393"/>
      <c r="S45" s="393"/>
    </row>
    <row r="46" spans="3:19">
      <c r="D46" s="372" t="s">
        <v>1407</v>
      </c>
      <c r="I46" s="372">
        <v>2</v>
      </c>
      <c r="J46" s="403"/>
      <c r="K46" s="400"/>
      <c r="L46" s="393"/>
      <c r="M46" s="404"/>
      <c r="N46" s="404">
        <f>I46/$O$5</f>
        <v>7.9365079365079361E-3</v>
      </c>
      <c r="O46" s="405"/>
      <c r="P46" s="419">
        <f>$M46*$O$7+$N46*$P$7+$O46*$Q$7</f>
        <v>2346.12</v>
      </c>
      <c r="Q46" s="393"/>
      <c r="S46" s="393"/>
    </row>
    <row r="47" spans="3:19">
      <c r="D47" s="372" t="s">
        <v>1588</v>
      </c>
      <c r="I47" s="372">
        <v>1</v>
      </c>
      <c r="J47" s="403"/>
      <c r="K47" s="400"/>
      <c r="L47" s="393"/>
      <c r="M47" s="404"/>
      <c r="N47" s="404">
        <f>I47/$O$5</f>
        <v>3.968253968253968E-3</v>
      </c>
      <c r="O47" s="405"/>
      <c r="P47" s="419">
        <f>$M47*$O$7+$N47*$P$7+$O47*$Q$7</f>
        <v>1173.06</v>
      </c>
      <c r="Q47" s="393"/>
      <c r="S47" s="393"/>
    </row>
    <row r="48" spans="3:19" s="412" customFormat="1">
      <c r="C48" s="412" t="s">
        <v>1589</v>
      </c>
      <c r="J48" s="403"/>
      <c r="K48" s="400"/>
      <c r="L48" s="413"/>
      <c r="M48" s="414"/>
      <c r="N48" s="414"/>
      <c r="O48" s="415"/>
      <c r="P48" s="416">
        <f>SUM(P49:P51)</f>
        <v>43849.883999999991</v>
      </c>
      <c r="Q48" s="413"/>
      <c r="S48" s="413"/>
    </row>
    <row r="49" spans="2:21">
      <c r="D49" s="372" t="s">
        <v>1408</v>
      </c>
      <c r="H49" s="372">
        <v>15</v>
      </c>
      <c r="J49" s="403"/>
      <c r="K49" s="400"/>
      <c r="L49" s="393"/>
      <c r="M49" s="404">
        <f>H49/$O$5</f>
        <v>5.9523809523809521E-2</v>
      </c>
      <c r="N49" s="407"/>
      <c r="O49" s="405"/>
      <c r="P49" s="419">
        <f>$M49*$O$7+$N49*$P$7+$O49*$Q$7</f>
        <v>23165.279999999999</v>
      </c>
      <c r="Q49" s="393"/>
      <c r="S49" s="393"/>
    </row>
    <row r="50" spans="2:21">
      <c r="D50" s="372" t="s">
        <v>1409</v>
      </c>
      <c r="H50" s="372">
        <v>2</v>
      </c>
      <c r="I50" s="372">
        <v>10</v>
      </c>
      <c r="J50" s="403"/>
      <c r="K50" s="400"/>
      <c r="L50" s="393"/>
      <c r="M50" s="404">
        <f>H50/$O$5</f>
        <v>7.9365079365079361E-3</v>
      </c>
      <c r="N50" s="404">
        <f t="shared" ref="N50:N51" si="2">I50/$O$5</f>
        <v>3.968253968253968E-2</v>
      </c>
      <c r="O50" s="405"/>
      <c r="P50" s="419">
        <f>$M50*$O$7+$N50*$P$7+$O50*$Q$7</f>
        <v>14819.303999999998</v>
      </c>
      <c r="Q50" s="393"/>
      <c r="S50" s="393"/>
    </row>
    <row r="51" spans="2:21">
      <c r="D51" s="372" t="s">
        <v>1410</v>
      </c>
      <c r="I51" s="372">
        <v>5</v>
      </c>
      <c r="J51" s="403"/>
      <c r="K51" s="400"/>
      <c r="L51" s="393"/>
      <c r="M51" s="407"/>
      <c r="N51" s="404">
        <f t="shared" si="2"/>
        <v>1.984126984126984E-2</v>
      </c>
      <c r="O51" s="405"/>
      <c r="P51" s="419">
        <f>$M51*$O$7+$N51*$P$7+$O51*$Q$7</f>
        <v>5865.2999999999993</v>
      </c>
      <c r="Q51" s="393"/>
      <c r="S51" s="393"/>
    </row>
    <row r="52" spans="2:21" s="412" customFormat="1">
      <c r="C52" s="412" t="s">
        <v>1411</v>
      </c>
      <c r="J52" s="403"/>
      <c r="K52" s="400"/>
      <c r="L52" s="413"/>
      <c r="M52" s="414"/>
      <c r="N52" s="414"/>
      <c r="O52" s="415"/>
      <c r="P52" s="416">
        <f>SUM(P53:P54)</f>
        <v>20194.944</v>
      </c>
      <c r="Q52" s="413"/>
      <c r="S52" s="413"/>
    </row>
    <row r="53" spans="2:21">
      <c r="D53" s="372" t="s">
        <v>1412</v>
      </c>
      <c r="H53" s="372">
        <v>7</v>
      </c>
      <c r="J53" s="403"/>
      <c r="K53" s="400"/>
      <c r="L53" s="393"/>
      <c r="M53" s="404">
        <f>H53/$O$5</f>
        <v>2.7777777777777776E-2</v>
      </c>
      <c r="N53" s="407"/>
      <c r="O53" s="405"/>
      <c r="P53" s="419">
        <f>$M53*$O$7+$N53*$P$7+$O53*$Q$7</f>
        <v>10810.464</v>
      </c>
      <c r="Q53" s="393"/>
      <c r="S53" s="393"/>
    </row>
    <row r="54" spans="2:21">
      <c r="D54" s="372" t="s">
        <v>1413</v>
      </c>
      <c r="I54" s="372">
        <v>8</v>
      </c>
      <c r="J54" s="403"/>
      <c r="K54" s="400"/>
      <c r="L54" s="393"/>
      <c r="M54" s="407"/>
      <c r="N54" s="404">
        <f>I54/$O$5</f>
        <v>3.1746031746031744E-2</v>
      </c>
      <c r="O54" s="405"/>
      <c r="P54" s="419">
        <f>$M54*$O$7+$N54*$P$7+$O54*$Q$7</f>
        <v>9384.48</v>
      </c>
      <c r="Q54" s="393"/>
      <c r="S54" s="393"/>
    </row>
    <row r="55" spans="2:21" s="412" customFormat="1">
      <c r="C55" s="412" t="s">
        <v>1414</v>
      </c>
      <c r="J55" s="403"/>
      <c r="K55" s="400"/>
      <c r="L55" s="413"/>
      <c r="M55" s="414"/>
      <c r="N55" s="414"/>
      <c r="O55" s="415"/>
      <c r="P55" s="416">
        <f>SUM(P56:P57)</f>
        <v>48482.94</v>
      </c>
      <c r="Q55" s="413"/>
      <c r="S55" s="413"/>
    </row>
    <row r="56" spans="2:21">
      <c r="D56" s="372" t="s">
        <v>1415</v>
      </c>
      <c r="H56" s="372">
        <v>20</v>
      </c>
      <c r="J56" s="403"/>
      <c r="K56" s="400"/>
      <c r="L56" s="393"/>
      <c r="M56" s="404">
        <f>H56/$O$5</f>
        <v>7.9365079365079361E-2</v>
      </c>
      <c r="N56" s="407"/>
      <c r="O56" s="405"/>
      <c r="P56" s="419">
        <f>$M56*$O$7+$N56*$P$7+$O56*$Q$7</f>
        <v>30887.040000000001</v>
      </c>
      <c r="Q56" s="393"/>
      <c r="S56" s="393"/>
    </row>
    <row r="57" spans="2:21">
      <c r="D57" s="372" t="s">
        <v>1416</v>
      </c>
      <c r="I57" s="372">
        <v>15</v>
      </c>
      <c r="J57" s="403"/>
      <c r="K57" s="400"/>
      <c r="L57" s="393"/>
      <c r="M57" s="407"/>
      <c r="N57" s="404">
        <f>I57/$O$5</f>
        <v>5.9523809523809521E-2</v>
      </c>
      <c r="O57" s="405"/>
      <c r="P57" s="419">
        <f>$M57*$O$7+$N57*$P$7+$O57*$Q$7</f>
        <v>17595.899999999998</v>
      </c>
      <c r="Q57" s="393"/>
      <c r="S57" s="393"/>
      <c r="U57" s="520"/>
    </row>
    <row r="58" spans="2:21">
      <c r="J58" s="403"/>
      <c r="K58" s="400"/>
      <c r="L58" s="393"/>
      <c r="M58" s="407"/>
      <c r="N58" s="404"/>
      <c r="O58" s="405"/>
      <c r="P58" s="421"/>
      <c r="Q58" s="393"/>
      <c r="S58" s="393"/>
    </row>
    <row r="59" spans="2:21" s="408" customFormat="1">
      <c r="B59" s="408" t="s">
        <v>1590</v>
      </c>
      <c r="J59" s="408">
        <f>SUM(J60:J78)</f>
        <v>19</v>
      </c>
      <c r="L59" s="409"/>
      <c r="M59" s="408">
        <f>SUM(M60:M80)</f>
        <v>3.968253968253968E-3</v>
      </c>
      <c r="N59" s="408">
        <f t="shared" ref="N59:O59" si="3">SUM(N60:N80)</f>
        <v>0</v>
      </c>
      <c r="O59" s="408">
        <f t="shared" si="3"/>
        <v>0.13492063492063491</v>
      </c>
      <c r="P59" s="411">
        <f>SUM(P60+P63+P65+P67+P69+P72+P75)</f>
        <v>33096.351999999999</v>
      </c>
      <c r="Q59" s="423">
        <f>SUM(Q60+Q63+Q65+Q67+Q69+Q72+Q75)*$I$8</f>
        <v>70825</v>
      </c>
      <c r="S59" s="409"/>
    </row>
    <row r="60" spans="2:21" s="412" customFormat="1">
      <c r="C60" s="412" t="s">
        <v>1591</v>
      </c>
      <c r="J60" s="400"/>
      <c r="K60" s="400"/>
      <c r="L60" s="413"/>
      <c r="O60" s="413"/>
      <c r="P60" s="416">
        <f>SUM(P61:P62)</f>
        <v>6184.3519999999999</v>
      </c>
      <c r="Q60" s="417">
        <f>SUM(Q61:Q62)</f>
        <v>8500</v>
      </c>
      <c r="S60" s="413"/>
    </row>
    <row r="61" spans="2:21">
      <c r="D61" s="372" t="s">
        <v>1592</v>
      </c>
      <c r="J61" s="403"/>
      <c r="K61" s="400"/>
      <c r="L61" s="393"/>
      <c r="M61" s="404"/>
      <c r="N61" s="404"/>
      <c r="O61" s="405"/>
      <c r="P61" s="406"/>
      <c r="Q61" s="418">
        <v>8000</v>
      </c>
      <c r="S61" s="393"/>
      <c r="T61" s="372" t="s">
        <v>1593</v>
      </c>
    </row>
    <row r="62" spans="2:21">
      <c r="D62" s="372" t="s">
        <v>1594</v>
      </c>
      <c r="H62" s="372">
        <v>1</v>
      </c>
      <c r="J62" s="403">
        <v>5</v>
      </c>
      <c r="K62" s="400">
        <v>1</v>
      </c>
      <c r="L62" s="393">
        <f>J62*K62</f>
        <v>5</v>
      </c>
      <c r="M62" s="404">
        <f>H62/$O$5</f>
        <v>3.968253968253968E-3</v>
      </c>
      <c r="N62" s="404"/>
      <c r="O62" s="405">
        <f>L62/$O$5</f>
        <v>1.984126984126984E-2</v>
      </c>
      <c r="P62" s="406">
        <f>$M62*$O$7+$N62*$P$7+$O62*$Q$7</f>
        <v>6184.3519999999999</v>
      </c>
      <c r="Q62" s="418">
        <v>500</v>
      </c>
      <c r="S62" s="393"/>
      <c r="T62" s="372" t="s">
        <v>1595</v>
      </c>
    </row>
    <row r="63" spans="2:21" s="412" customFormat="1">
      <c r="C63" s="412" t="s">
        <v>1596</v>
      </c>
      <c r="J63" s="400"/>
      <c r="K63" s="400"/>
      <c r="L63" s="413"/>
      <c r="O63" s="413"/>
      <c r="P63" s="416">
        <f>SUM(P64)</f>
        <v>4640</v>
      </c>
      <c r="Q63" s="417">
        <f>SUM(Q64)</f>
        <v>5000</v>
      </c>
      <c r="S63" s="413"/>
    </row>
    <row r="64" spans="2:21">
      <c r="D64" s="372" t="s">
        <v>1597</v>
      </c>
      <c r="J64" s="403">
        <v>5</v>
      </c>
      <c r="K64" s="400">
        <v>1</v>
      </c>
      <c r="L64" s="393">
        <f>J64*K64</f>
        <v>5</v>
      </c>
      <c r="M64" s="404"/>
      <c r="N64" s="404"/>
      <c r="O64" s="405">
        <f>L64/$O$5</f>
        <v>1.984126984126984E-2</v>
      </c>
      <c r="P64" s="406">
        <f>$M64*$O$7+$N64*$P$7+$O64*$Q$7</f>
        <v>4640</v>
      </c>
      <c r="Q64" s="418">
        <v>5000</v>
      </c>
      <c r="R64" s="406"/>
      <c r="S64" s="418"/>
      <c r="T64" s="372" t="s">
        <v>1593</v>
      </c>
    </row>
    <row r="65" spans="3:22" s="412" customFormat="1">
      <c r="C65" s="412" t="s">
        <v>1598</v>
      </c>
      <c r="J65" s="400"/>
      <c r="K65" s="400"/>
      <c r="L65" s="413"/>
      <c r="O65" s="413"/>
      <c r="P65" s="416">
        <f>SUM(P66)</f>
        <v>0</v>
      </c>
      <c r="Q65" s="417">
        <f>SUM(Q66)</f>
        <v>3000</v>
      </c>
      <c r="S65" s="413"/>
    </row>
    <row r="66" spans="3:22">
      <c r="D66" s="372" t="s">
        <v>1599</v>
      </c>
      <c r="J66" s="403"/>
      <c r="K66" s="400"/>
      <c r="L66" s="393"/>
      <c r="M66" s="404"/>
      <c r="N66" s="404"/>
      <c r="O66" s="405"/>
      <c r="P66" s="406"/>
      <c r="Q66" s="418">
        <v>3000</v>
      </c>
      <c r="S66" s="418"/>
    </row>
    <row r="67" spans="3:22" s="412" customFormat="1">
      <c r="C67" s="412" t="s">
        <v>1600</v>
      </c>
      <c r="J67" s="400"/>
      <c r="K67" s="400"/>
      <c r="L67" s="413"/>
      <c r="O67" s="413"/>
      <c r="P67" s="416">
        <f>SUM(P68)</f>
        <v>0</v>
      </c>
      <c r="Q67" s="417">
        <f>SUM(Q68)</f>
        <v>1000</v>
      </c>
      <c r="S67" s="413"/>
    </row>
    <row r="68" spans="3:22">
      <c r="D68" s="372" t="s">
        <v>1601</v>
      </c>
      <c r="J68" s="403"/>
      <c r="K68" s="400"/>
      <c r="L68" s="393"/>
      <c r="M68" s="404"/>
      <c r="N68" s="404"/>
      <c r="O68" s="405"/>
      <c r="P68" s="406"/>
      <c r="Q68" s="418">
        <v>1000</v>
      </c>
      <c r="S68" s="418"/>
    </row>
    <row r="69" spans="3:22" s="412" customFormat="1">
      <c r="C69" s="412" t="s">
        <v>1602</v>
      </c>
      <c r="J69" s="400"/>
      <c r="K69" s="400"/>
      <c r="L69" s="413"/>
      <c r="O69" s="413"/>
      <c r="P69" s="416">
        <f>SUM(P70:P71)</f>
        <v>5568</v>
      </c>
      <c r="Q69" s="417">
        <f>SUM(Q70:Q71)</f>
        <v>15000</v>
      </c>
      <c r="S69" s="413"/>
    </row>
    <row r="70" spans="3:22">
      <c r="D70" s="372" t="s">
        <v>1603</v>
      </c>
      <c r="J70" s="403"/>
      <c r="K70" s="400"/>
      <c r="L70" s="393"/>
      <c r="M70" s="407"/>
      <c r="N70" s="407"/>
      <c r="O70" s="405"/>
      <c r="P70" s="406"/>
      <c r="Q70" s="418">
        <v>15000</v>
      </c>
      <c r="S70" s="418"/>
      <c r="T70" s="372" t="s">
        <v>1593</v>
      </c>
    </row>
    <row r="71" spans="3:22">
      <c r="D71" s="372" t="s">
        <v>1604</v>
      </c>
      <c r="J71" s="403">
        <v>3</v>
      </c>
      <c r="K71" s="400">
        <v>2</v>
      </c>
      <c r="L71" s="393">
        <f>J71*K71</f>
        <v>6</v>
      </c>
      <c r="M71" s="407"/>
      <c r="N71" s="407"/>
      <c r="O71" s="405">
        <f>L71/$O$5</f>
        <v>2.3809523809523808E-2</v>
      </c>
      <c r="P71" s="419">
        <f>$M71*$O$7+$N71*$P$7+$O71*$Q$7</f>
        <v>5568</v>
      </c>
      <c r="Q71" s="393"/>
      <c r="S71" s="393"/>
    </row>
    <row r="72" spans="3:22" s="412" customFormat="1">
      <c r="C72" s="412" t="s">
        <v>1605</v>
      </c>
      <c r="J72" s="400"/>
      <c r="K72" s="400"/>
      <c r="L72" s="413"/>
      <c r="O72" s="413"/>
      <c r="P72" s="416">
        <f>SUM(P73:P74)</f>
        <v>3712</v>
      </c>
      <c r="Q72" s="417">
        <f>SUM(Q73:Q74)</f>
        <v>4000</v>
      </c>
      <c r="S72" s="413"/>
    </row>
    <row r="73" spans="3:22">
      <c r="D73" s="372" t="s">
        <v>1606</v>
      </c>
      <c r="J73" s="403"/>
      <c r="K73" s="400"/>
      <c r="L73" s="393"/>
      <c r="M73" s="407"/>
      <c r="N73" s="407"/>
      <c r="O73" s="405"/>
      <c r="P73" s="406"/>
      <c r="Q73" s="418">
        <v>4000</v>
      </c>
      <c r="S73" s="393"/>
    </row>
    <row r="74" spans="3:22">
      <c r="D74" s="372" t="s">
        <v>1607</v>
      </c>
      <c r="J74" s="403">
        <v>2</v>
      </c>
      <c r="K74" s="400">
        <v>2</v>
      </c>
      <c r="L74" s="393">
        <f>J74*K74</f>
        <v>4</v>
      </c>
      <c r="M74" s="407"/>
      <c r="N74" s="407"/>
      <c r="O74" s="405">
        <f>L74/$O$5</f>
        <v>1.5873015873015872E-2</v>
      </c>
      <c r="P74" s="419">
        <f>$M74*$O$7+$N74*$P$7+$O74*$Q$7</f>
        <v>3712</v>
      </c>
      <c r="Q74" s="393"/>
      <c r="S74" s="393"/>
    </row>
    <row r="75" spans="3:22" s="412" customFormat="1">
      <c r="C75" s="412" t="s">
        <v>1608</v>
      </c>
      <c r="J75" s="400"/>
      <c r="K75" s="400"/>
      <c r="L75" s="413"/>
      <c r="O75" s="413"/>
      <c r="P75" s="416">
        <f>SUM(P76:P78)</f>
        <v>12992</v>
      </c>
      <c r="Q75" s="417">
        <f>SUM(Q76:Q78)</f>
        <v>20160.000000000004</v>
      </c>
      <c r="S75" s="413"/>
    </row>
    <row r="76" spans="3:22">
      <c r="D76" s="372" t="s">
        <v>1609</v>
      </c>
      <c r="J76" s="403"/>
      <c r="K76" s="400"/>
      <c r="L76" s="393"/>
      <c r="M76" s="407"/>
      <c r="N76" s="407"/>
      <c r="O76" s="405"/>
      <c r="P76" s="406"/>
      <c r="Q76" s="418">
        <f>15000*$I$5*$I$6</f>
        <v>20160.000000000004</v>
      </c>
      <c r="S76" s="393"/>
      <c r="T76" s="372" t="s">
        <v>1610</v>
      </c>
    </row>
    <row r="77" spans="3:22">
      <c r="D77" s="372" t="s">
        <v>1611</v>
      </c>
      <c r="J77" s="403">
        <v>1</v>
      </c>
      <c r="K77" s="400">
        <v>2</v>
      </c>
      <c r="L77" s="393">
        <f>J77*K77</f>
        <v>2</v>
      </c>
      <c r="M77" s="407"/>
      <c r="N77" s="407"/>
      <c r="O77" s="405">
        <f t="shared" ref="O77:O78" si="4">L77/$O$5</f>
        <v>7.9365079365079361E-3</v>
      </c>
      <c r="P77" s="419">
        <f>$M77*$O$7+$N77*$P$7+$O77*$Q$7</f>
        <v>1856</v>
      </c>
      <c r="Q77" s="393"/>
      <c r="S77" s="393"/>
      <c r="V77" s="520"/>
    </row>
    <row r="78" spans="3:22">
      <c r="D78" s="372" t="s">
        <v>1612</v>
      </c>
      <c r="J78" s="403">
        <v>3</v>
      </c>
      <c r="K78" s="400">
        <v>4</v>
      </c>
      <c r="L78" s="393">
        <f>J78*K78</f>
        <v>12</v>
      </c>
      <c r="M78" s="407"/>
      <c r="N78" s="407"/>
      <c r="O78" s="405">
        <f t="shared" si="4"/>
        <v>4.7619047619047616E-2</v>
      </c>
      <c r="P78" s="419">
        <f>$M78*$O$7+$N78*$P$7+$O78*$Q$7</f>
        <v>11136</v>
      </c>
      <c r="Q78" s="393"/>
      <c r="S78" s="393"/>
      <c r="T78" s="372" t="s">
        <v>1613</v>
      </c>
    </row>
    <row r="79" spans="3:22">
      <c r="J79" s="403"/>
      <c r="K79" s="400"/>
      <c r="L79" s="393"/>
      <c r="M79" s="407"/>
      <c r="N79" s="407"/>
      <c r="O79" s="405"/>
      <c r="P79" s="421"/>
      <c r="Q79" s="393"/>
      <c r="S79" s="393"/>
    </row>
    <row r="80" spans="3:22">
      <c r="J80" s="386"/>
      <c r="K80" s="420"/>
      <c r="L80" s="393"/>
      <c r="M80" s="407"/>
      <c r="N80" s="407"/>
      <c r="O80" s="405"/>
      <c r="P80" s="421"/>
      <c r="Q80" s="393"/>
      <c r="S80" s="393"/>
    </row>
    <row r="81" spans="2:20" s="408" customFormat="1">
      <c r="B81" s="408" t="s">
        <v>1614</v>
      </c>
      <c r="J81" s="422">
        <f>SUM(J84:J127)</f>
        <v>34</v>
      </c>
      <c r="L81" s="409"/>
      <c r="M81" s="410">
        <f t="shared" ref="M81:N81" si="5">SUM(M82:M105)</f>
        <v>3.5714285714285712E-2</v>
      </c>
      <c r="N81" s="410">
        <f t="shared" si="5"/>
        <v>2.7777777777777776E-2</v>
      </c>
      <c r="O81" s="410">
        <f>SUM(O82:O105)</f>
        <v>0.38888888888888884</v>
      </c>
      <c r="Q81" s="409"/>
      <c r="R81" s="411">
        <f>SUM(R83+R87+R90+R96+R98+R102+R105)</f>
        <v>113054.58799999999</v>
      </c>
      <c r="S81" s="423">
        <f>SUM(S83+S87+S90+S96+S98+S102+S105)*$I$8</f>
        <v>322970.5</v>
      </c>
    </row>
    <row r="82" spans="2:20" s="424" customFormat="1">
      <c r="J82" s="425"/>
      <c r="L82" s="426"/>
      <c r="M82" s="427"/>
      <c r="N82" s="427"/>
      <c r="O82" s="428"/>
      <c r="Q82" s="426"/>
      <c r="S82" s="426"/>
    </row>
    <row r="83" spans="2:20" s="412" customFormat="1">
      <c r="C83" s="412" t="s">
        <v>1615</v>
      </c>
      <c r="J83" s="403"/>
      <c r="K83" s="400"/>
      <c r="L83" s="413"/>
      <c r="M83" s="414"/>
      <c r="N83" s="414"/>
      <c r="O83" s="415"/>
      <c r="Q83" s="413"/>
      <c r="R83" s="416">
        <f>SUM(R84:R86)</f>
        <v>12680.351999999999</v>
      </c>
      <c r="S83" s="417">
        <f>SUM(S84:S86)</f>
        <v>70000</v>
      </c>
    </row>
    <row r="84" spans="2:20">
      <c r="D84" s="372" t="s">
        <v>1616</v>
      </c>
      <c r="J84" s="403"/>
      <c r="K84" s="400"/>
      <c r="L84" s="393"/>
      <c r="M84" s="404"/>
      <c r="N84" s="404"/>
      <c r="O84" s="405"/>
      <c r="Q84" s="393"/>
      <c r="S84" s="418">
        <f>50000*1.25*1.12</f>
        <v>70000</v>
      </c>
      <c r="T84" s="372" t="s">
        <v>1617</v>
      </c>
    </row>
    <row r="85" spans="2:20">
      <c r="D85" s="372" t="s">
        <v>1618</v>
      </c>
      <c r="J85" s="403">
        <v>8</v>
      </c>
      <c r="K85" s="400">
        <v>1</v>
      </c>
      <c r="L85" s="393">
        <f t="shared" ref="L85:L86" si="6">J85*K85</f>
        <v>8</v>
      </c>
      <c r="M85" s="404"/>
      <c r="N85" s="404"/>
      <c r="O85" s="405">
        <f t="shared" ref="O85:O86" si="7">L85/$O$5</f>
        <v>3.1746031746031744E-2</v>
      </c>
      <c r="P85" s="419"/>
      <c r="Q85" s="393"/>
      <c r="R85" s="406">
        <f>$M85*$O$7+$N85*$P$7+$O85*$Q$7</f>
        <v>7424</v>
      </c>
      <c r="S85" s="393"/>
    </row>
    <row r="86" spans="2:20">
      <c r="D86" s="372" t="s">
        <v>1619</v>
      </c>
      <c r="H86" s="372">
        <v>1</v>
      </c>
      <c r="J86" s="403">
        <v>4</v>
      </c>
      <c r="K86" s="400">
        <v>1</v>
      </c>
      <c r="L86" s="393">
        <f t="shared" si="6"/>
        <v>4</v>
      </c>
      <c r="M86" s="404">
        <f>H86/$O$5</f>
        <v>3.968253968253968E-3</v>
      </c>
      <c r="N86" s="404"/>
      <c r="O86" s="405">
        <f t="shared" si="7"/>
        <v>1.5873015873015872E-2</v>
      </c>
      <c r="P86" s="419"/>
      <c r="Q86" s="393"/>
      <c r="R86" s="406">
        <f>$M86*$O$7+$N86*$P$7+$O86*$Q$7</f>
        <v>5256.3519999999999</v>
      </c>
      <c r="S86" s="393"/>
    </row>
    <row r="87" spans="2:20" s="412" customFormat="1">
      <c r="C87" s="412" t="s">
        <v>1620</v>
      </c>
      <c r="J87" s="403"/>
      <c r="K87" s="400"/>
      <c r="L87" s="413"/>
      <c r="M87" s="414"/>
      <c r="N87" s="414"/>
      <c r="O87" s="415"/>
      <c r="Q87" s="413"/>
      <c r="R87" s="416">
        <f>SUM(R88:R89)</f>
        <v>3712</v>
      </c>
      <c r="S87" s="417">
        <f>SUM(S88:S89)</f>
        <v>123876.00000000001</v>
      </c>
    </row>
    <row r="88" spans="2:20">
      <c r="D88" s="372" t="s">
        <v>1621</v>
      </c>
      <c r="J88" s="403"/>
      <c r="K88" s="400"/>
      <c r="L88" s="393"/>
      <c r="M88" s="404"/>
      <c r="N88" s="404"/>
      <c r="O88" s="405"/>
      <c r="Q88" s="393"/>
      <c r="S88" s="418">
        <f>31000*K5*K6</f>
        <v>123876.00000000001</v>
      </c>
      <c r="T88" s="372" t="s">
        <v>1622</v>
      </c>
    </row>
    <row r="89" spans="2:20">
      <c r="D89" s="372" t="s">
        <v>1623</v>
      </c>
      <c r="J89" s="403">
        <v>2</v>
      </c>
      <c r="K89" s="400">
        <v>2</v>
      </c>
      <c r="L89" s="393">
        <f>J89*K89</f>
        <v>4</v>
      </c>
      <c r="M89" s="404"/>
      <c r="N89" s="404"/>
      <c r="O89" s="405">
        <f t="shared" ref="O89" si="8">L89/$O$5</f>
        <v>1.5873015873015872E-2</v>
      </c>
      <c r="P89" s="419"/>
      <c r="Q89" s="393"/>
      <c r="R89" s="406">
        <f>$M89*$O$7+$N89*$P$7+$O89*$Q$7</f>
        <v>3712</v>
      </c>
      <c r="S89" s="393"/>
    </row>
    <row r="90" spans="2:20" s="412" customFormat="1">
      <c r="C90" s="412" t="s">
        <v>1624</v>
      </c>
      <c r="J90" s="403"/>
      <c r="K90" s="400"/>
      <c r="L90" s="413"/>
      <c r="M90" s="414"/>
      <c r="N90" s="414"/>
      <c r="O90" s="415"/>
      <c r="Q90" s="413"/>
      <c r="R90" s="416">
        <f>SUM(R91:R95)</f>
        <v>0</v>
      </c>
      <c r="S90" s="417">
        <f>SUM(S91:S95)</f>
        <v>37162</v>
      </c>
    </row>
    <row r="91" spans="2:20">
      <c r="D91" s="372" t="s">
        <v>1625</v>
      </c>
      <c r="J91" s="403"/>
      <c r="K91" s="400"/>
      <c r="L91" s="393"/>
      <c r="M91" s="404"/>
      <c r="N91" s="404"/>
      <c r="O91" s="405"/>
      <c r="Q91" s="393"/>
      <c r="S91" s="418"/>
      <c r="T91" s="372" t="s">
        <v>1626</v>
      </c>
    </row>
    <row r="92" spans="2:20">
      <c r="D92" s="372" t="s">
        <v>1627</v>
      </c>
      <c r="J92" s="403"/>
      <c r="K92" s="400"/>
      <c r="L92" s="393"/>
      <c r="M92" s="404"/>
      <c r="N92" s="404"/>
      <c r="O92" s="405"/>
      <c r="Q92" s="393"/>
      <c r="S92" s="418"/>
      <c r="T92" s="372" t="s">
        <v>1626</v>
      </c>
    </row>
    <row r="93" spans="2:20">
      <c r="D93" s="372" t="s">
        <v>1628</v>
      </c>
      <c r="J93" s="403"/>
      <c r="K93" s="400"/>
      <c r="L93" s="393"/>
      <c r="M93" s="404"/>
      <c r="N93" s="404"/>
      <c r="O93" s="405"/>
      <c r="Q93" s="393"/>
      <c r="S93" s="418">
        <f>23000*$I$5*$I$6</f>
        <v>30912.000000000004</v>
      </c>
      <c r="T93" s="372" t="s">
        <v>1629</v>
      </c>
    </row>
    <row r="94" spans="2:20">
      <c r="D94" s="372" t="s">
        <v>1630</v>
      </c>
      <c r="J94" s="403"/>
      <c r="K94" s="400"/>
      <c r="L94" s="393"/>
      <c r="M94" s="404"/>
      <c r="N94" s="404"/>
      <c r="O94" s="405"/>
      <c r="Q94" s="393"/>
      <c r="S94" s="418">
        <v>6000</v>
      </c>
      <c r="T94" s="372" t="s">
        <v>1631</v>
      </c>
    </row>
    <row r="95" spans="2:20">
      <c r="D95" s="372" t="s">
        <v>1632</v>
      </c>
      <c r="J95" s="403"/>
      <c r="K95" s="400"/>
      <c r="L95" s="393"/>
      <c r="M95" s="404"/>
      <c r="N95" s="404"/>
      <c r="O95" s="405"/>
      <c r="Q95" s="393"/>
      <c r="S95" s="418">
        <v>250</v>
      </c>
    </row>
    <row r="96" spans="2:20" s="412" customFormat="1">
      <c r="C96" s="412" t="s">
        <v>1633</v>
      </c>
      <c r="J96" s="403"/>
      <c r="K96" s="400"/>
      <c r="L96" s="413"/>
      <c r="M96" s="414"/>
      <c r="N96" s="414"/>
      <c r="O96" s="415"/>
      <c r="Q96" s="413"/>
      <c r="R96" s="416">
        <f>SUM(R97)</f>
        <v>0</v>
      </c>
      <c r="S96" s="417">
        <f>SUM(S97)</f>
        <v>8000</v>
      </c>
    </row>
    <row r="97" spans="3:20">
      <c r="D97" s="372" t="s">
        <v>1634</v>
      </c>
      <c r="J97" s="403"/>
      <c r="K97" s="400"/>
      <c r="L97" s="393"/>
      <c r="M97" s="404"/>
      <c r="N97" s="404"/>
      <c r="O97" s="405"/>
      <c r="Q97" s="393"/>
      <c r="S97" s="418">
        <v>8000</v>
      </c>
      <c r="T97" s="372" t="s">
        <v>1593</v>
      </c>
    </row>
    <row r="98" spans="3:20" s="412" customFormat="1">
      <c r="C98" s="412" t="s">
        <v>1635</v>
      </c>
      <c r="J98" s="403"/>
      <c r="K98" s="400"/>
      <c r="L98" s="413"/>
      <c r="M98" s="414"/>
      <c r="N98" s="414"/>
      <c r="O98" s="415"/>
      <c r="Q98" s="413"/>
      <c r="R98" s="416">
        <f>SUM(R99:R101)</f>
        <v>928</v>
      </c>
      <c r="S98" s="417">
        <f>SUM(S99:S101)</f>
        <v>13338.400000000001</v>
      </c>
    </row>
    <row r="99" spans="3:20">
      <c r="D99" s="372" t="s">
        <v>1636</v>
      </c>
      <c r="J99" s="403"/>
      <c r="K99" s="400"/>
      <c r="L99" s="393"/>
      <c r="M99" s="404"/>
      <c r="N99" s="404"/>
      <c r="O99" s="405"/>
      <c r="Q99" s="393"/>
      <c r="S99" s="418">
        <f>3900*$I$5*$I$6</f>
        <v>5241.6000000000004</v>
      </c>
      <c r="T99" s="372" t="s">
        <v>1637</v>
      </c>
    </row>
    <row r="100" spans="3:20">
      <c r="D100" s="372" t="s">
        <v>1638</v>
      </c>
      <c r="J100" s="403"/>
      <c r="K100" s="400"/>
      <c r="L100" s="393"/>
      <c r="M100" s="404"/>
      <c r="N100" s="404"/>
      <c r="O100" s="405"/>
      <c r="Q100" s="393"/>
      <c r="S100" s="418">
        <f>5950*I5*I6</f>
        <v>7996.8000000000011</v>
      </c>
      <c r="T100" s="372" t="s">
        <v>1639</v>
      </c>
    </row>
    <row r="101" spans="3:20">
      <c r="D101" s="372" t="s">
        <v>1640</v>
      </c>
      <c r="J101" s="403">
        <v>1</v>
      </c>
      <c r="K101" s="400">
        <v>1</v>
      </c>
      <c r="L101" s="393">
        <f>J101*K101</f>
        <v>1</v>
      </c>
      <c r="M101" s="404"/>
      <c r="N101" s="404"/>
      <c r="O101" s="405">
        <f t="shared" ref="O101" si="9">L101/$O$5</f>
        <v>3.968253968253968E-3</v>
      </c>
      <c r="Q101" s="393"/>
      <c r="R101" s="406">
        <f>$M101*$O$7+$N101*$P$7+$O101*$Q$7</f>
        <v>928</v>
      </c>
      <c r="S101" s="418">
        <v>100</v>
      </c>
    </row>
    <row r="102" spans="3:20" s="412" customFormat="1">
      <c r="C102" s="412" t="s">
        <v>1641</v>
      </c>
      <c r="J102" s="403"/>
      <c r="K102" s="400"/>
      <c r="L102" s="413"/>
      <c r="M102" s="414"/>
      <c r="N102" s="414"/>
      <c r="O102" s="415"/>
      <c r="Q102" s="413"/>
      <c r="R102" s="416">
        <f>SUM(R103:R104)</f>
        <v>4640</v>
      </c>
      <c r="S102" s="417">
        <f>SUM(S103:S104)</f>
        <v>6000</v>
      </c>
    </row>
    <row r="103" spans="3:20">
      <c r="D103" s="372" t="s">
        <v>1642</v>
      </c>
      <c r="J103" s="403"/>
      <c r="K103" s="400"/>
      <c r="L103" s="393"/>
      <c r="M103" s="404"/>
      <c r="N103" s="404"/>
      <c r="O103" s="405"/>
      <c r="Q103" s="393"/>
      <c r="S103" s="418">
        <v>5000</v>
      </c>
      <c r="T103" s="372" t="s">
        <v>1593</v>
      </c>
    </row>
    <row r="104" spans="3:20">
      <c r="D104" s="372" t="s">
        <v>1643</v>
      </c>
      <c r="J104" s="403">
        <v>5</v>
      </c>
      <c r="K104" s="400">
        <v>1</v>
      </c>
      <c r="L104" s="393">
        <f>J104*K104</f>
        <v>5</v>
      </c>
      <c r="M104" s="404"/>
      <c r="N104" s="404"/>
      <c r="O104" s="405">
        <f t="shared" ref="O104" si="10">L104/$O$5</f>
        <v>1.984126984126984E-2</v>
      </c>
      <c r="Q104" s="393"/>
      <c r="R104" s="406">
        <f>$M104*$O$7+$N104*$P$7+$O104*$Q$7</f>
        <v>4640</v>
      </c>
      <c r="S104" s="418">
        <v>1000</v>
      </c>
      <c r="T104" s="372" t="s">
        <v>1593</v>
      </c>
    </row>
    <row r="105" spans="3:20" s="412" customFormat="1">
      <c r="C105" s="412" t="s">
        <v>1644</v>
      </c>
      <c r="J105" s="403"/>
      <c r="K105" s="400"/>
      <c r="L105" s="413"/>
      <c r="M105" s="415">
        <f t="shared" ref="M105:N105" si="11">M107*4+M108*4+M111*4+M113*4+M115*2+M116*2+M118*2+M120*2+M124+M127</f>
        <v>3.1746031746031744E-2</v>
      </c>
      <c r="N105" s="415">
        <f t="shared" si="11"/>
        <v>2.7777777777777776E-2</v>
      </c>
      <c r="O105" s="415">
        <f>O107*4+O108*4+O111*4+O113*4+O115*2+O116*2+O118*2+O120*2+O124+O127</f>
        <v>0.30158730158730152</v>
      </c>
      <c r="Q105" s="413"/>
      <c r="R105" s="416">
        <f>SUM(R106:R127)</f>
        <v>91094.23599999999</v>
      </c>
      <c r="S105" s="417">
        <f>SUM(S106:S127)</f>
        <v>0</v>
      </c>
    </row>
    <row r="106" spans="3:20">
      <c r="D106" s="372" t="s">
        <v>1645</v>
      </c>
      <c r="J106" s="403"/>
      <c r="K106" s="400"/>
      <c r="L106" s="393"/>
      <c r="M106" s="407"/>
      <c r="N106" s="407"/>
      <c r="O106" s="405"/>
      <c r="Q106" s="393"/>
      <c r="S106" s="393"/>
    </row>
    <row r="107" spans="3:20">
      <c r="E107" s="372" t="s">
        <v>1646</v>
      </c>
      <c r="J107" s="403">
        <v>3</v>
      </c>
      <c r="K107" s="400">
        <v>2</v>
      </c>
      <c r="L107" s="393">
        <f t="shared" ref="L107:L109" si="12">J107*K107</f>
        <v>6</v>
      </c>
      <c r="M107" s="404"/>
      <c r="N107" s="404"/>
      <c r="O107" s="405">
        <f t="shared" ref="O107:O108" si="13">L107/$O$5</f>
        <v>2.3809523809523808E-2</v>
      </c>
      <c r="Q107" s="393"/>
      <c r="R107" s="406">
        <f>4*($M107*$O$7+$N107*$P$7+$O107*$Q$7)</f>
        <v>22272</v>
      </c>
      <c r="S107" s="393"/>
      <c r="T107" s="372" t="s">
        <v>1647</v>
      </c>
    </row>
    <row r="108" spans="3:20">
      <c r="E108" s="372" t="s">
        <v>1648</v>
      </c>
      <c r="J108" s="403">
        <v>2</v>
      </c>
      <c r="K108" s="400">
        <v>2</v>
      </c>
      <c r="L108" s="393">
        <f t="shared" si="12"/>
        <v>4</v>
      </c>
      <c r="M108" s="404"/>
      <c r="N108" s="404"/>
      <c r="O108" s="405">
        <f t="shared" si="13"/>
        <v>1.5873015873015872E-2</v>
      </c>
      <c r="Q108" s="393"/>
      <c r="R108" s="406">
        <f>4*($M108*$O$7+$N108*$P$7+$O108*$Q$7)</f>
        <v>14848</v>
      </c>
      <c r="S108" s="393"/>
      <c r="T108" s="372" t="s">
        <v>1647</v>
      </c>
    </row>
    <row r="109" spans="3:20">
      <c r="E109" s="372" t="s">
        <v>1649</v>
      </c>
      <c r="J109" s="403">
        <v>1</v>
      </c>
      <c r="K109" s="400">
        <v>2</v>
      </c>
      <c r="L109" s="393">
        <f t="shared" si="12"/>
        <v>2</v>
      </c>
      <c r="M109" s="404"/>
      <c r="N109" s="404"/>
      <c r="O109" s="405"/>
      <c r="Q109" s="393"/>
      <c r="S109" s="393"/>
    </row>
    <row r="110" spans="3:20">
      <c r="E110" s="372" t="s">
        <v>1650</v>
      </c>
      <c r="J110" s="403"/>
      <c r="K110" s="400"/>
      <c r="L110" s="393"/>
      <c r="M110" s="404"/>
      <c r="N110" s="404"/>
      <c r="O110" s="405"/>
      <c r="Q110" s="393"/>
      <c r="S110" s="393"/>
    </row>
    <row r="111" spans="3:20">
      <c r="E111" s="372" t="s">
        <v>1651</v>
      </c>
      <c r="H111" s="372">
        <v>1</v>
      </c>
      <c r="J111" s="403">
        <v>1</v>
      </c>
      <c r="K111" s="400">
        <v>2</v>
      </c>
      <c r="L111" s="393">
        <f>J111*K111</f>
        <v>2</v>
      </c>
      <c r="M111" s="404">
        <f>H111/$O$5</f>
        <v>3.968253968253968E-3</v>
      </c>
      <c r="N111" s="404"/>
      <c r="O111" s="405">
        <f t="shared" ref="O111" si="14">L111/$O$5</f>
        <v>7.9365079365079361E-3</v>
      </c>
      <c r="Q111" s="393"/>
      <c r="R111" s="406">
        <f>4*($M111*$O$7+$N111*$P$7+$O111*$Q$7)</f>
        <v>13601.407999999999</v>
      </c>
      <c r="S111" s="393"/>
      <c r="T111" s="372" t="s">
        <v>1647</v>
      </c>
    </row>
    <row r="112" spans="3:20">
      <c r="E112" s="372" t="s">
        <v>1652</v>
      </c>
      <c r="J112" s="403"/>
      <c r="K112" s="400"/>
      <c r="L112" s="393"/>
      <c r="M112" s="404"/>
      <c r="N112" s="404"/>
      <c r="O112" s="405"/>
      <c r="Q112" s="393"/>
      <c r="S112" s="393"/>
    </row>
    <row r="113" spans="2:22">
      <c r="E113" s="372" t="s">
        <v>1653</v>
      </c>
      <c r="H113" s="372">
        <v>1</v>
      </c>
      <c r="I113" s="372">
        <v>1</v>
      </c>
      <c r="J113" s="403">
        <v>1</v>
      </c>
      <c r="K113" s="400">
        <v>2</v>
      </c>
      <c r="L113" s="393">
        <f>J113*K113</f>
        <v>2</v>
      </c>
      <c r="M113" s="404">
        <f>H113/$O$5</f>
        <v>3.968253968253968E-3</v>
      </c>
      <c r="N113" s="404">
        <f>I113/$O$5</f>
        <v>3.968253968253968E-3</v>
      </c>
      <c r="O113" s="405">
        <f t="shared" ref="O113:O120" si="15">L113/$O$5</f>
        <v>7.9365079365079361E-3</v>
      </c>
      <c r="Q113" s="393"/>
      <c r="R113" s="406">
        <f>4*($M113*$O$7+$N113*$P$7+$O113*$Q$7)</f>
        <v>18293.648000000001</v>
      </c>
      <c r="S113" s="393"/>
      <c r="T113" s="372" t="s">
        <v>1647</v>
      </c>
    </row>
    <row r="114" spans="2:22">
      <c r="D114" s="372" t="s">
        <v>1654</v>
      </c>
      <c r="J114" s="403"/>
      <c r="K114" s="400"/>
      <c r="L114" s="393"/>
      <c r="M114" s="407"/>
      <c r="N114" s="407"/>
      <c r="O114" s="405"/>
      <c r="Q114" s="393"/>
      <c r="S114" s="393"/>
    </row>
    <row r="115" spans="2:22">
      <c r="E115" s="372" t="s">
        <v>1655</v>
      </c>
      <c r="J115" s="403">
        <v>1</v>
      </c>
      <c r="K115" s="400">
        <v>2</v>
      </c>
      <c r="L115" s="393">
        <f t="shared" ref="L115:L116" si="16">J115*K115</f>
        <v>2</v>
      </c>
      <c r="M115" s="404"/>
      <c r="N115" s="404"/>
      <c r="O115" s="405">
        <f t="shared" si="15"/>
        <v>7.9365079365079361E-3</v>
      </c>
      <c r="Q115" s="393"/>
      <c r="R115" s="406">
        <f>2*($M115*$O$7+$N115*$P$7+$O115*$Q$7)</f>
        <v>3712</v>
      </c>
      <c r="S115" s="393"/>
      <c r="T115" s="372" t="s">
        <v>1656</v>
      </c>
    </row>
    <row r="116" spans="2:22">
      <c r="E116" s="372" t="s">
        <v>1657</v>
      </c>
      <c r="J116" s="403">
        <v>1</v>
      </c>
      <c r="K116" s="400">
        <v>2</v>
      </c>
      <c r="L116" s="393">
        <f t="shared" si="16"/>
        <v>2</v>
      </c>
      <c r="M116" s="404"/>
      <c r="N116" s="404"/>
      <c r="O116" s="405">
        <f t="shared" si="15"/>
        <v>7.9365079365079361E-3</v>
      </c>
      <c r="Q116" s="393"/>
      <c r="R116" s="406">
        <f>2*($M116*$O$7+$N116*$P$7+$O116*$Q$7)</f>
        <v>3712</v>
      </c>
      <c r="S116" s="393"/>
      <c r="T116" s="372" t="s">
        <v>1656</v>
      </c>
    </row>
    <row r="117" spans="2:22">
      <c r="E117" s="372" t="s">
        <v>1658</v>
      </c>
      <c r="J117" s="403"/>
      <c r="K117" s="400"/>
      <c r="L117" s="393"/>
      <c r="M117" s="404"/>
      <c r="N117" s="404"/>
      <c r="O117" s="405"/>
      <c r="Q117" s="393"/>
      <c r="S117" s="393"/>
    </row>
    <row r="118" spans="2:22">
      <c r="E118" s="372" t="s">
        <v>1659</v>
      </c>
      <c r="J118" s="403">
        <v>1</v>
      </c>
      <c r="K118" s="400">
        <v>2</v>
      </c>
      <c r="L118" s="393">
        <f>J118*K118</f>
        <v>2</v>
      </c>
      <c r="M118" s="404"/>
      <c r="N118" s="404"/>
      <c r="O118" s="405">
        <f t="shared" si="15"/>
        <v>7.9365079365079361E-3</v>
      </c>
      <c r="Q118" s="393"/>
      <c r="R118" s="406">
        <f>2*($M118*$O$7+$N118*$P$7+$O118*$Q$7)</f>
        <v>3712</v>
      </c>
      <c r="S118" s="393"/>
      <c r="T118" s="372" t="s">
        <v>1656</v>
      </c>
    </row>
    <row r="119" spans="2:22">
      <c r="E119" s="372" t="s">
        <v>1660</v>
      </c>
      <c r="J119" s="403"/>
      <c r="K119" s="400"/>
      <c r="L119" s="393"/>
      <c r="M119" s="404"/>
      <c r="N119" s="404"/>
      <c r="O119" s="405"/>
      <c r="Q119" s="393"/>
      <c r="S119" s="393"/>
    </row>
    <row r="120" spans="2:22">
      <c r="E120" s="372" t="s">
        <v>1661</v>
      </c>
      <c r="I120" s="372">
        <v>1</v>
      </c>
      <c r="J120" s="403">
        <v>1</v>
      </c>
      <c r="K120" s="400">
        <v>2</v>
      </c>
      <c r="L120" s="393">
        <f>J120*K120</f>
        <v>2</v>
      </c>
      <c r="M120" s="404"/>
      <c r="N120" s="404">
        <f>I120/$O$5</f>
        <v>3.968253968253968E-3</v>
      </c>
      <c r="O120" s="405">
        <f t="shared" si="15"/>
        <v>7.9365079365079361E-3</v>
      </c>
      <c r="Q120" s="393"/>
      <c r="R120" s="406">
        <f>2*($M120*$O$7+$N120*$P$7+$O120*$Q$7)</f>
        <v>6058.12</v>
      </c>
      <c r="S120" s="393"/>
      <c r="T120" s="372" t="s">
        <v>1656</v>
      </c>
    </row>
    <row r="121" spans="2:22">
      <c r="D121" s="372" t="s">
        <v>1662</v>
      </c>
      <c r="J121" s="403"/>
      <c r="K121" s="400"/>
      <c r="L121" s="393"/>
      <c r="M121" s="407"/>
      <c r="N121" s="407"/>
      <c r="O121" s="405"/>
      <c r="Q121" s="393"/>
      <c r="S121" s="393"/>
    </row>
    <row r="122" spans="2:22">
      <c r="E122" s="372" t="s">
        <v>1663</v>
      </c>
      <c r="J122" s="403"/>
      <c r="K122" s="400"/>
      <c r="L122" s="393"/>
      <c r="M122" s="404"/>
      <c r="N122" s="404"/>
      <c r="O122" s="405"/>
      <c r="Q122" s="393"/>
      <c r="S122" s="393"/>
    </row>
    <row r="123" spans="2:22">
      <c r="E123" s="372" t="s">
        <v>1664</v>
      </c>
      <c r="J123" s="403"/>
      <c r="K123" s="400"/>
      <c r="L123" s="393"/>
      <c r="M123" s="404"/>
      <c r="N123" s="404"/>
      <c r="O123" s="405"/>
      <c r="Q123" s="393"/>
      <c r="S123" s="393"/>
    </row>
    <row r="124" spans="2:22">
      <c r="E124" s="372" t="s">
        <v>1665</v>
      </c>
      <c r="J124" s="403">
        <v>1</v>
      </c>
      <c r="K124" s="400">
        <v>2</v>
      </c>
      <c r="L124" s="393">
        <f>J124*K124</f>
        <v>2</v>
      </c>
      <c r="M124" s="404"/>
      <c r="N124" s="404"/>
      <c r="O124" s="405">
        <f t="shared" ref="O124" si="17">L124/$O$5</f>
        <v>7.9365079365079361E-3</v>
      </c>
      <c r="Q124" s="393"/>
      <c r="R124" s="406">
        <f>$M124*$O$7+$N124*$P$7+$O124*$Q$7</f>
        <v>1856</v>
      </c>
      <c r="S124" s="393"/>
    </row>
    <row r="125" spans="2:22">
      <c r="E125" s="372" t="s">
        <v>1666</v>
      </c>
      <c r="J125" s="403"/>
      <c r="K125" s="400"/>
      <c r="L125" s="393"/>
      <c r="M125" s="404"/>
      <c r="N125" s="404"/>
      <c r="O125" s="405"/>
      <c r="Q125" s="393"/>
      <c r="S125" s="393"/>
    </row>
    <row r="126" spans="2:22">
      <c r="E126" s="372" t="s">
        <v>1667</v>
      </c>
      <c r="J126" s="403"/>
      <c r="K126" s="400"/>
      <c r="L126" s="393"/>
      <c r="M126" s="404"/>
      <c r="N126" s="404"/>
      <c r="O126" s="405"/>
      <c r="Q126" s="393"/>
      <c r="S126" s="393"/>
      <c r="V126" s="520"/>
    </row>
    <row r="127" spans="2:22">
      <c r="E127" s="372" t="s">
        <v>1668</v>
      </c>
      <c r="I127" s="372">
        <v>1</v>
      </c>
      <c r="J127" s="403">
        <v>1</v>
      </c>
      <c r="K127" s="400">
        <v>2</v>
      </c>
      <c r="L127" s="393">
        <f>J127*K127</f>
        <v>2</v>
      </c>
      <c r="M127" s="404"/>
      <c r="N127" s="404">
        <f>I127/$O$5</f>
        <v>3.968253968253968E-3</v>
      </c>
      <c r="O127" s="405">
        <f t="shared" ref="O127" si="18">L127/$O$5</f>
        <v>7.9365079365079361E-3</v>
      </c>
      <c r="Q127" s="393"/>
      <c r="R127" s="406">
        <f>$M127*$O$7+$N127*$P$7+$O127*$Q$7</f>
        <v>3029.06</v>
      </c>
      <c r="S127" s="393"/>
    </row>
    <row r="128" spans="2:22" s="408" customFormat="1">
      <c r="B128" s="408" t="s">
        <v>1669</v>
      </c>
      <c r="J128" s="422">
        <f>SUM(J130:J167)</f>
        <v>49</v>
      </c>
      <c r="L128" s="409"/>
      <c r="M128" s="410">
        <f>SUM(M129:M167)</f>
        <v>3.968253968253968E-3</v>
      </c>
      <c r="N128" s="410">
        <f t="shared" ref="N128:O128" si="19">SUM(N129:N167)</f>
        <v>3.1746031746031744E-2</v>
      </c>
      <c r="O128" s="410">
        <f t="shared" si="19"/>
        <v>0.35317460317460314</v>
      </c>
      <c r="Q128" s="409"/>
      <c r="R128" s="411">
        <f>SUM(R129+R139+R149+R155)</f>
        <v>93520.831999999995</v>
      </c>
      <c r="S128" s="423">
        <f>SUM(S129+S139+S149+S155)*$I$8</f>
        <v>338934.5</v>
      </c>
    </row>
    <row r="129" spans="3:20" s="412" customFormat="1">
      <c r="C129" s="412" t="s">
        <v>1670</v>
      </c>
      <c r="J129" s="403"/>
      <c r="K129" s="400"/>
      <c r="L129" s="413"/>
      <c r="M129" s="414"/>
      <c r="N129" s="414"/>
      <c r="O129" s="415"/>
      <c r="Q129" s="413"/>
      <c r="R129" s="416">
        <f>SUM(R130:R138)</f>
        <v>25791.18</v>
      </c>
      <c r="S129" s="417">
        <f>SUM(S130:S138)</f>
        <v>213296</v>
      </c>
    </row>
    <row r="130" spans="3:20">
      <c r="D130" s="372" t="s">
        <v>1671</v>
      </c>
      <c r="J130" s="403"/>
      <c r="K130" s="400"/>
      <c r="L130" s="393"/>
      <c r="M130" s="407"/>
      <c r="N130" s="407"/>
      <c r="O130" s="405"/>
      <c r="Q130" s="393"/>
      <c r="S130" s="393"/>
    </row>
    <row r="131" spans="3:20">
      <c r="E131" s="372" t="s">
        <v>1672</v>
      </c>
      <c r="J131" s="403"/>
      <c r="K131" s="400"/>
      <c r="L131" s="393"/>
      <c r="M131" s="404"/>
      <c r="N131" s="404"/>
      <c r="O131" s="405"/>
      <c r="Q131" s="393"/>
      <c r="S131" s="418">
        <f>51000*K5*K6</f>
        <v>203796</v>
      </c>
      <c r="T131" s="372" t="s">
        <v>1673</v>
      </c>
    </row>
    <row r="132" spans="3:20">
      <c r="E132" s="372" t="s">
        <v>1674</v>
      </c>
      <c r="J132" s="403"/>
      <c r="K132" s="400"/>
      <c r="L132" s="393"/>
      <c r="M132" s="404"/>
      <c r="N132" s="404"/>
      <c r="O132" s="405"/>
      <c r="Q132" s="393"/>
      <c r="S132" s="418">
        <v>6000</v>
      </c>
      <c r="T132" s="372" t="s">
        <v>1593</v>
      </c>
    </row>
    <row r="133" spans="3:20">
      <c r="E133" s="372" t="s">
        <v>1675</v>
      </c>
      <c r="J133" s="403"/>
      <c r="K133" s="400"/>
      <c r="L133" s="393"/>
      <c r="M133" s="404"/>
      <c r="N133" s="404"/>
      <c r="O133" s="405"/>
      <c r="Q133" s="393"/>
      <c r="S133" s="418">
        <v>3500</v>
      </c>
      <c r="T133" s="372" t="s">
        <v>1676</v>
      </c>
    </row>
    <row r="134" spans="3:20">
      <c r="D134" s="372" t="s">
        <v>1677</v>
      </c>
      <c r="I134" s="372">
        <v>2</v>
      </c>
      <c r="J134" s="403">
        <v>5</v>
      </c>
      <c r="K134" s="400">
        <v>2</v>
      </c>
      <c r="L134" s="393">
        <f>J134*K134</f>
        <v>10</v>
      </c>
      <c r="M134" s="404"/>
      <c r="N134" s="404">
        <f>I134/$O$5</f>
        <v>7.9365079365079361E-3</v>
      </c>
      <c r="O134" s="405">
        <f t="shared" ref="O134" si="20">L134/$O$5</f>
        <v>3.968253968253968E-2</v>
      </c>
      <c r="Q134" s="393"/>
      <c r="R134" s="406">
        <f>$M134*$O$7+$N134*$P$7+$O134*$Q$7</f>
        <v>11626.119999999999</v>
      </c>
      <c r="S134" s="393"/>
    </row>
    <row r="135" spans="3:20">
      <c r="D135" s="372" t="s">
        <v>1678</v>
      </c>
      <c r="J135" s="403"/>
      <c r="K135" s="400"/>
      <c r="L135" s="393"/>
      <c r="M135" s="407"/>
      <c r="N135" s="407"/>
      <c r="O135" s="405"/>
      <c r="Q135" s="393"/>
      <c r="S135" s="393"/>
    </row>
    <row r="136" spans="3:20">
      <c r="E136" s="372" t="s">
        <v>1679</v>
      </c>
      <c r="J136" s="403">
        <v>3</v>
      </c>
      <c r="K136" s="400">
        <v>2</v>
      </c>
      <c r="L136" s="393">
        <f t="shared" ref="L136:L138" si="21">J136*K136</f>
        <v>6</v>
      </c>
      <c r="M136" s="404"/>
      <c r="N136" s="404"/>
      <c r="O136" s="405">
        <f t="shared" ref="O136:O138" si="22">L136/$O$5</f>
        <v>2.3809523809523808E-2</v>
      </c>
      <c r="Q136" s="393"/>
      <c r="R136" s="406">
        <f>$M136*$O$7+$N136*$P$7+$O136*$Q$7</f>
        <v>5568</v>
      </c>
      <c r="S136" s="393"/>
    </row>
    <row r="137" spans="3:20">
      <c r="E137" s="372" t="s">
        <v>1680</v>
      </c>
      <c r="J137" s="403">
        <v>3</v>
      </c>
      <c r="K137" s="400">
        <v>2</v>
      </c>
      <c r="L137" s="393">
        <f t="shared" si="21"/>
        <v>6</v>
      </c>
      <c r="M137" s="404"/>
      <c r="N137" s="404"/>
      <c r="O137" s="405">
        <f t="shared" si="22"/>
        <v>2.3809523809523808E-2</v>
      </c>
      <c r="Q137" s="393"/>
      <c r="R137" s="406">
        <f>$M137*$O$7+$N137*$P$7+$O137*$Q$7</f>
        <v>5568</v>
      </c>
      <c r="S137" s="393"/>
    </row>
    <row r="138" spans="3:20">
      <c r="E138" s="372" t="s">
        <v>1681</v>
      </c>
      <c r="I138" s="372">
        <v>1</v>
      </c>
      <c r="J138" s="403">
        <v>1</v>
      </c>
      <c r="K138" s="400">
        <v>2</v>
      </c>
      <c r="L138" s="393">
        <f t="shared" si="21"/>
        <v>2</v>
      </c>
      <c r="M138" s="404"/>
      <c r="N138" s="404">
        <f>I138/$O$5</f>
        <v>3.968253968253968E-3</v>
      </c>
      <c r="O138" s="405">
        <f t="shared" si="22"/>
        <v>7.9365079365079361E-3</v>
      </c>
      <c r="Q138" s="393"/>
      <c r="R138" s="406">
        <f>$M138*$O$7+$N138*$P$7+$O138*$Q$7</f>
        <v>3029.06</v>
      </c>
      <c r="S138" s="393"/>
    </row>
    <row r="139" spans="3:20" s="412" customFormat="1">
      <c r="C139" s="412" t="s">
        <v>1682</v>
      </c>
      <c r="J139" s="403"/>
      <c r="K139" s="400"/>
      <c r="L139" s="413"/>
      <c r="M139" s="414"/>
      <c r="N139" s="414"/>
      <c r="O139" s="415"/>
      <c r="Q139" s="413"/>
      <c r="R139" s="416">
        <f>SUM(R140:R148)</f>
        <v>19050.12</v>
      </c>
      <c r="S139" s="417">
        <f>SUM(S140:S148)</f>
        <v>34974</v>
      </c>
    </row>
    <row r="140" spans="3:20">
      <c r="D140" s="372" t="s">
        <v>1683</v>
      </c>
      <c r="J140" s="403"/>
      <c r="K140" s="400"/>
      <c r="L140" s="393"/>
      <c r="M140" s="407"/>
      <c r="N140" s="407"/>
      <c r="O140" s="405"/>
      <c r="Q140" s="393"/>
      <c r="S140" s="393"/>
    </row>
    <row r="141" spans="3:20">
      <c r="E141" s="372" t="s">
        <v>1684</v>
      </c>
      <c r="J141" s="403"/>
      <c r="K141" s="400"/>
      <c r="L141" s="393"/>
      <c r="M141" s="404"/>
      <c r="N141" s="404"/>
      <c r="O141" s="405"/>
      <c r="Q141" s="393"/>
      <c r="S141" s="418">
        <f>6500*K5*K6</f>
        <v>25974</v>
      </c>
      <c r="T141" s="372" t="s">
        <v>1685</v>
      </c>
    </row>
    <row r="142" spans="3:20">
      <c r="E142" s="372" t="s">
        <v>1686</v>
      </c>
      <c r="J142" s="403"/>
      <c r="K142" s="400"/>
      <c r="L142" s="393"/>
      <c r="M142" s="404"/>
      <c r="N142" s="404"/>
      <c r="O142" s="405"/>
      <c r="Q142" s="393"/>
      <c r="S142" s="418">
        <v>5000</v>
      </c>
      <c r="T142" s="372" t="s">
        <v>1687</v>
      </c>
    </row>
    <row r="143" spans="3:20">
      <c r="E143" s="372" t="s">
        <v>1688</v>
      </c>
      <c r="J143" s="403"/>
      <c r="K143" s="400"/>
      <c r="L143" s="393"/>
      <c r="M143" s="404"/>
      <c r="N143" s="404"/>
      <c r="O143" s="405"/>
      <c r="Q143" s="393"/>
      <c r="S143" s="418">
        <v>4000</v>
      </c>
      <c r="T143" s="372" t="s">
        <v>1593</v>
      </c>
    </row>
    <row r="144" spans="3:20">
      <c r="D144" s="372" t="s">
        <v>1689</v>
      </c>
      <c r="I144" s="372">
        <v>1</v>
      </c>
      <c r="J144" s="403">
        <v>4</v>
      </c>
      <c r="K144" s="400">
        <v>1</v>
      </c>
      <c r="L144" s="393">
        <f>J144*K144</f>
        <v>4</v>
      </c>
      <c r="M144" s="404"/>
      <c r="N144" s="404">
        <f>I144/$O$5</f>
        <v>3.968253968253968E-3</v>
      </c>
      <c r="O144" s="405">
        <f t="shared" ref="O144" si="23">L144/$O$5</f>
        <v>1.5873015873015872E-2</v>
      </c>
      <c r="Q144" s="393"/>
      <c r="R144" s="406">
        <f>$M144*$O$7+$N144*$P$7+$O144*$Q$7</f>
        <v>4885.0599999999995</v>
      </c>
      <c r="S144" s="393"/>
    </row>
    <row r="145" spans="3:20">
      <c r="D145" s="372" t="s">
        <v>1690</v>
      </c>
      <c r="J145" s="403"/>
      <c r="K145" s="400"/>
      <c r="L145" s="393"/>
      <c r="M145" s="407"/>
      <c r="N145" s="407"/>
      <c r="O145" s="405"/>
      <c r="Q145" s="393"/>
      <c r="S145" s="393"/>
    </row>
    <row r="146" spans="3:20">
      <c r="E146" s="372" t="s">
        <v>1691</v>
      </c>
      <c r="J146" s="403">
        <v>3</v>
      </c>
      <c r="K146" s="400">
        <v>2</v>
      </c>
      <c r="L146" s="393">
        <f t="shared" ref="L146:L148" si="24">J146*K146</f>
        <v>6</v>
      </c>
      <c r="M146" s="404"/>
      <c r="N146" s="404"/>
      <c r="O146" s="405">
        <f t="shared" ref="O146:O148" si="25">L146/$O$5</f>
        <v>2.3809523809523808E-2</v>
      </c>
      <c r="Q146" s="393"/>
      <c r="R146" s="406">
        <f>$M146*$O$7+$N146*$P$7+$O146*$Q$7</f>
        <v>5568</v>
      </c>
      <c r="S146" s="393"/>
    </row>
    <row r="147" spans="3:20">
      <c r="E147" s="372" t="s">
        <v>1692</v>
      </c>
      <c r="J147" s="403">
        <v>3</v>
      </c>
      <c r="K147" s="400">
        <v>2</v>
      </c>
      <c r="L147" s="393">
        <f t="shared" si="24"/>
        <v>6</v>
      </c>
      <c r="M147" s="404"/>
      <c r="N147" s="404"/>
      <c r="O147" s="405">
        <f t="shared" si="25"/>
        <v>2.3809523809523808E-2</v>
      </c>
      <c r="Q147" s="393"/>
      <c r="R147" s="406">
        <f>$M147*$O$7+$N147*$P$7+$O147*$Q$7</f>
        <v>5568</v>
      </c>
      <c r="S147" s="393"/>
    </row>
    <row r="148" spans="3:20">
      <c r="E148" s="372" t="s">
        <v>1693</v>
      </c>
      <c r="I148" s="372">
        <v>1</v>
      </c>
      <c r="J148" s="403">
        <v>1</v>
      </c>
      <c r="K148" s="400">
        <v>2</v>
      </c>
      <c r="L148" s="393">
        <f t="shared" si="24"/>
        <v>2</v>
      </c>
      <c r="M148" s="404"/>
      <c r="N148" s="404">
        <f>I148/$O$5</f>
        <v>3.968253968253968E-3</v>
      </c>
      <c r="O148" s="405">
        <f t="shared" si="25"/>
        <v>7.9365079365079361E-3</v>
      </c>
      <c r="Q148" s="393"/>
      <c r="R148" s="406">
        <f>$M148*$O$7+$N148*$P$7+$O148*$Q$7</f>
        <v>3029.06</v>
      </c>
      <c r="S148" s="393"/>
    </row>
    <row r="149" spans="3:20" s="412" customFormat="1">
      <c r="C149" s="412" t="s">
        <v>1694</v>
      </c>
      <c r="J149" s="403"/>
      <c r="K149" s="400"/>
      <c r="L149" s="413"/>
      <c r="M149" s="414"/>
      <c r="N149" s="414"/>
      <c r="O149" s="415"/>
      <c r="Q149" s="413"/>
      <c r="R149" s="416">
        <f>SUM(R150:R154)</f>
        <v>11381.06</v>
      </c>
      <c r="S149" s="417">
        <f>SUM(S150:S154)</f>
        <v>22877.600000000002</v>
      </c>
    </row>
    <row r="150" spans="3:20">
      <c r="D150" s="372" t="s">
        <v>1695</v>
      </c>
      <c r="J150" s="403"/>
      <c r="K150" s="400"/>
      <c r="L150" s="393"/>
      <c r="M150" s="407"/>
      <c r="N150" s="407"/>
      <c r="O150" s="405"/>
      <c r="Q150" s="393"/>
      <c r="S150" s="393"/>
    </row>
    <row r="151" spans="3:20">
      <c r="E151" s="372" t="s">
        <v>1696</v>
      </c>
      <c r="J151" s="403"/>
      <c r="K151" s="400"/>
      <c r="L151" s="393"/>
      <c r="M151" s="404"/>
      <c r="N151" s="404"/>
      <c r="O151" s="405"/>
      <c r="Q151" s="393"/>
      <c r="S151" s="418">
        <f>5600*K5*K6</f>
        <v>22377.600000000002</v>
      </c>
      <c r="T151" s="372" t="s">
        <v>1697</v>
      </c>
    </row>
    <row r="152" spans="3:20">
      <c r="E152" s="372" t="s">
        <v>1698</v>
      </c>
      <c r="J152" s="403">
        <v>2</v>
      </c>
      <c r="K152" s="400">
        <v>1</v>
      </c>
      <c r="L152" s="393">
        <f t="shared" ref="L152:L167" si="26">J152*K152</f>
        <v>2</v>
      </c>
      <c r="M152" s="404"/>
      <c r="N152" s="404"/>
      <c r="O152" s="405">
        <f t="shared" ref="O152:O167" si="27">L152/$O$5</f>
        <v>7.9365079365079361E-3</v>
      </c>
      <c r="Q152" s="393"/>
      <c r="R152" s="406">
        <f>$M152*$O$7+$N152*$P$7+$O152*$Q$7</f>
        <v>1856</v>
      </c>
      <c r="S152" s="418">
        <v>200</v>
      </c>
    </row>
    <row r="153" spans="3:20">
      <c r="E153" s="372" t="s">
        <v>1699</v>
      </c>
      <c r="J153" s="403">
        <v>3</v>
      </c>
      <c r="K153" s="400">
        <v>1</v>
      </c>
      <c r="L153" s="393">
        <f t="shared" si="26"/>
        <v>3</v>
      </c>
      <c r="M153" s="404"/>
      <c r="N153" s="404"/>
      <c r="O153" s="405">
        <f t="shared" si="27"/>
        <v>1.1904761904761904E-2</v>
      </c>
      <c r="Q153" s="393"/>
      <c r="R153" s="406">
        <f>$M153*$O$7+$N153*$P$7+$O153*$Q$7</f>
        <v>2784</v>
      </c>
      <c r="S153" s="418">
        <v>300</v>
      </c>
    </row>
    <row r="154" spans="3:20">
      <c r="D154" s="372" t="s">
        <v>1700</v>
      </c>
      <c r="I154" s="372">
        <v>1</v>
      </c>
      <c r="J154" s="403">
        <v>3</v>
      </c>
      <c r="K154" s="400">
        <v>2</v>
      </c>
      <c r="L154" s="393">
        <f t="shared" si="26"/>
        <v>6</v>
      </c>
      <c r="M154" s="404"/>
      <c r="N154" s="404">
        <f>I154/$O$5</f>
        <v>3.968253968253968E-3</v>
      </c>
      <c r="O154" s="405">
        <f t="shared" si="27"/>
        <v>2.3809523809523808E-2</v>
      </c>
      <c r="Q154" s="393"/>
      <c r="R154" s="406">
        <f>$M154*$O$7+$N154*$P$7+$O154*$Q$7</f>
        <v>6741.0599999999995</v>
      </c>
      <c r="S154" s="393"/>
    </row>
    <row r="155" spans="3:20" s="412" customFormat="1">
      <c r="C155" s="412" t="s">
        <v>1701</v>
      </c>
      <c r="J155" s="403"/>
      <c r="K155" s="400"/>
      <c r="L155" s="413"/>
      <c r="M155" s="414"/>
      <c r="N155" s="414"/>
      <c r="O155" s="415"/>
      <c r="Q155" s="413"/>
      <c r="R155" s="416">
        <f>SUM(R156:R167)</f>
        <v>37298.472000000002</v>
      </c>
      <c r="S155" s="429">
        <f>SUM(S156:S167)</f>
        <v>0</v>
      </c>
    </row>
    <row r="156" spans="3:20">
      <c r="D156" s="372" t="s">
        <v>1702</v>
      </c>
      <c r="I156" s="372">
        <v>1</v>
      </c>
      <c r="J156" s="403">
        <v>1</v>
      </c>
      <c r="K156" s="400">
        <v>2</v>
      </c>
      <c r="L156" s="393">
        <f t="shared" si="26"/>
        <v>2</v>
      </c>
      <c r="M156" s="404"/>
      <c r="N156" s="404">
        <f>I156/$O$5</f>
        <v>3.968253968253968E-3</v>
      </c>
      <c r="O156" s="405">
        <f t="shared" si="27"/>
        <v>7.9365079365079361E-3</v>
      </c>
      <c r="Q156" s="393"/>
      <c r="R156" s="406">
        <f>$M156*$O$7+$N156*$P$7+$O156*$Q$7</f>
        <v>3029.06</v>
      </c>
      <c r="S156" s="393"/>
    </row>
    <row r="157" spans="3:20">
      <c r="D157" s="372" t="s">
        <v>1703</v>
      </c>
      <c r="J157" s="403"/>
      <c r="K157" s="400"/>
      <c r="L157" s="393"/>
      <c r="M157" s="404"/>
      <c r="N157" s="404"/>
      <c r="O157" s="405"/>
      <c r="Q157" s="393"/>
      <c r="S157" s="393"/>
    </row>
    <row r="158" spans="3:20">
      <c r="D158" s="372" t="s">
        <v>1704</v>
      </c>
      <c r="H158" s="372">
        <v>1</v>
      </c>
      <c r="J158" s="403">
        <v>3</v>
      </c>
      <c r="K158" s="400">
        <v>2</v>
      </c>
      <c r="L158" s="393">
        <f t="shared" si="26"/>
        <v>6</v>
      </c>
      <c r="M158" s="404">
        <f>H158/$O$5</f>
        <v>3.968253968253968E-3</v>
      </c>
      <c r="N158" s="404"/>
      <c r="O158" s="405">
        <f t="shared" si="27"/>
        <v>2.3809523809523808E-2</v>
      </c>
      <c r="Q158" s="393"/>
      <c r="R158" s="406">
        <f>$M158*$O$7+$N158*$P$7+$O158*$Q$7</f>
        <v>7112.3519999999999</v>
      </c>
      <c r="S158" s="393"/>
    </row>
    <row r="159" spans="3:20">
      <c r="D159" s="372" t="s">
        <v>1705</v>
      </c>
      <c r="J159" s="403"/>
      <c r="K159" s="400"/>
      <c r="L159" s="393"/>
      <c r="M159" s="404"/>
      <c r="N159" s="404"/>
      <c r="O159" s="405"/>
      <c r="Q159" s="393"/>
      <c r="S159" s="393"/>
    </row>
    <row r="160" spans="3:20">
      <c r="D160" s="372" t="s">
        <v>1706</v>
      </c>
      <c r="J160" s="403">
        <v>2</v>
      </c>
      <c r="K160" s="400">
        <v>2</v>
      </c>
      <c r="L160" s="393">
        <f t="shared" si="26"/>
        <v>4</v>
      </c>
      <c r="M160" s="404"/>
      <c r="N160" s="404"/>
      <c r="O160" s="405">
        <f t="shared" si="27"/>
        <v>1.5873015873015872E-2</v>
      </c>
      <c r="Q160" s="393"/>
      <c r="R160" s="406">
        <f t="shared" ref="R160:R167" si="28">$M160*$O$7+$N160*$P$7+$O160*$Q$7</f>
        <v>3712</v>
      </c>
      <c r="S160" s="393"/>
    </row>
    <row r="161" spans="2:19">
      <c r="D161" s="372" t="s">
        <v>1707</v>
      </c>
      <c r="J161" s="403">
        <v>1</v>
      </c>
      <c r="K161" s="400">
        <v>2</v>
      </c>
      <c r="L161" s="393">
        <f t="shared" si="26"/>
        <v>2</v>
      </c>
      <c r="M161" s="404"/>
      <c r="N161" s="404"/>
      <c r="O161" s="405">
        <f t="shared" si="27"/>
        <v>7.9365079365079361E-3</v>
      </c>
      <c r="Q161" s="393"/>
      <c r="R161" s="406">
        <f t="shared" si="28"/>
        <v>1856</v>
      </c>
      <c r="S161" s="393"/>
    </row>
    <row r="162" spans="2:19">
      <c r="D162" s="372" t="s">
        <v>1708</v>
      </c>
      <c r="J162" s="403">
        <v>2</v>
      </c>
      <c r="K162" s="400">
        <v>2</v>
      </c>
      <c r="L162" s="393">
        <f t="shared" si="26"/>
        <v>4</v>
      </c>
      <c r="M162" s="404"/>
      <c r="N162" s="404"/>
      <c r="O162" s="405">
        <f t="shared" si="27"/>
        <v>1.5873015873015872E-2</v>
      </c>
      <c r="Q162" s="393"/>
      <c r="R162" s="406">
        <f t="shared" si="28"/>
        <v>3712</v>
      </c>
      <c r="S162" s="393"/>
    </row>
    <row r="163" spans="2:19">
      <c r="D163" s="372" t="s">
        <v>1709</v>
      </c>
      <c r="J163" s="403">
        <v>1</v>
      </c>
      <c r="K163" s="400">
        <v>2</v>
      </c>
      <c r="L163" s="393">
        <f t="shared" si="26"/>
        <v>2</v>
      </c>
      <c r="M163" s="404"/>
      <c r="N163" s="404"/>
      <c r="O163" s="405">
        <f t="shared" si="27"/>
        <v>7.9365079365079361E-3</v>
      </c>
      <c r="Q163" s="393"/>
      <c r="R163" s="406">
        <f t="shared" si="28"/>
        <v>1856</v>
      </c>
      <c r="S163" s="393"/>
    </row>
    <row r="164" spans="2:19">
      <c r="D164" s="372" t="s">
        <v>1710</v>
      </c>
      <c r="I164" s="372">
        <v>1</v>
      </c>
      <c r="J164" s="403">
        <v>3</v>
      </c>
      <c r="K164" s="400">
        <v>2</v>
      </c>
      <c r="L164" s="393">
        <f t="shared" si="26"/>
        <v>6</v>
      </c>
      <c r="M164" s="404"/>
      <c r="N164" s="404">
        <f>I164/$O$5</f>
        <v>3.968253968253968E-3</v>
      </c>
      <c r="O164" s="405">
        <f t="shared" si="27"/>
        <v>2.3809523809523808E-2</v>
      </c>
      <c r="Q164" s="393"/>
      <c r="R164" s="406">
        <f t="shared" si="28"/>
        <v>6741.0599999999995</v>
      </c>
      <c r="S164" s="393"/>
    </row>
    <row r="165" spans="2:19">
      <c r="D165" s="372" t="s">
        <v>1711</v>
      </c>
      <c r="J165" s="403">
        <v>1</v>
      </c>
      <c r="K165" s="400">
        <v>2</v>
      </c>
      <c r="L165" s="393">
        <f t="shared" si="26"/>
        <v>2</v>
      </c>
      <c r="M165" s="404"/>
      <c r="N165" s="404"/>
      <c r="O165" s="405">
        <f t="shared" si="27"/>
        <v>7.9365079365079361E-3</v>
      </c>
      <c r="Q165" s="393"/>
      <c r="R165" s="406">
        <f t="shared" si="28"/>
        <v>1856</v>
      </c>
      <c r="S165" s="393"/>
    </row>
    <row r="166" spans="2:19">
      <c r="D166" s="372" t="s">
        <v>1712</v>
      </c>
      <c r="J166" s="403">
        <v>2</v>
      </c>
      <c r="K166" s="400">
        <v>2</v>
      </c>
      <c r="L166" s="393">
        <f t="shared" si="26"/>
        <v>4</v>
      </c>
      <c r="M166" s="404"/>
      <c r="N166" s="404"/>
      <c r="O166" s="405">
        <f t="shared" si="27"/>
        <v>1.5873015873015872E-2</v>
      </c>
      <c r="Q166" s="393"/>
      <c r="R166" s="406">
        <f t="shared" si="28"/>
        <v>3712</v>
      </c>
      <c r="S166" s="393"/>
    </row>
    <row r="167" spans="2:19">
      <c r="D167" s="372" t="s">
        <v>1713</v>
      </c>
      <c r="J167" s="403">
        <v>2</v>
      </c>
      <c r="K167" s="400">
        <v>2</v>
      </c>
      <c r="L167" s="393">
        <f t="shared" si="26"/>
        <v>4</v>
      </c>
      <c r="M167" s="404"/>
      <c r="N167" s="404"/>
      <c r="O167" s="405">
        <f t="shared" si="27"/>
        <v>1.5873015873015872E-2</v>
      </c>
      <c r="Q167" s="393"/>
      <c r="R167" s="406">
        <f t="shared" si="28"/>
        <v>3712</v>
      </c>
      <c r="S167" s="393"/>
    </row>
    <row r="168" spans="2:19" s="408" customFormat="1">
      <c r="B168" s="408" t="s">
        <v>1714</v>
      </c>
      <c r="J168" s="422">
        <f>SUM(J169:J180)</f>
        <v>18.5</v>
      </c>
      <c r="L168" s="409"/>
      <c r="M168" s="410">
        <f>SUM(M169:M180)</f>
        <v>3.7698412698412696E-2</v>
      </c>
      <c r="N168" s="410">
        <f t="shared" ref="N168:O168" si="29">SUM(N169:N180)</f>
        <v>0</v>
      </c>
      <c r="O168" s="410">
        <f t="shared" si="29"/>
        <v>0.15079365079365076</v>
      </c>
      <c r="Q168" s="409"/>
      <c r="R168" s="411">
        <f>SUM(R169:R180)</f>
        <v>49935.343999999997</v>
      </c>
      <c r="S168" s="409">
        <f>SUM(S169:S180)*$I$8</f>
        <v>0</v>
      </c>
    </row>
    <row r="169" spans="2:19" s="412" customFormat="1">
      <c r="C169" s="412" t="s">
        <v>1715</v>
      </c>
      <c r="J169" s="403">
        <v>1</v>
      </c>
      <c r="K169" s="400">
        <v>2</v>
      </c>
      <c r="L169" s="413">
        <f>J169*K169</f>
        <v>2</v>
      </c>
      <c r="M169" s="414"/>
      <c r="N169" s="414"/>
      <c r="O169" s="415">
        <f>L169/$O$5</f>
        <v>7.9365079365079361E-3</v>
      </c>
      <c r="Q169" s="413"/>
      <c r="R169" s="416">
        <f>$M169*$O$7+$N169*$P$7+$O169*$Q$7</f>
        <v>1856</v>
      </c>
      <c r="S169" s="429"/>
    </row>
    <row r="170" spans="2:19" s="412" customFormat="1">
      <c r="C170" s="412" t="s">
        <v>1716</v>
      </c>
      <c r="H170" s="412">
        <v>1</v>
      </c>
      <c r="J170" s="403">
        <v>3</v>
      </c>
      <c r="K170" s="400">
        <v>2</v>
      </c>
      <c r="L170" s="413">
        <f t="shared" ref="L170:L180" si="30">J170*K170</f>
        <v>6</v>
      </c>
      <c r="M170" s="430">
        <f>H170/$O$5</f>
        <v>3.968253968253968E-3</v>
      </c>
      <c r="N170" s="414"/>
      <c r="O170" s="415">
        <f t="shared" ref="O170:O180" si="31">L170/$O$5</f>
        <v>2.3809523809523808E-2</v>
      </c>
      <c r="Q170" s="413"/>
      <c r="R170" s="416">
        <f t="shared" ref="R170:R183" si="32">$M170*$O$7+$N170*$P$7+$O170*$Q$7</f>
        <v>7112.3519999999999</v>
      </c>
      <c r="S170" s="429"/>
    </row>
    <row r="171" spans="2:19" s="412" customFormat="1">
      <c r="C171" s="412" t="s">
        <v>1717</v>
      </c>
      <c r="J171" s="403">
        <v>1</v>
      </c>
      <c r="K171" s="400">
        <v>2</v>
      </c>
      <c r="L171" s="413">
        <f t="shared" si="30"/>
        <v>2</v>
      </c>
      <c r="M171" s="414"/>
      <c r="N171" s="414"/>
      <c r="O171" s="415">
        <f t="shared" si="31"/>
        <v>7.9365079365079361E-3</v>
      </c>
      <c r="Q171" s="413"/>
      <c r="R171" s="416">
        <f t="shared" si="32"/>
        <v>1856</v>
      </c>
      <c r="S171" s="429"/>
    </row>
    <row r="172" spans="2:19" s="412" customFormat="1">
      <c r="C172" s="412" t="s">
        <v>1718</v>
      </c>
      <c r="J172" s="403">
        <v>1.5</v>
      </c>
      <c r="K172" s="400">
        <v>2</v>
      </c>
      <c r="L172" s="413">
        <f t="shared" si="30"/>
        <v>3</v>
      </c>
      <c r="M172" s="414"/>
      <c r="N172" s="414"/>
      <c r="O172" s="415">
        <f t="shared" si="31"/>
        <v>1.1904761904761904E-2</v>
      </c>
      <c r="Q172" s="413"/>
      <c r="R172" s="416">
        <f t="shared" si="32"/>
        <v>2784</v>
      </c>
      <c r="S172" s="429"/>
    </row>
    <row r="173" spans="2:19" s="412" customFormat="1">
      <c r="C173" s="412" t="s">
        <v>1719</v>
      </c>
      <c r="J173" s="403">
        <v>1</v>
      </c>
      <c r="K173" s="400">
        <v>2</v>
      </c>
      <c r="L173" s="413">
        <f t="shared" si="30"/>
        <v>2</v>
      </c>
      <c r="M173" s="414"/>
      <c r="N173" s="414"/>
      <c r="O173" s="415">
        <f t="shared" si="31"/>
        <v>7.9365079365079361E-3</v>
      </c>
      <c r="Q173" s="413"/>
      <c r="R173" s="416">
        <f t="shared" si="32"/>
        <v>1856</v>
      </c>
      <c r="S173" s="429"/>
    </row>
    <row r="174" spans="2:19" s="412" customFormat="1">
      <c r="C174" s="412" t="s">
        <v>1720</v>
      </c>
      <c r="H174" s="412">
        <v>2.5</v>
      </c>
      <c r="J174" s="403">
        <v>2</v>
      </c>
      <c r="K174" s="400">
        <v>3</v>
      </c>
      <c r="L174" s="413">
        <f t="shared" si="30"/>
        <v>6</v>
      </c>
      <c r="M174" s="430">
        <f>H174/$O$5</f>
        <v>9.9206349206349201E-3</v>
      </c>
      <c r="N174" s="414"/>
      <c r="O174" s="415">
        <f t="shared" si="31"/>
        <v>2.3809523809523808E-2</v>
      </c>
      <c r="Q174" s="413"/>
      <c r="R174" s="416">
        <f t="shared" si="32"/>
        <v>9428.880000000001</v>
      </c>
      <c r="S174" s="429"/>
    </row>
    <row r="175" spans="2:19" s="412" customFormat="1">
      <c r="C175" s="412" t="s">
        <v>1721</v>
      </c>
      <c r="J175" s="403">
        <v>1</v>
      </c>
      <c r="K175" s="400">
        <v>2</v>
      </c>
      <c r="L175" s="413">
        <f t="shared" si="30"/>
        <v>2</v>
      </c>
      <c r="M175" s="414"/>
      <c r="N175" s="414"/>
      <c r="O175" s="415">
        <f t="shared" si="31"/>
        <v>7.9365079365079361E-3</v>
      </c>
      <c r="Q175" s="413"/>
      <c r="R175" s="416">
        <f t="shared" si="32"/>
        <v>1856</v>
      </c>
      <c r="S175" s="429"/>
    </row>
    <row r="176" spans="2:19" s="412" customFormat="1">
      <c r="C176" s="412" t="s">
        <v>1722</v>
      </c>
      <c r="H176" s="412">
        <v>2</v>
      </c>
      <c r="J176" s="403">
        <v>1</v>
      </c>
      <c r="K176" s="400">
        <v>2</v>
      </c>
      <c r="L176" s="413">
        <f t="shared" si="30"/>
        <v>2</v>
      </c>
      <c r="M176" s="430">
        <f t="shared" ref="M176:N183" si="33">H176/$O$5</f>
        <v>7.9365079365079361E-3</v>
      </c>
      <c r="N176" s="414"/>
      <c r="O176" s="415">
        <f t="shared" si="31"/>
        <v>7.9365079365079361E-3</v>
      </c>
      <c r="Q176" s="413"/>
      <c r="R176" s="416">
        <f t="shared" si="32"/>
        <v>4944.7039999999997</v>
      </c>
      <c r="S176" s="429"/>
    </row>
    <row r="177" spans="2:20" s="412" customFormat="1">
      <c r="C177" s="412" t="s">
        <v>1723</v>
      </c>
      <c r="H177" s="412">
        <v>2</v>
      </c>
      <c r="J177" s="403">
        <v>1</v>
      </c>
      <c r="K177" s="400">
        <v>2</v>
      </c>
      <c r="L177" s="413">
        <f t="shared" si="30"/>
        <v>2</v>
      </c>
      <c r="M177" s="430">
        <f t="shared" si="33"/>
        <v>7.9365079365079361E-3</v>
      </c>
      <c r="N177" s="414"/>
      <c r="O177" s="415">
        <f t="shared" si="31"/>
        <v>7.9365079365079361E-3</v>
      </c>
      <c r="Q177" s="413"/>
      <c r="R177" s="416">
        <f t="shared" si="32"/>
        <v>4944.7039999999997</v>
      </c>
      <c r="S177" s="429"/>
    </row>
    <row r="178" spans="2:20" s="412" customFormat="1">
      <c r="C178" s="412" t="s">
        <v>1724</v>
      </c>
      <c r="J178" s="403">
        <v>2</v>
      </c>
      <c r="K178" s="400">
        <v>2</v>
      </c>
      <c r="L178" s="413">
        <f t="shared" si="30"/>
        <v>4</v>
      </c>
      <c r="M178" s="430"/>
      <c r="N178" s="414"/>
      <c r="O178" s="415">
        <f t="shared" si="31"/>
        <v>1.5873015873015872E-2</v>
      </c>
      <c r="Q178" s="413"/>
      <c r="R178" s="416">
        <f t="shared" si="32"/>
        <v>3712</v>
      </c>
      <c r="S178" s="429"/>
    </row>
    <row r="179" spans="2:20" s="412" customFormat="1">
      <c r="C179" s="412" t="s">
        <v>1725</v>
      </c>
      <c r="H179" s="412">
        <v>1</v>
      </c>
      <c r="J179" s="403">
        <v>3</v>
      </c>
      <c r="K179" s="400">
        <v>2</v>
      </c>
      <c r="L179" s="413">
        <f t="shared" si="30"/>
        <v>6</v>
      </c>
      <c r="M179" s="430">
        <f t="shared" si="33"/>
        <v>3.968253968253968E-3</v>
      </c>
      <c r="N179" s="414"/>
      <c r="O179" s="415">
        <f t="shared" si="31"/>
        <v>2.3809523809523808E-2</v>
      </c>
      <c r="Q179" s="413"/>
      <c r="R179" s="416">
        <f t="shared" si="32"/>
        <v>7112.3519999999999</v>
      </c>
      <c r="S179" s="429"/>
    </row>
    <row r="180" spans="2:20" s="412" customFormat="1">
      <c r="C180" s="412" t="s">
        <v>1726</v>
      </c>
      <c r="H180" s="412">
        <v>1</v>
      </c>
      <c r="J180" s="403">
        <v>1</v>
      </c>
      <c r="K180" s="400">
        <v>1</v>
      </c>
      <c r="L180" s="413">
        <f t="shared" si="30"/>
        <v>1</v>
      </c>
      <c r="M180" s="430">
        <f t="shared" si="33"/>
        <v>3.968253968253968E-3</v>
      </c>
      <c r="N180" s="414"/>
      <c r="O180" s="415">
        <f t="shared" si="31"/>
        <v>3.968253968253968E-3</v>
      </c>
      <c r="Q180" s="413"/>
      <c r="R180" s="416">
        <f t="shared" si="32"/>
        <v>2472.3519999999999</v>
      </c>
      <c r="S180" s="429"/>
    </row>
    <row r="181" spans="2:20" s="408" customFormat="1">
      <c r="B181" s="408" t="s">
        <v>1727</v>
      </c>
      <c r="J181" s="422">
        <f>SUM(J185:J187)</f>
        <v>11</v>
      </c>
      <c r="L181" s="409"/>
      <c r="M181" s="410">
        <f>M182+M187+M197+M198+M199+M200</f>
        <v>9.1269841269841265E-2</v>
      </c>
      <c r="N181" s="410">
        <f>N182</f>
        <v>3.968253968253968E-2</v>
      </c>
      <c r="O181" s="410">
        <f>O185+O186+O198</f>
        <v>4.7619047619047616E-2</v>
      </c>
      <c r="Q181" s="409"/>
      <c r="R181" s="411">
        <f>SUM(R182+R184+R197+R199+R200)</f>
        <v>54369.991999999998</v>
      </c>
      <c r="S181" s="423">
        <f>SUM(S182+S184+S197+S199+S200)*$I$8</f>
        <v>1250</v>
      </c>
    </row>
    <row r="182" spans="2:20" s="412" customFormat="1">
      <c r="C182" s="412" t="s">
        <v>1728</v>
      </c>
      <c r="H182" s="412">
        <v>5</v>
      </c>
      <c r="I182" s="412">
        <v>10</v>
      </c>
      <c r="J182" s="403"/>
      <c r="K182" s="400"/>
      <c r="L182" s="413"/>
      <c r="M182" s="430">
        <f t="shared" si="33"/>
        <v>1.984126984126984E-2</v>
      </c>
      <c r="N182" s="430">
        <f t="shared" si="33"/>
        <v>3.968253968253968E-2</v>
      </c>
      <c r="O182" s="415"/>
      <c r="Q182" s="413"/>
      <c r="R182" s="416">
        <f t="shared" si="32"/>
        <v>19452.36</v>
      </c>
      <c r="S182" s="413"/>
    </row>
    <row r="183" spans="2:20" s="412" customFormat="1">
      <c r="C183" s="465" t="s">
        <v>1729</v>
      </c>
      <c r="D183" s="465"/>
      <c r="E183" s="465"/>
      <c r="F183" s="465"/>
      <c r="G183" s="465"/>
      <c r="H183" s="465">
        <v>5</v>
      </c>
      <c r="I183" s="465">
        <v>5</v>
      </c>
      <c r="J183" s="466"/>
      <c r="K183" s="467"/>
      <c r="L183" s="468"/>
      <c r="M183" s="469">
        <f t="shared" si="33"/>
        <v>1.984126984126984E-2</v>
      </c>
      <c r="N183" s="469">
        <f t="shared" si="33"/>
        <v>1.984126984126984E-2</v>
      </c>
      <c r="O183" s="470"/>
      <c r="P183" s="465"/>
      <c r="Q183" s="468"/>
      <c r="R183" s="471">
        <f t="shared" si="32"/>
        <v>13587.06</v>
      </c>
      <c r="S183" s="468"/>
      <c r="T183" s="465" t="s">
        <v>1730</v>
      </c>
    </row>
    <row r="184" spans="2:20" s="412" customFormat="1">
      <c r="C184" s="412" t="s">
        <v>1731</v>
      </c>
      <c r="J184" s="403"/>
      <c r="K184" s="400"/>
      <c r="L184" s="413"/>
      <c r="M184" s="414"/>
      <c r="N184" s="414"/>
      <c r="O184" s="415"/>
      <c r="Q184" s="413"/>
      <c r="R184" s="416">
        <f>SUM(R185:R187)</f>
        <v>13296.704</v>
      </c>
      <c r="S184" s="417">
        <f>SUM(S185:S187)</f>
        <v>1000</v>
      </c>
    </row>
    <row r="185" spans="2:20">
      <c r="D185" s="372" t="s">
        <v>1732</v>
      </c>
      <c r="J185" s="403">
        <v>10</v>
      </c>
      <c r="K185" s="400">
        <v>1</v>
      </c>
      <c r="L185" s="393">
        <f>J185*K185</f>
        <v>10</v>
      </c>
      <c r="M185" s="404"/>
      <c r="N185" s="404"/>
      <c r="O185" s="405">
        <f t="shared" ref="O185:O186" si="34">L185/$O$5</f>
        <v>3.968253968253968E-2</v>
      </c>
      <c r="Q185" s="393"/>
      <c r="R185" s="406">
        <f>$M185*$O$7+$N185*$P$7+$O185*$Q$7</f>
        <v>9280</v>
      </c>
      <c r="S185" s="393"/>
    </row>
    <row r="186" spans="2:20">
      <c r="D186" s="372" t="s">
        <v>1733</v>
      </c>
      <c r="J186" s="403">
        <v>1</v>
      </c>
      <c r="K186" s="400">
        <v>1</v>
      </c>
      <c r="L186" s="393">
        <f>J186*K186</f>
        <v>1</v>
      </c>
      <c r="M186" s="407"/>
      <c r="N186" s="407"/>
      <c r="O186" s="405">
        <f t="shared" si="34"/>
        <v>3.968253968253968E-3</v>
      </c>
      <c r="Q186" s="393"/>
      <c r="R186" s="406">
        <f>$M186*$O$7+$N186*$P$7+$O186*$Q$7</f>
        <v>928</v>
      </c>
      <c r="S186" s="418">
        <v>1000</v>
      </c>
    </row>
    <row r="187" spans="2:20">
      <c r="D187" s="372" t="s">
        <v>1734</v>
      </c>
      <c r="H187" s="372">
        <v>2</v>
      </c>
      <c r="J187" s="403"/>
      <c r="K187" s="400"/>
      <c r="L187" s="393"/>
      <c r="M187" s="404">
        <f>H187/$O$5</f>
        <v>7.9365079365079361E-3</v>
      </c>
      <c r="N187" s="407"/>
      <c r="O187" s="405"/>
      <c r="Q187" s="393"/>
      <c r="R187" s="406">
        <f>$M187*$O$7+$N187*$P$7+$O187*$Q$7</f>
        <v>3088.7040000000002</v>
      </c>
      <c r="S187" s="393"/>
    </row>
    <row r="188" spans="2:20" s="412" customFormat="1">
      <c r="C188" s="465" t="s">
        <v>1735</v>
      </c>
      <c r="D188" s="465"/>
      <c r="E188" s="465"/>
      <c r="F188" s="465"/>
      <c r="G188" s="465"/>
      <c r="H188" s="465"/>
      <c r="I188" s="465"/>
      <c r="J188" s="466"/>
      <c r="K188" s="467"/>
      <c r="L188" s="468"/>
      <c r="M188" s="472"/>
      <c r="N188" s="472"/>
      <c r="O188" s="470"/>
      <c r="P188" s="465"/>
      <c r="Q188" s="468"/>
      <c r="R188" s="471">
        <f>SUM(R189:R192)</f>
        <v>18709.775999999998</v>
      </c>
      <c r="S188" s="473">
        <f>SUM(S189:S192)</f>
        <v>5188</v>
      </c>
      <c r="T188" s="465" t="s">
        <v>1730</v>
      </c>
    </row>
    <row r="189" spans="2:20">
      <c r="C189" s="474"/>
      <c r="D189" s="474" t="s">
        <v>1736</v>
      </c>
      <c r="E189" s="474"/>
      <c r="F189" s="474"/>
      <c r="G189" s="474"/>
      <c r="H189" s="474">
        <v>2</v>
      </c>
      <c r="I189" s="474">
        <v>12</v>
      </c>
      <c r="J189" s="466"/>
      <c r="K189" s="467"/>
      <c r="L189" s="475"/>
      <c r="M189" s="476">
        <f>H189/$O$5</f>
        <v>7.9365079365079361E-3</v>
      </c>
      <c r="N189" s="476">
        <f>I189/$O$5</f>
        <v>4.7619047619047616E-2</v>
      </c>
      <c r="O189" s="477"/>
      <c r="P189" s="474"/>
      <c r="Q189" s="475"/>
      <c r="R189" s="478">
        <f>$M189*$O$7+$N189*$P$7+$O189*$Q$7</f>
        <v>17165.423999999999</v>
      </c>
      <c r="S189" s="475"/>
      <c r="T189" s="474"/>
    </row>
    <row r="190" spans="2:20">
      <c r="C190" s="474"/>
      <c r="D190" s="474" t="s">
        <v>1737</v>
      </c>
      <c r="E190" s="474"/>
      <c r="F190" s="474"/>
      <c r="G190" s="474"/>
      <c r="H190" s="474"/>
      <c r="I190" s="474"/>
      <c r="J190" s="466"/>
      <c r="K190" s="467"/>
      <c r="L190" s="475"/>
      <c r="M190" s="479"/>
      <c r="N190" s="479"/>
      <c r="O190" s="477"/>
      <c r="P190" s="474"/>
      <c r="Q190" s="475"/>
      <c r="R190" s="474"/>
      <c r="S190" s="480">
        <f>2000*I5*I6</f>
        <v>2688.0000000000005</v>
      </c>
      <c r="T190" s="474" t="s">
        <v>1738</v>
      </c>
    </row>
    <row r="191" spans="2:20">
      <c r="C191" s="474"/>
      <c r="D191" s="474" t="s">
        <v>1739</v>
      </c>
      <c r="E191" s="474"/>
      <c r="F191" s="474"/>
      <c r="G191" s="474"/>
      <c r="H191" s="474"/>
      <c r="I191" s="474"/>
      <c r="J191" s="466"/>
      <c r="K191" s="467"/>
      <c r="L191" s="475"/>
      <c r="M191" s="479"/>
      <c r="N191" s="479"/>
      <c r="O191" s="477"/>
      <c r="P191" s="474"/>
      <c r="Q191" s="475"/>
      <c r="R191" s="474"/>
      <c r="S191" s="480">
        <v>2500</v>
      </c>
      <c r="T191" s="474"/>
    </row>
    <row r="192" spans="2:20">
      <c r="C192" s="474"/>
      <c r="D192" s="474" t="s">
        <v>1740</v>
      </c>
      <c r="E192" s="474"/>
      <c r="F192" s="474"/>
      <c r="G192" s="474"/>
      <c r="H192" s="474">
        <v>1</v>
      </c>
      <c r="I192" s="474"/>
      <c r="J192" s="466"/>
      <c r="K192" s="467"/>
      <c r="L192" s="475"/>
      <c r="M192" s="476">
        <f>H192/$O$5</f>
        <v>3.968253968253968E-3</v>
      </c>
      <c r="N192" s="479"/>
      <c r="O192" s="477"/>
      <c r="P192" s="474"/>
      <c r="Q192" s="475"/>
      <c r="R192" s="478">
        <f>$M192*$O$7+$N192*$P$7+$O192*$Q$7</f>
        <v>1544.3520000000001</v>
      </c>
      <c r="S192" s="475"/>
      <c r="T192" s="474"/>
    </row>
    <row r="193" spans="3:20" s="412" customFormat="1">
      <c r="C193" s="465" t="s">
        <v>1741</v>
      </c>
      <c r="D193" s="465"/>
      <c r="E193" s="465"/>
      <c r="F193" s="465"/>
      <c r="G193" s="465"/>
      <c r="H193" s="465"/>
      <c r="I193" s="465"/>
      <c r="J193" s="466"/>
      <c r="K193" s="467"/>
      <c r="L193" s="468"/>
      <c r="M193" s="472"/>
      <c r="N193" s="472"/>
      <c r="O193" s="470"/>
      <c r="P193" s="465"/>
      <c r="Q193" s="468"/>
      <c r="R193" s="471">
        <f>SUM(R194:R196)</f>
        <v>11440.704</v>
      </c>
      <c r="S193" s="473">
        <f>SUM(S194:S196)</f>
        <v>1000</v>
      </c>
      <c r="T193" s="465" t="s">
        <v>1730</v>
      </c>
    </row>
    <row r="194" spans="3:20">
      <c r="C194" s="474"/>
      <c r="D194" s="474" t="s">
        <v>1742</v>
      </c>
      <c r="E194" s="474"/>
      <c r="F194" s="474"/>
      <c r="G194" s="474"/>
      <c r="H194" s="474"/>
      <c r="I194" s="474"/>
      <c r="J194" s="466">
        <v>7</v>
      </c>
      <c r="K194" s="467">
        <v>1</v>
      </c>
      <c r="L194" s="475">
        <f>J194*K194</f>
        <v>7</v>
      </c>
      <c r="M194" s="479"/>
      <c r="N194" s="479"/>
      <c r="O194" s="477">
        <f t="shared" ref="O194:O195" si="35">L194/$O$5</f>
        <v>2.7777777777777776E-2</v>
      </c>
      <c r="P194" s="474"/>
      <c r="Q194" s="475"/>
      <c r="R194" s="478">
        <f t="shared" ref="R194:R200" si="36">$M194*$O$7+$N194*$P$7+$O194*$Q$7</f>
        <v>6496</v>
      </c>
      <c r="S194" s="475"/>
      <c r="T194" s="474"/>
    </row>
    <row r="195" spans="3:20">
      <c r="C195" s="474"/>
      <c r="D195" s="474" t="s">
        <v>1743</v>
      </c>
      <c r="E195" s="474"/>
      <c r="F195" s="474"/>
      <c r="G195" s="474"/>
      <c r="H195" s="474"/>
      <c r="I195" s="474"/>
      <c r="J195" s="466">
        <v>2</v>
      </c>
      <c r="K195" s="467">
        <v>1</v>
      </c>
      <c r="L195" s="475">
        <f>J195*K195</f>
        <v>2</v>
      </c>
      <c r="M195" s="479"/>
      <c r="N195" s="479"/>
      <c r="O195" s="477">
        <f t="shared" si="35"/>
        <v>7.9365079365079361E-3</v>
      </c>
      <c r="P195" s="474"/>
      <c r="Q195" s="475"/>
      <c r="R195" s="478">
        <f t="shared" si="36"/>
        <v>1856</v>
      </c>
      <c r="S195" s="480">
        <v>1000</v>
      </c>
      <c r="T195" s="474"/>
    </row>
    <row r="196" spans="3:20">
      <c r="C196" s="474"/>
      <c r="D196" s="474" t="s">
        <v>1744</v>
      </c>
      <c r="E196" s="474"/>
      <c r="F196" s="474"/>
      <c r="G196" s="474"/>
      <c r="H196" s="474">
        <v>2</v>
      </c>
      <c r="I196" s="474"/>
      <c r="J196" s="466"/>
      <c r="K196" s="467"/>
      <c r="L196" s="475"/>
      <c r="M196" s="476">
        <f>H196/$O$5</f>
        <v>7.9365079365079361E-3</v>
      </c>
      <c r="N196" s="479"/>
      <c r="O196" s="477"/>
      <c r="P196" s="474"/>
      <c r="Q196" s="475"/>
      <c r="R196" s="478">
        <f t="shared" si="36"/>
        <v>3088.7040000000002</v>
      </c>
      <c r="S196" s="475"/>
      <c r="T196" s="474"/>
    </row>
    <row r="197" spans="3:20" s="412" customFormat="1">
      <c r="C197" s="412" t="s">
        <v>1745</v>
      </c>
      <c r="H197" s="412">
        <v>5</v>
      </c>
      <c r="J197" s="403"/>
      <c r="K197" s="400"/>
      <c r="L197" s="413"/>
      <c r="M197" s="430">
        <f t="shared" ref="M197:M200" si="37">H197/$O$5</f>
        <v>1.984126984126984E-2</v>
      </c>
      <c r="N197" s="414"/>
      <c r="O197" s="415"/>
      <c r="Q197" s="413"/>
      <c r="R197" s="416">
        <f t="shared" si="36"/>
        <v>7721.76</v>
      </c>
      <c r="S197" s="429"/>
    </row>
    <row r="198" spans="3:20" s="412" customFormat="1">
      <c r="C198" s="412" t="s">
        <v>1746</v>
      </c>
      <c r="H198" s="412">
        <v>2</v>
      </c>
      <c r="J198" s="403">
        <v>4</v>
      </c>
      <c r="K198" s="400"/>
      <c r="L198" s="413">
        <v>1</v>
      </c>
      <c r="M198" s="430">
        <f t="shared" si="37"/>
        <v>7.9365079365079361E-3</v>
      </c>
      <c r="N198" s="414"/>
      <c r="O198" s="415">
        <f t="shared" ref="O198" si="38">L198/$O$5</f>
        <v>3.968253968253968E-3</v>
      </c>
      <c r="Q198" s="413"/>
      <c r="R198" s="416">
        <f t="shared" si="36"/>
        <v>4016.7040000000002</v>
      </c>
      <c r="S198" s="429"/>
    </row>
    <row r="199" spans="3:20" s="412" customFormat="1">
      <c r="C199" s="412" t="s">
        <v>1747</v>
      </c>
      <c r="H199" s="412">
        <v>2</v>
      </c>
      <c r="J199" s="403"/>
      <c r="K199" s="400"/>
      <c r="L199" s="413"/>
      <c r="M199" s="430">
        <f t="shared" si="37"/>
        <v>7.9365079365079361E-3</v>
      </c>
      <c r="N199" s="414"/>
      <c r="O199" s="415"/>
      <c r="Q199" s="413"/>
      <c r="R199" s="416">
        <f t="shared" si="36"/>
        <v>3088.7040000000002</v>
      </c>
      <c r="S199" s="429"/>
    </row>
    <row r="200" spans="3:20" s="412" customFormat="1">
      <c r="C200" s="412" t="s">
        <v>1748</v>
      </c>
      <c r="H200" s="412">
        <v>7</v>
      </c>
      <c r="J200" s="403"/>
      <c r="K200" s="400"/>
      <c r="L200" s="413"/>
      <c r="M200" s="430">
        <f t="shared" si="37"/>
        <v>2.7777777777777776E-2</v>
      </c>
      <c r="N200" s="414"/>
      <c r="O200" s="415"/>
      <c r="Q200" s="413"/>
      <c r="R200" s="416">
        <f t="shared" si="36"/>
        <v>10810.464</v>
      </c>
      <c r="S200" s="429"/>
    </row>
    <row r="201" spans="3:20">
      <c r="M201" s="407"/>
      <c r="N201" s="407"/>
      <c r="O201" s="407"/>
    </row>
    <row r="202" spans="3:20">
      <c r="M202" s="407"/>
      <c r="N202" s="407"/>
      <c r="O202" s="407"/>
    </row>
    <row r="203" spans="3:20">
      <c r="M203" s="407"/>
      <c r="N203" s="407"/>
      <c r="O203" s="407"/>
    </row>
    <row r="204" spans="3:20">
      <c r="M204" s="407"/>
      <c r="N204" s="407"/>
      <c r="O204" s="407"/>
    </row>
    <row r="205" spans="3:20">
      <c r="M205" s="407"/>
      <c r="N205" s="407"/>
      <c r="O205" s="40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"/>
  <sheetViews>
    <sheetView zoomScale="80" zoomScaleNormal="80" workbookViewId="0">
      <selection activeCell="D39" sqref="D39"/>
    </sheetView>
  </sheetViews>
  <sheetFormatPr defaultRowHeight="15"/>
  <cols>
    <col min="1" max="1" width="5.42578125" style="167" customWidth="1"/>
    <col min="2" max="2" width="38.7109375" style="167" customWidth="1"/>
    <col min="3" max="3" width="13.140625" style="167" customWidth="1"/>
    <col min="4" max="4" width="5.28515625" style="167" customWidth="1"/>
    <col min="5" max="5" width="12" style="167" customWidth="1"/>
    <col min="6" max="6" width="10.7109375" style="167" customWidth="1"/>
    <col min="7" max="16" width="13.7109375" style="167" customWidth="1"/>
    <col min="17" max="17" width="34.7109375" style="167" bestFit="1" customWidth="1"/>
    <col min="18" max="16384" width="9.140625" style="167"/>
  </cols>
  <sheetData>
    <row r="1" spans="1:21" ht="15.75" thickTop="1">
      <c r="A1" s="2"/>
      <c r="B1" s="2"/>
      <c r="C1" s="2"/>
      <c r="D1" s="2"/>
      <c r="E1" s="2"/>
      <c r="F1" s="2"/>
      <c r="G1" s="2"/>
      <c r="H1" s="2"/>
      <c r="I1" s="2"/>
      <c r="J1" s="554"/>
      <c r="K1" s="544" t="s">
        <v>1543</v>
      </c>
      <c r="L1" s="539" t="s">
        <v>1540</v>
      </c>
      <c r="M1" s="580" t="s">
        <v>1541</v>
      </c>
      <c r="N1" s="580"/>
      <c r="O1" s="580"/>
      <c r="P1" s="581"/>
      <c r="Q1" s="556"/>
    </row>
    <row r="2" spans="1:21" ht="15.75" thickBot="1">
      <c r="A2" s="543"/>
      <c r="B2" s="543"/>
      <c r="C2" s="543"/>
      <c r="D2" s="543"/>
      <c r="E2" s="543"/>
      <c r="F2" s="543"/>
      <c r="G2" s="543"/>
      <c r="H2" s="543"/>
      <c r="I2" s="543"/>
      <c r="J2" s="555"/>
      <c r="K2" s="549" t="s">
        <v>1775</v>
      </c>
      <c r="L2" s="457">
        <v>0</v>
      </c>
      <c r="M2" s="457">
        <v>4</v>
      </c>
      <c r="N2" s="457">
        <v>8</v>
      </c>
      <c r="O2" s="457">
        <v>6</v>
      </c>
      <c r="P2" s="458">
        <v>2</v>
      </c>
      <c r="Q2" s="557"/>
    </row>
    <row r="3" spans="1:21" ht="16.5" thickTop="1" thickBot="1">
      <c r="A3" s="544"/>
      <c r="B3" s="545"/>
      <c r="C3" s="546"/>
      <c r="D3" s="546"/>
      <c r="E3" s="546"/>
      <c r="F3" s="337"/>
      <c r="G3" s="337"/>
      <c r="H3" s="337"/>
      <c r="I3" s="337"/>
      <c r="J3" s="337"/>
      <c r="K3" s="553"/>
      <c r="L3" s="553"/>
      <c r="M3" s="553"/>
      <c r="N3" s="553"/>
      <c r="O3" s="553"/>
      <c r="P3" s="553"/>
      <c r="Q3" s="340"/>
    </row>
    <row r="4" spans="1:21" ht="15.75" thickBot="1">
      <c r="A4" s="325"/>
      <c r="B4" s="521"/>
      <c r="C4" s="522"/>
      <c r="D4" s="2"/>
      <c r="E4" s="2"/>
      <c r="F4" s="2"/>
      <c r="G4" s="523"/>
      <c r="H4" s="523">
        <v>2013</v>
      </c>
      <c r="I4" s="523">
        <v>2014</v>
      </c>
      <c r="J4" s="523">
        <v>2015</v>
      </c>
      <c r="K4" s="523">
        <v>2016</v>
      </c>
      <c r="L4" s="523">
        <v>2017</v>
      </c>
      <c r="M4" s="523">
        <v>2018</v>
      </c>
      <c r="N4" s="523">
        <v>2019</v>
      </c>
      <c r="O4" s="523">
        <v>2020</v>
      </c>
      <c r="P4" s="523">
        <v>2021</v>
      </c>
      <c r="Q4" s="326"/>
      <c r="S4" s="577" t="s">
        <v>1354</v>
      </c>
      <c r="T4" s="578"/>
      <c r="U4" s="579"/>
    </row>
    <row r="5" spans="1:21" ht="15.75" thickBot="1">
      <c r="A5" s="325"/>
      <c r="B5" s="521" t="s">
        <v>1353</v>
      </c>
      <c r="C5" s="522">
        <f>Overheads!C23</f>
        <v>0.2039</v>
      </c>
      <c r="D5" s="2"/>
      <c r="E5" s="2"/>
      <c r="F5" s="2"/>
      <c r="G5" s="2" t="s">
        <v>1352</v>
      </c>
      <c r="H5" s="524">
        <f>1+U8</f>
        <v>1.0269999999999999</v>
      </c>
      <c r="I5" s="524">
        <f>1+U9</f>
        <v>1.0547</v>
      </c>
      <c r="J5" s="524">
        <f>1+U10</f>
        <v>1.0831999999999999</v>
      </c>
      <c r="K5" s="524">
        <f>1+U11</f>
        <v>1.1124000000000001</v>
      </c>
      <c r="L5" s="524">
        <f>1+U12</f>
        <v>1.1424000000000001</v>
      </c>
      <c r="M5" s="524">
        <f>1+U14</f>
        <v>1.1732</v>
      </c>
      <c r="N5" s="524">
        <f>1+U15</f>
        <v>1.2049000000000001</v>
      </c>
      <c r="O5" s="524">
        <f>1+U16</f>
        <v>1.2374000000000001</v>
      </c>
      <c r="P5" s="524">
        <f>1+U17</f>
        <v>1.2707999999999999</v>
      </c>
      <c r="Q5" s="326"/>
      <c r="S5" s="352"/>
      <c r="T5"/>
      <c r="U5" s="352"/>
    </row>
    <row r="6" spans="1:21" ht="15.75" thickBot="1">
      <c r="A6" s="325"/>
      <c r="B6" s="2"/>
      <c r="C6" s="2"/>
      <c r="D6" s="2"/>
      <c r="E6" s="2"/>
      <c r="F6" s="2"/>
      <c r="G6" s="2"/>
      <c r="H6" s="2"/>
      <c r="I6" s="540"/>
      <c r="J6" s="540"/>
      <c r="K6" s="540"/>
      <c r="L6" s="540"/>
      <c r="M6" s="540"/>
      <c r="N6" s="540"/>
      <c r="O6" s="540"/>
      <c r="P6" s="540"/>
      <c r="Q6" s="326"/>
      <c r="S6" s="353" t="s">
        <v>1355</v>
      </c>
      <c r="T6" s="354" t="s">
        <v>127</v>
      </c>
      <c r="U6" s="355" t="s">
        <v>1356</v>
      </c>
    </row>
    <row r="7" spans="1:21" ht="15.75" thickBot="1">
      <c r="A7" s="325"/>
      <c r="B7" s="2"/>
      <c r="C7" s="6" t="s">
        <v>1332</v>
      </c>
      <c r="D7" s="25"/>
      <c r="E7" s="25"/>
      <c r="F7" s="25"/>
      <c r="G7" s="25"/>
      <c r="H7" s="25"/>
      <c r="I7" s="25"/>
      <c r="J7" s="525"/>
      <c r="K7" s="25"/>
      <c r="L7" s="25"/>
      <c r="M7" s="25"/>
      <c r="N7" s="25"/>
      <c r="O7" s="25"/>
      <c r="P7" s="25"/>
      <c r="Q7" s="326"/>
      <c r="S7" s="353">
        <v>2012</v>
      </c>
      <c r="T7" s="356" t="s">
        <v>1357</v>
      </c>
      <c r="U7" s="357"/>
    </row>
    <row r="8" spans="1:21" ht="15.75" thickBot="1">
      <c r="A8" s="325" t="s">
        <v>667</v>
      </c>
      <c r="B8" s="2"/>
      <c r="C8" s="6" t="s">
        <v>1333</v>
      </c>
      <c r="D8" s="25"/>
      <c r="E8" s="25"/>
      <c r="F8" s="25"/>
      <c r="G8" s="25"/>
      <c r="H8" s="25"/>
      <c r="I8" s="313"/>
      <c r="J8" s="25"/>
      <c r="K8" s="25"/>
      <c r="L8" s="25"/>
      <c r="M8" s="25"/>
      <c r="N8" s="25"/>
      <c r="O8" s="25"/>
      <c r="P8" s="25"/>
      <c r="Q8" s="326" t="s">
        <v>1334</v>
      </c>
      <c r="S8" s="353">
        <v>2013</v>
      </c>
      <c r="T8" s="358">
        <v>8.0000000000000002E-3</v>
      </c>
      <c r="U8" s="358">
        <v>2.7E-2</v>
      </c>
    </row>
    <row r="9" spans="1:21" ht="15.75" thickBot="1">
      <c r="A9" s="325"/>
      <c r="B9" s="2"/>
      <c r="C9" s="333" t="s">
        <v>1335</v>
      </c>
      <c r="D9" s="538" t="s">
        <v>15</v>
      </c>
      <c r="E9" s="333" t="s">
        <v>1321</v>
      </c>
      <c r="F9" s="25" t="s">
        <v>1365</v>
      </c>
      <c r="G9" s="25"/>
      <c r="H9" s="25"/>
      <c r="I9" s="526"/>
      <c r="J9" s="313"/>
      <c r="K9" s="313"/>
      <c r="L9" s="313"/>
      <c r="M9" s="313"/>
      <c r="N9" s="25"/>
      <c r="O9" s="25"/>
      <c r="P9" s="25"/>
      <c r="Q9" s="326"/>
      <c r="S9" s="353">
        <v>2014</v>
      </c>
      <c r="T9" s="358">
        <v>2.8199999999999999E-2</v>
      </c>
      <c r="U9" s="358">
        <v>5.4699999999999999E-2</v>
      </c>
    </row>
    <row r="10" spans="1:21" ht="15.75" thickBot="1">
      <c r="A10" s="325"/>
      <c r="B10" s="2" t="s">
        <v>1358</v>
      </c>
      <c r="C10" s="335">
        <f>'M&amp;S Cost Estimate for MQXF'!D4+'M&amp;S Cost Estimate for MQXF'!D5</f>
        <v>214509.04356060608</v>
      </c>
      <c r="D10" s="538">
        <v>6</v>
      </c>
      <c r="E10" s="335">
        <f t="shared" ref="E10:E25" si="0">C10*D10</f>
        <v>1287054.2613636365</v>
      </c>
      <c r="F10" s="527">
        <f>1+C5</f>
        <v>1.2039</v>
      </c>
      <c r="G10" s="25"/>
      <c r="H10" s="25"/>
      <c r="I10" s="335"/>
      <c r="J10" s="528"/>
      <c r="K10" s="528">
        <f>E10*F10*K5</f>
        <v>1723646.6971344205</v>
      </c>
      <c r="L10" s="25"/>
      <c r="M10" s="25"/>
      <c r="N10" s="25"/>
      <c r="O10" s="25"/>
      <c r="P10" s="25"/>
      <c r="Q10" s="326"/>
      <c r="S10" s="353">
        <v>2015</v>
      </c>
      <c r="T10" s="358">
        <v>5.3900000000000003E-2</v>
      </c>
      <c r="U10" s="358">
        <v>8.3199999999999996E-2</v>
      </c>
    </row>
    <row r="11" spans="1:21" s="567" customFormat="1" ht="15.75" thickBot="1">
      <c r="A11" s="561"/>
      <c r="B11" s="101" t="s">
        <v>1359</v>
      </c>
      <c r="C11" s="562">
        <f>'M&amp;S Cost Estimate for MQXF'!D4+'M&amp;S Cost Estimate for MQXF'!D5</f>
        <v>214509.04356060608</v>
      </c>
      <c r="D11" s="563">
        <v>0</v>
      </c>
      <c r="E11" s="562">
        <f t="shared" si="0"/>
        <v>0</v>
      </c>
      <c r="F11" s="564">
        <f>1+C5</f>
        <v>1.2039</v>
      </c>
      <c r="G11" s="101"/>
      <c r="H11" s="101"/>
      <c r="I11" s="562"/>
      <c r="J11" s="562">
        <f>E11*F11*J5</f>
        <v>0</v>
      </c>
      <c r="K11" s="565"/>
      <c r="L11" s="565"/>
      <c r="M11" s="565"/>
      <c r="N11" s="101"/>
      <c r="O11" s="101"/>
      <c r="P11" s="101"/>
      <c r="Q11" s="566"/>
      <c r="S11" s="568">
        <v>2016</v>
      </c>
      <c r="T11" s="569">
        <v>8.0199999999999994E-2</v>
      </c>
      <c r="U11" s="569">
        <v>0.1124</v>
      </c>
    </row>
    <row r="12" spans="1:21" ht="15.75" thickBot="1">
      <c r="A12" s="325"/>
      <c r="B12" s="2" t="s">
        <v>1336</v>
      </c>
      <c r="C12" s="335">
        <v>0</v>
      </c>
      <c r="D12" s="538"/>
      <c r="E12" s="335">
        <f t="shared" si="0"/>
        <v>0</v>
      </c>
      <c r="F12" s="52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326"/>
      <c r="S12" s="353">
        <v>2017</v>
      </c>
      <c r="T12" s="358">
        <v>0.1072</v>
      </c>
      <c r="U12" s="358">
        <v>0.1424</v>
      </c>
    </row>
    <row r="13" spans="1:21" ht="15.75" thickBot="1">
      <c r="A13" s="325"/>
      <c r="B13" s="25" t="s">
        <v>263</v>
      </c>
      <c r="C13" s="335"/>
      <c r="D13" s="538"/>
      <c r="E13" s="335"/>
      <c r="F13" s="52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326"/>
      <c r="S13" s="353"/>
      <c r="T13" s="358"/>
      <c r="U13" s="358"/>
    </row>
    <row r="14" spans="1:21" ht="15.75" thickBot="1">
      <c r="A14" s="325"/>
      <c r="B14" s="2" t="s">
        <v>1337</v>
      </c>
      <c r="C14" s="335">
        <v>0</v>
      </c>
      <c r="D14" s="538"/>
      <c r="E14" s="335">
        <f t="shared" si="0"/>
        <v>0</v>
      </c>
      <c r="F14" s="52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326"/>
      <c r="S14" s="353">
        <v>2018</v>
      </c>
      <c r="T14" s="358">
        <v>0.13489999999999999</v>
      </c>
      <c r="U14" s="358">
        <v>0.17319999999999999</v>
      </c>
    </row>
    <row r="15" spans="1:21" ht="15.75" thickBot="1">
      <c r="A15" s="325"/>
      <c r="B15" s="2" t="s">
        <v>1338</v>
      </c>
      <c r="C15" s="335">
        <v>181000</v>
      </c>
      <c r="D15" s="538">
        <v>4</v>
      </c>
      <c r="E15" s="335">
        <f t="shared" si="0"/>
        <v>724000</v>
      </c>
      <c r="F15" s="527">
        <f>1+C5</f>
        <v>1.2039</v>
      </c>
      <c r="G15" s="25"/>
      <c r="H15" s="25"/>
      <c r="I15" s="335"/>
      <c r="J15" s="528"/>
      <c r="K15" s="528">
        <f>E15*F15*K5</f>
        <v>969594.09264000005</v>
      </c>
      <c r="L15" s="25"/>
      <c r="M15" s="25"/>
      <c r="N15" s="25"/>
      <c r="O15" s="25"/>
      <c r="P15" s="25"/>
      <c r="Q15" s="326" t="s">
        <v>1363</v>
      </c>
      <c r="S15" s="353">
        <v>2019</v>
      </c>
      <c r="T15" s="358">
        <v>0.1633</v>
      </c>
      <c r="U15" s="358">
        <v>0.2049</v>
      </c>
    </row>
    <row r="16" spans="1:21" ht="15.75" thickBot="1">
      <c r="A16" s="325"/>
      <c r="B16" s="2"/>
      <c r="C16" s="335"/>
      <c r="D16" s="538"/>
      <c r="E16" s="335"/>
      <c r="F16" s="52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326"/>
      <c r="S16" s="353">
        <v>2020</v>
      </c>
      <c r="T16" s="358">
        <v>0.19239999999999999</v>
      </c>
      <c r="U16" s="358">
        <v>0.2374</v>
      </c>
    </row>
    <row r="17" spans="1:21" ht="15.75" thickBot="1">
      <c r="A17" s="325"/>
      <c r="B17" s="2" t="s">
        <v>1360</v>
      </c>
      <c r="C17" s="335">
        <v>600000</v>
      </c>
      <c r="D17" s="538">
        <v>2</v>
      </c>
      <c r="E17" s="335">
        <f t="shared" si="0"/>
        <v>1200000</v>
      </c>
      <c r="F17" s="527">
        <f>1+C5</f>
        <v>1.2039</v>
      </c>
      <c r="G17" s="25"/>
      <c r="H17" s="25"/>
      <c r="I17" s="335"/>
      <c r="J17" s="25"/>
      <c r="K17" s="528">
        <f>E17*F17*K5</f>
        <v>1607062.0320000001</v>
      </c>
      <c r="L17" s="25"/>
      <c r="M17" s="25"/>
      <c r="N17" s="25"/>
      <c r="O17" s="25"/>
      <c r="P17" s="25"/>
      <c r="Q17" s="326" t="s">
        <v>1774</v>
      </c>
      <c r="S17" s="353">
        <v>2021</v>
      </c>
      <c r="T17" s="358">
        <v>0.22159999999999999</v>
      </c>
      <c r="U17" s="358">
        <v>0.27079999999999999</v>
      </c>
    </row>
    <row r="18" spans="1:21" ht="15.75" thickBot="1">
      <c r="A18" s="325"/>
      <c r="B18" s="2" t="s">
        <v>1339</v>
      </c>
      <c r="C18" s="335">
        <v>100000</v>
      </c>
      <c r="D18" s="538">
        <v>4</v>
      </c>
      <c r="E18" s="335">
        <f t="shared" si="0"/>
        <v>400000</v>
      </c>
      <c r="F18" s="527">
        <f>1+C5</f>
        <v>1.2039</v>
      </c>
      <c r="G18" s="25"/>
      <c r="H18" s="25"/>
      <c r="I18" s="335"/>
      <c r="J18" s="25"/>
      <c r="K18" s="528">
        <f>E18*F18*K5</f>
        <v>535687.34400000004</v>
      </c>
      <c r="L18" s="25"/>
      <c r="M18" s="25"/>
      <c r="N18" s="25"/>
      <c r="O18" s="25"/>
      <c r="P18" s="25"/>
      <c r="Q18" s="326" t="s">
        <v>1363</v>
      </c>
      <c r="S18" s="353">
        <v>2022</v>
      </c>
      <c r="T18" s="358">
        <v>0.25269999999999998</v>
      </c>
      <c r="U18" s="358">
        <v>0.30509999999999998</v>
      </c>
    </row>
    <row r="19" spans="1:21" ht="15.75" thickBot="1">
      <c r="A19" s="325"/>
      <c r="B19" s="2" t="s">
        <v>1361</v>
      </c>
      <c r="C19" s="335">
        <f>'M&amp;S Cost Estimate for MQXF'!D6+'M&amp;S Cost Estimate for MQXF'!D7</f>
        <v>300221.52520661167</v>
      </c>
      <c r="D19" s="538">
        <v>6</v>
      </c>
      <c r="E19" s="335">
        <f t="shared" si="0"/>
        <v>1801329.1512396699</v>
      </c>
      <c r="F19" s="527">
        <f>1+C5</f>
        <v>1.2039</v>
      </c>
      <c r="G19" s="25"/>
      <c r="H19" s="25"/>
      <c r="I19" s="335"/>
      <c r="J19" s="25"/>
      <c r="K19" s="528">
        <f>E19*F19*K5</f>
        <v>2412373.0717433826</v>
      </c>
      <c r="L19" s="25"/>
      <c r="M19" s="25"/>
      <c r="N19" s="25"/>
      <c r="O19" s="25"/>
      <c r="P19" s="25"/>
      <c r="Q19" s="326"/>
      <c r="S19" s="353">
        <v>2023</v>
      </c>
      <c r="T19" s="358">
        <v>0.28399999999999997</v>
      </c>
      <c r="U19" s="358">
        <v>0.34029999999999999</v>
      </c>
    </row>
    <row r="20" spans="1:21" s="567" customFormat="1" ht="15.75" thickBot="1">
      <c r="A20" s="561"/>
      <c r="B20" s="101" t="s">
        <v>1362</v>
      </c>
      <c r="C20" s="562">
        <f>'M&amp;S Cost Estimate for MQXF'!D6+'M&amp;S Cost Estimate for MQXF'!D7</f>
        <v>300221.52520661167</v>
      </c>
      <c r="D20" s="563">
        <v>0</v>
      </c>
      <c r="E20" s="562">
        <f t="shared" si="0"/>
        <v>0</v>
      </c>
      <c r="F20" s="564">
        <f>1+C5</f>
        <v>1.2039</v>
      </c>
      <c r="G20" s="101"/>
      <c r="H20" s="101"/>
      <c r="I20" s="562"/>
      <c r="J20" s="570">
        <f>E20*F20*J5</f>
        <v>0</v>
      </c>
      <c r="K20" s="101"/>
      <c r="L20" s="101"/>
      <c r="M20" s="101"/>
      <c r="N20" s="101"/>
      <c r="O20" s="101"/>
      <c r="P20" s="101"/>
      <c r="Q20" s="566"/>
      <c r="S20" s="568">
        <v>2024</v>
      </c>
      <c r="T20" s="569">
        <v>0.31609999999999999</v>
      </c>
      <c r="U20" s="569">
        <v>0.3765</v>
      </c>
    </row>
    <row r="21" spans="1:21" s="567" customFormat="1" ht="15.75" thickBot="1">
      <c r="A21" s="561"/>
      <c r="B21" s="101" t="s">
        <v>1340</v>
      </c>
      <c r="C21" s="562">
        <f>'QX estimate WBS Final'!Q59</f>
        <v>70825</v>
      </c>
      <c r="D21" s="563">
        <v>0</v>
      </c>
      <c r="E21" s="562">
        <f t="shared" si="0"/>
        <v>0</v>
      </c>
      <c r="F21" s="564">
        <v>1</v>
      </c>
      <c r="G21" s="101"/>
      <c r="H21" s="101"/>
      <c r="I21" s="562"/>
      <c r="J21" s="562">
        <f>E21*F21*J5</f>
        <v>0</v>
      </c>
      <c r="K21" s="101"/>
      <c r="L21" s="101"/>
      <c r="M21" s="101"/>
      <c r="N21" s="101"/>
      <c r="O21" s="101"/>
      <c r="P21" s="101"/>
      <c r="Q21" s="566" t="s">
        <v>1749</v>
      </c>
      <c r="S21" s="568">
        <v>2025</v>
      </c>
      <c r="T21" s="569">
        <v>0.34899999999999998</v>
      </c>
      <c r="U21" s="569">
        <v>0.41370000000000001</v>
      </c>
    </row>
    <row r="22" spans="1:21">
      <c r="A22" s="325"/>
      <c r="B22" s="2" t="s">
        <v>1341</v>
      </c>
      <c r="C22" s="335">
        <v>0</v>
      </c>
      <c r="D22" s="538">
        <v>0</v>
      </c>
      <c r="E22" s="335">
        <f t="shared" si="0"/>
        <v>0</v>
      </c>
      <c r="F22" s="527">
        <f>1+C5</f>
        <v>1.2039</v>
      </c>
      <c r="G22" s="25"/>
      <c r="H22" s="25"/>
      <c r="I22" s="335"/>
      <c r="J22" s="335">
        <f>E22*F22*J5</f>
        <v>0</v>
      </c>
      <c r="K22" s="25"/>
      <c r="L22" s="25"/>
      <c r="M22" s="25"/>
      <c r="N22" s="25"/>
      <c r="O22" s="25"/>
      <c r="P22" s="25"/>
      <c r="Q22" s="326" t="s">
        <v>1363</v>
      </c>
    </row>
    <row r="23" spans="1:21">
      <c r="A23" s="325"/>
      <c r="B23" s="2" t="s">
        <v>1342</v>
      </c>
      <c r="C23" s="335">
        <v>0</v>
      </c>
      <c r="D23" s="538">
        <v>0</v>
      </c>
      <c r="E23" s="335">
        <f t="shared" si="0"/>
        <v>0</v>
      </c>
      <c r="F23" s="527">
        <f>1+C5</f>
        <v>1.2039</v>
      </c>
      <c r="G23" s="25"/>
      <c r="H23" s="25"/>
      <c r="I23" s="335"/>
      <c r="J23" s="335">
        <f>E23*F23*J5</f>
        <v>0</v>
      </c>
      <c r="K23" s="25"/>
      <c r="L23" s="25"/>
      <c r="M23" s="25"/>
      <c r="N23" s="25"/>
      <c r="O23" s="25"/>
      <c r="P23" s="25"/>
      <c r="Q23" s="326" t="s">
        <v>1363</v>
      </c>
    </row>
    <row r="24" spans="1:21" s="567" customFormat="1">
      <c r="A24" s="561"/>
      <c r="B24" s="101" t="s">
        <v>172</v>
      </c>
      <c r="C24" s="562">
        <f>'Cryostat - half-length'!J33</f>
        <v>151018.08829618906</v>
      </c>
      <c r="D24" s="563">
        <v>0</v>
      </c>
      <c r="E24" s="562">
        <f t="shared" si="0"/>
        <v>0</v>
      </c>
      <c r="F24" s="564">
        <f>1+C5</f>
        <v>1.2039</v>
      </c>
      <c r="G24" s="101"/>
      <c r="H24" s="101"/>
      <c r="I24" s="562"/>
      <c r="J24" s="562">
        <f>E24*F24*J5</f>
        <v>0</v>
      </c>
      <c r="K24" s="101"/>
      <c r="L24" s="101"/>
      <c r="M24" s="101"/>
      <c r="N24" s="101"/>
      <c r="O24" s="101"/>
      <c r="P24" s="101"/>
      <c r="Q24" s="566"/>
    </row>
    <row r="25" spans="1:21" s="567" customFormat="1">
      <c r="A25" s="561"/>
      <c r="B25" s="101" t="s">
        <v>1364</v>
      </c>
      <c r="C25" s="571">
        <f>GETPIVOTDATA("M&amp;S ($K)",'Test Stand'!$A$3)*1000</f>
        <v>441934.72000000003</v>
      </c>
      <c r="D25" s="563">
        <v>0</v>
      </c>
      <c r="E25" s="562">
        <f t="shared" si="0"/>
        <v>0</v>
      </c>
      <c r="F25" s="572">
        <f>1+C5</f>
        <v>1.2039</v>
      </c>
      <c r="G25" s="101"/>
      <c r="H25" s="101"/>
      <c r="I25" s="101"/>
      <c r="J25" s="562">
        <f>E25*F25*J5</f>
        <v>0</v>
      </c>
      <c r="K25" s="101"/>
      <c r="L25" s="101"/>
      <c r="M25" s="101"/>
      <c r="N25" s="101"/>
      <c r="O25" s="101"/>
      <c r="P25" s="101"/>
      <c r="Q25" s="566"/>
    </row>
    <row r="26" spans="1:21">
      <c r="A26" s="325"/>
      <c r="B26" s="25" t="s">
        <v>1776</v>
      </c>
      <c r="C26" s="335">
        <f>SUM(C10:C24)</f>
        <v>2132304.2258306248</v>
      </c>
      <c r="D26" s="335"/>
      <c r="E26" s="335">
        <f t="shared" ref="E26" si="1">SUM(E10:E24)</f>
        <v>5412383.4126033066</v>
      </c>
      <c r="F26" s="23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326"/>
    </row>
    <row r="27" spans="1:21">
      <c r="A27" s="325"/>
      <c r="B27" s="2"/>
      <c r="C27" s="25"/>
      <c r="D27" s="538"/>
      <c r="E27" s="25"/>
      <c r="F27" s="23"/>
      <c r="G27" s="25"/>
      <c r="H27" s="25" t="s">
        <v>1371</v>
      </c>
      <c r="I27" s="25"/>
      <c r="J27" s="25"/>
      <c r="K27" s="25"/>
      <c r="L27" s="25">
        <f>L2</f>
        <v>0</v>
      </c>
      <c r="M27" s="25">
        <f t="shared" ref="M27:P27" si="2">M2</f>
        <v>4</v>
      </c>
      <c r="N27" s="25">
        <f t="shared" si="2"/>
        <v>8</v>
      </c>
      <c r="O27" s="25">
        <f t="shared" si="2"/>
        <v>6</v>
      </c>
      <c r="P27" s="25">
        <f t="shared" si="2"/>
        <v>2</v>
      </c>
      <c r="Q27" s="326"/>
    </row>
    <row r="28" spans="1:21">
      <c r="A28" s="325" t="s">
        <v>1343</v>
      </c>
      <c r="B28" s="2"/>
      <c r="C28" s="335"/>
      <c r="D28" s="538"/>
      <c r="E28" s="335"/>
      <c r="F28" s="530"/>
      <c r="G28" s="25"/>
      <c r="H28" s="25" t="s">
        <v>1372</v>
      </c>
      <c r="I28" s="531"/>
      <c r="J28" s="531">
        <v>0</v>
      </c>
      <c r="K28" s="531">
        <v>5</v>
      </c>
      <c r="L28" s="531">
        <v>10</v>
      </c>
      <c r="M28" s="531">
        <v>22</v>
      </c>
      <c r="N28" s="531">
        <v>32</v>
      </c>
      <c r="O28" s="531">
        <v>26</v>
      </c>
      <c r="P28" s="531"/>
      <c r="Q28" s="547"/>
    </row>
    <row r="29" spans="1:21">
      <c r="A29" s="325"/>
      <c r="B29" s="2"/>
      <c r="C29" s="335"/>
      <c r="D29" s="538"/>
      <c r="E29" s="335"/>
      <c r="F29" s="530"/>
      <c r="G29" s="25"/>
      <c r="H29" s="25" t="s">
        <v>1373</v>
      </c>
      <c r="I29" s="532"/>
      <c r="J29" s="532"/>
      <c r="K29" s="533"/>
      <c r="L29" s="531">
        <f>L2</f>
        <v>0</v>
      </c>
      <c r="M29" s="531">
        <f t="shared" ref="M29:P29" si="3">M2</f>
        <v>4</v>
      </c>
      <c r="N29" s="531">
        <f t="shared" si="3"/>
        <v>8</v>
      </c>
      <c r="O29" s="531">
        <f t="shared" si="3"/>
        <v>6</v>
      </c>
      <c r="P29" s="531">
        <f t="shared" si="3"/>
        <v>2</v>
      </c>
      <c r="Q29" s="547"/>
    </row>
    <row r="30" spans="1:21">
      <c r="A30" s="325"/>
      <c r="B30" s="2"/>
      <c r="C30" s="333"/>
      <c r="D30" s="538"/>
      <c r="E30" s="333" t="s">
        <v>1321</v>
      </c>
      <c r="F30" s="23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326"/>
    </row>
    <row r="31" spans="1:21">
      <c r="A31" s="325"/>
      <c r="B31" s="2" t="s">
        <v>1366</v>
      </c>
      <c r="C31" s="335">
        <f>'M&amp;S Cost Estimate for MQXF'!D9</f>
        <v>50580.091136363641</v>
      </c>
      <c r="D31" s="538">
        <v>81</v>
      </c>
      <c r="E31" s="335">
        <f t="shared" ref="E31:E40" si="4">C31*D31</f>
        <v>4096987.3820454548</v>
      </c>
      <c r="F31" s="527">
        <f>1+C5</f>
        <v>1.2039</v>
      </c>
      <c r="G31" s="25"/>
      <c r="H31" s="25"/>
      <c r="I31" s="335"/>
      <c r="J31" s="335"/>
      <c r="K31" s="335">
        <f>C31*F31*L28*K5</f>
        <v>677377.86700291454</v>
      </c>
      <c r="L31" s="335">
        <f>C31*F31*M28*L5</f>
        <v>1530420.9327409968</v>
      </c>
      <c r="M31" s="335">
        <f>C31*F31*N28*M5</f>
        <v>2286083.3184259455</v>
      </c>
      <c r="N31" s="534">
        <f>C31*F31*O28*N5</f>
        <v>1907631.0131919368</v>
      </c>
      <c r="O31" s="335"/>
      <c r="P31" s="25"/>
      <c r="Q31" s="331"/>
    </row>
    <row r="32" spans="1:21">
      <c r="A32" s="325"/>
      <c r="B32" s="2" t="s">
        <v>1778</v>
      </c>
      <c r="C32" s="335">
        <f>'M&amp;S Cost Estimate for MQXF'!D9</f>
        <v>50580.091136363641</v>
      </c>
      <c r="D32" s="538">
        <v>10</v>
      </c>
      <c r="E32" s="335">
        <f t="shared" si="4"/>
        <v>505800.91136363638</v>
      </c>
      <c r="F32" s="527">
        <f>1+C5</f>
        <v>1.2039</v>
      </c>
      <c r="G32" s="25"/>
      <c r="H32" s="25"/>
      <c r="I32" s="335"/>
      <c r="J32" s="335">
        <f>C32*F32*J5*J28*L2</f>
        <v>0</v>
      </c>
      <c r="K32" s="335">
        <f>C32*F32*K5*K28*L2</f>
        <v>0</v>
      </c>
      <c r="L32" s="335"/>
      <c r="M32" s="335"/>
      <c r="N32" s="535"/>
      <c r="O32" s="335"/>
      <c r="P32" s="25"/>
      <c r="Q32" s="326"/>
    </row>
    <row r="33" spans="1:17" s="567" customFormat="1">
      <c r="A33" s="561"/>
      <c r="B33" s="101" t="s">
        <v>1789</v>
      </c>
      <c r="C33" s="562">
        <f>'Cable cost MQXF  '!F20</f>
        <v>277404.11051420757</v>
      </c>
      <c r="D33" s="563">
        <v>0</v>
      </c>
      <c r="E33" s="562">
        <f t="shared" si="4"/>
        <v>0</v>
      </c>
      <c r="F33" s="564">
        <v>1</v>
      </c>
      <c r="G33" s="101"/>
      <c r="H33" s="101"/>
      <c r="I33" s="562"/>
      <c r="J33" s="562">
        <f>C33*F34*K28*J5*L2</f>
        <v>0</v>
      </c>
      <c r="K33" s="562"/>
      <c r="L33" s="562"/>
      <c r="M33" s="562"/>
      <c r="N33" s="573"/>
      <c r="O33" s="562"/>
      <c r="P33" s="101"/>
      <c r="Q33" s="566"/>
    </row>
    <row r="34" spans="1:17">
      <c r="A34" s="325"/>
      <c r="B34" s="2" t="s">
        <v>1344</v>
      </c>
      <c r="C34" s="335">
        <f>'Cable cost MQXF  '!F20</f>
        <v>277404.11051420757</v>
      </c>
      <c r="D34" s="538">
        <v>81</v>
      </c>
      <c r="E34" s="335">
        <f t="shared" si="4"/>
        <v>22469732.951650813</v>
      </c>
      <c r="F34" s="527">
        <v>1</v>
      </c>
      <c r="G34" s="25"/>
      <c r="H34" s="335"/>
      <c r="I34" s="335">
        <f>C34*F34*J28*I5*L2</f>
        <v>0</v>
      </c>
      <c r="J34" s="335"/>
      <c r="K34" s="335">
        <f>C34*F34*L28*K5</f>
        <v>3085843.3253600448</v>
      </c>
      <c r="L34" s="335">
        <f>C34*F34*M28*L5</f>
        <v>6971942.0287314765</v>
      </c>
      <c r="M34" s="335">
        <f>C34*F34*N28*M5</f>
        <v>10414416.078568587</v>
      </c>
      <c r="N34" s="335">
        <f>C34*F34*O28*N5</f>
        <v>8690349.5317227859</v>
      </c>
      <c r="O34" s="535"/>
      <c r="P34" s="25"/>
      <c r="Q34" s="326" t="s">
        <v>1772</v>
      </c>
    </row>
    <row r="35" spans="1:17">
      <c r="A35" s="325"/>
      <c r="B35" s="2" t="s">
        <v>1345</v>
      </c>
      <c r="C35" s="335">
        <v>361000</v>
      </c>
      <c r="D35" s="538">
        <v>0</v>
      </c>
      <c r="E35" s="335">
        <f t="shared" si="4"/>
        <v>0</v>
      </c>
      <c r="F35" s="527">
        <f>1+C5</f>
        <v>1.2039</v>
      </c>
      <c r="G35" s="25"/>
      <c r="H35" s="25"/>
      <c r="I35" s="335"/>
      <c r="J35" s="335"/>
      <c r="K35" s="335"/>
      <c r="L35" s="335"/>
      <c r="M35" s="335"/>
      <c r="N35" s="535"/>
      <c r="O35" s="335"/>
      <c r="P35" s="25"/>
      <c r="Q35" s="326" t="s">
        <v>1777</v>
      </c>
    </row>
    <row r="36" spans="1:17">
      <c r="A36" s="325"/>
      <c r="B36" s="2" t="s">
        <v>1346</v>
      </c>
      <c r="C36" s="335">
        <f>'QX estimate WBS Final'!S81+'QX estimate WBS Final'!S128+'QX estimate WBS Final'!S181</f>
        <v>663155</v>
      </c>
      <c r="D36" s="538">
        <v>20</v>
      </c>
      <c r="E36" s="335">
        <f t="shared" si="4"/>
        <v>13263100</v>
      </c>
      <c r="F36" s="527">
        <v>1</v>
      </c>
      <c r="G36" s="25"/>
      <c r="H36" s="25"/>
      <c r="I36" s="335"/>
      <c r="J36" s="335"/>
      <c r="K36" s="335">
        <f>C36*F36*L29*K5</f>
        <v>0</v>
      </c>
      <c r="L36" s="335">
        <f>C36*F36*M29*L5</f>
        <v>3030353.088</v>
      </c>
      <c r="M36" s="335">
        <f>C36*F36*N29*M5</f>
        <v>6224107.568</v>
      </c>
      <c r="N36" s="534">
        <f>C36*F36*O29*N5</f>
        <v>4794212.7570000002</v>
      </c>
      <c r="O36" s="534">
        <f>C36*F36*P29*O5</f>
        <v>1641175.9940000002</v>
      </c>
      <c r="P36" s="23"/>
      <c r="Q36" s="326" t="s">
        <v>1533</v>
      </c>
    </row>
    <row r="37" spans="1:17">
      <c r="A37" s="325"/>
      <c r="B37" s="2" t="s">
        <v>1368</v>
      </c>
      <c r="C37" s="335">
        <f>GETPIVOTDATA("M&amp;S ($K)",Operations!$A$3)*1000</f>
        <v>34000</v>
      </c>
      <c r="D37" s="538">
        <v>16</v>
      </c>
      <c r="E37" s="335">
        <f t="shared" si="4"/>
        <v>544000</v>
      </c>
      <c r="F37" s="527">
        <f>1+C5</f>
        <v>1.2039</v>
      </c>
      <c r="G37" s="25"/>
      <c r="H37" s="25"/>
      <c r="I37" s="335"/>
      <c r="J37" s="335"/>
      <c r="K37" s="335"/>
      <c r="L37" s="335"/>
      <c r="M37" s="335"/>
      <c r="N37" s="534">
        <f>C37*F37*N5*N27</f>
        <v>394557.51792000001</v>
      </c>
      <c r="O37" s="534">
        <f>C37*F37*O5*O27</f>
        <v>303899.99543999997</v>
      </c>
      <c r="P37" s="534">
        <f>C37*F37*P5*P27</f>
        <v>104034.29615999998</v>
      </c>
      <c r="Q37" s="326" t="s">
        <v>1749</v>
      </c>
    </row>
    <row r="38" spans="1:17" s="567" customFormat="1">
      <c r="A38" s="561"/>
      <c r="B38" s="101" t="s">
        <v>1369</v>
      </c>
      <c r="C38" s="562">
        <f>C37*2</f>
        <v>68000</v>
      </c>
      <c r="D38" s="563">
        <v>0</v>
      </c>
      <c r="E38" s="562">
        <f t="shared" si="4"/>
        <v>0</v>
      </c>
      <c r="F38" s="564">
        <f>1+C5</f>
        <v>1.2039</v>
      </c>
      <c r="G38" s="101"/>
      <c r="H38" s="101"/>
      <c r="I38" s="562"/>
      <c r="J38" s="562"/>
      <c r="K38" s="562"/>
      <c r="L38" s="562">
        <f>C38*F38*L5*L27</f>
        <v>0</v>
      </c>
      <c r="M38" s="562"/>
      <c r="N38" s="574"/>
      <c r="O38" s="574"/>
      <c r="P38" s="574"/>
      <c r="Q38" s="566"/>
    </row>
    <row r="39" spans="1:17">
      <c r="A39" s="325"/>
      <c r="B39" s="25" t="s">
        <v>1370</v>
      </c>
      <c r="C39" s="335">
        <f>C37*1.375</f>
        <v>46750</v>
      </c>
      <c r="D39" s="538">
        <v>2</v>
      </c>
      <c r="E39" s="335">
        <f t="shared" si="4"/>
        <v>93500</v>
      </c>
      <c r="F39" s="527">
        <f>1+C5</f>
        <v>1.2039</v>
      </c>
      <c r="G39" s="25"/>
      <c r="H39" s="25"/>
      <c r="I39" s="335"/>
      <c r="J39" s="335"/>
      <c r="K39" s="335"/>
      <c r="L39" s="335"/>
      <c r="M39" s="335">
        <f>E39*F39*M5</f>
        <v>132060.84737999999</v>
      </c>
      <c r="N39" s="534"/>
      <c r="O39" s="534"/>
      <c r="P39" s="534"/>
      <c r="Q39" s="326"/>
    </row>
    <row r="40" spans="1:17">
      <c r="A40" s="325"/>
      <c r="B40" s="2" t="s">
        <v>1347</v>
      </c>
      <c r="C40" s="335">
        <v>16000</v>
      </c>
      <c r="D40" s="538">
        <v>20</v>
      </c>
      <c r="E40" s="335">
        <f t="shared" si="4"/>
        <v>320000</v>
      </c>
      <c r="F40" s="527">
        <f>1+C5</f>
        <v>1.2039</v>
      </c>
      <c r="G40" s="25"/>
      <c r="H40" s="25"/>
      <c r="I40" s="335"/>
      <c r="J40" s="335">
        <f>((($E40*J$27)*$H$5)*($I$5))*$J$5*$F40</f>
        <v>0</v>
      </c>
      <c r="K40" s="335">
        <f>C40*F40*K5</f>
        <v>21427.493759999998</v>
      </c>
      <c r="L40" s="335">
        <f>C40*F40*L27*L5</f>
        <v>0</v>
      </c>
      <c r="M40" s="335">
        <f>C40*F40*M27*M5</f>
        <v>90394.590719999993</v>
      </c>
      <c r="N40" s="335">
        <f>C40*F40*N27*N5</f>
        <v>185674.12607999999</v>
      </c>
      <c r="O40" s="335">
        <f>C40*F40*O27*O5</f>
        <v>143011.76256</v>
      </c>
      <c r="P40" s="335">
        <f>C40*F40*P27*P5</f>
        <v>48957.315839999988</v>
      </c>
      <c r="Q40" s="331" t="s">
        <v>1367</v>
      </c>
    </row>
    <row r="41" spans="1:17">
      <c r="A41" s="32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26"/>
    </row>
    <row r="42" spans="1:17">
      <c r="A42" s="325"/>
      <c r="B42" s="2"/>
      <c r="C42" s="2"/>
      <c r="D42" s="2"/>
      <c r="E42" s="2"/>
      <c r="F42" s="2"/>
      <c r="G42" s="523" t="s">
        <v>1348</v>
      </c>
      <c r="H42" s="2"/>
      <c r="I42" s="523">
        <v>2014</v>
      </c>
      <c r="J42" s="523">
        <v>2015</v>
      </c>
      <c r="K42" s="523">
        <v>2016</v>
      </c>
      <c r="L42" s="523">
        <v>2017</v>
      </c>
      <c r="M42" s="523">
        <v>2018</v>
      </c>
      <c r="N42" s="523">
        <v>2019</v>
      </c>
      <c r="O42" s="523">
        <v>2020</v>
      </c>
      <c r="P42" s="523">
        <v>2021</v>
      </c>
      <c r="Q42" s="326"/>
    </row>
    <row r="43" spans="1:17">
      <c r="A43" s="325"/>
      <c r="B43" s="2"/>
      <c r="C43" s="2" t="s">
        <v>1790</v>
      </c>
      <c r="D43" s="2"/>
      <c r="E43" s="2"/>
      <c r="F43" s="2"/>
      <c r="G43" s="368">
        <f>SUM(H43:P43)</f>
        <v>0</v>
      </c>
      <c r="H43" s="559">
        <f t="shared" ref="H43:J43" si="5">H11+H20+H21+H24+H25+H33+H38+H32</f>
        <v>0</v>
      </c>
      <c r="I43" s="559">
        <f t="shared" si="5"/>
        <v>0</v>
      </c>
      <c r="J43" s="559">
        <f t="shared" si="5"/>
        <v>0</v>
      </c>
      <c r="K43" s="559">
        <f>K11+K20+K21+K24+K25+K33+K38+K32</f>
        <v>0</v>
      </c>
      <c r="L43" s="559">
        <f t="shared" ref="L43:P43" si="6">L11+L20+L21+L24+L25+L33+L38+L32</f>
        <v>0</v>
      </c>
      <c r="M43" s="559">
        <f t="shared" si="6"/>
        <v>0</v>
      </c>
      <c r="N43" s="559">
        <f t="shared" si="6"/>
        <v>0</v>
      </c>
      <c r="O43" s="559">
        <f t="shared" si="6"/>
        <v>0</v>
      </c>
      <c r="P43" s="559">
        <f t="shared" si="6"/>
        <v>0</v>
      </c>
      <c r="Q43" s="326"/>
    </row>
    <row r="44" spans="1:17">
      <c r="A44" s="325"/>
      <c r="B44" s="2"/>
      <c r="C44" s="2"/>
      <c r="D44" s="2"/>
      <c r="E44" s="536" t="s">
        <v>1791</v>
      </c>
      <c r="F44" s="2"/>
      <c r="G44" s="368">
        <f>SUM(H44:P44)</f>
        <v>59926294.686122499</v>
      </c>
      <c r="H44" s="22">
        <f>H10+H12+H13+H14+H15+H17+H18+H19+H22+H23+H31+H34+H36+H37+H39+H40</f>
        <v>0</v>
      </c>
      <c r="I44" s="22">
        <f>I10+I12+I13+I14+I15+I17+I18+I19+I22+I23+I31+I34+I36+I37+I39+I40</f>
        <v>0</v>
      </c>
      <c r="J44" s="22">
        <f t="shared" ref="J44:P44" si="7">J10+J12+J13+J14+J15+J17+J18+J19+J22+J23+J31+J34+J36+J37+J39+J40</f>
        <v>0</v>
      </c>
      <c r="K44" s="22">
        <f t="shared" si="7"/>
        <v>11033011.923640765</v>
      </c>
      <c r="L44" s="22">
        <f t="shared" si="7"/>
        <v>11532716.049472474</v>
      </c>
      <c r="M44" s="22">
        <f t="shared" si="7"/>
        <v>19147062.403094538</v>
      </c>
      <c r="N44" s="22">
        <f t="shared" si="7"/>
        <v>15972424.945914723</v>
      </c>
      <c r="O44" s="22">
        <f t="shared" si="7"/>
        <v>2088087.7520000001</v>
      </c>
      <c r="P44" s="22">
        <f t="shared" si="7"/>
        <v>152991.61199999996</v>
      </c>
      <c r="Q44" s="326"/>
    </row>
    <row r="45" spans="1:17">
      <c r="A45" s="325"/>
      <c r="B45" s="2"/>
      <c r="C45" s="2" t="s">
        <v>1792</v>
      </c>
      <c r="D45" s="2"/>
      <c r="E45" s="536"/>
      <c r="F45" s="2"/>
      <c r="G45" s="368">
        <f>SUM(H45:P45)</f>
        <v>59926294.686122499</v>
      </c>
      <c r="H45" s="32">
        <f t="shared" ref="H45:P45" si="8">SUM(H43:H44)</f>
        <v>0</v>
      </c>
      <c r="I45" s="32">
        <f t="shared" si="8"/>
        <v>0</v>
      </c>
      <c r="J45" s="32">
        <f t="shared" si="8"/>
        <v>0</v>
      </c>
      <c r="K45" s="32">
        <f t="shared" si="8"/>
        <v>11033011.923640765</v>
      </c>
      <c r="L45" s="32">
        <f t="shared" si="8"/>
        <v>11532716.049472474</v>
      </c>
      <c r="M45" s="32">
        <f t="shared" si="8"/>
        <v>19147062.403094538</v>
      </c>
      <c r="N45" s="32">
        <f t="shared" si="8"/>
        <v>15972424.945914723</v>
      </c>
      <c r="O45" s="32">
        <f t="shared" si="8"/>
        <v>2088087.7520000001</v>
      </c>
      <c r="P45" s="32">
        <f t="shared" si="8"/>
        <v>152991.61199999996</v>
      </c>
      <c r="Q45" s="326"/>
    </row>
    <row r="46" spans="1:17">
      <c r="A46" s="325"/>
      <c r="B46" s="2"/>
      <c r="C46" s="2"/>
      <c r="D46" s="2"/>
      <c r="E46" s="536" t="s">
        <v>1349</v>
      </c>
      <c r="F46" s="537">
        <v>0.3</v>
      </c>
      <c r="G46" s="368">
        <f>SUM(H46:P46)</f>
        <v>17977888.40583675</v>
      </c>
      <c r="H46" s="558">
        <f t="shared" ref="H46:I46" si="9">H45*$F46</f>
        <v>0</v>
      </c>
      <c r="I46" s="558">
        <f t="shared" si="9"/>
        <v>0</v>
      </c>
      <c r="J46" s="558">
        <f>J45*$F46</f>
        <v>0</v>
      </c>
      <c r="K46" s="558">
        <f t="shared" ref="K46:P46" si="10">K45*$F46</f>
        <v>3309903.5770922294</v>
      </c>
      <c r="L46" s="558">
        <f t="shared" si="10"/>
        <v>3459814.8148417422</v>
      </c>
      <c r="M46" s="558">
        <f t="shared" si="10"/>
        <v>5744118.7209283607</v>
      </c>
      <c r="N46" s="558">
        <f t="shared" si="10"/>
        <v>4791727.4837744171</v>
      </c>
      <c r="O46" s="558">
        <f t="shared" si="10"/>
        <v>626426.32559999998</v>
      </c>
      <c r="P46" s="558">
        <f t="shared" si="10"/>
        <v>45897.483599999985</v>
      </c>
      <c r="Q46" s="548" t="s">
        <v>1350</v>
      </c>
    </row>
    <row r="47" spans="1:17" ht="15.75" thickBot="1">
      <c r="A47" s="549"/>
      <c r="B47" s="550"/>
      <c r="C47" s="550"/>
      <c r="D47" s="550"/>
      <c r="E47" s="551" t="s">
        <v>1351</v>
      </c>
      <c r="F47" s="550"/>
      <c r="G47" s="346">
        <f>SUM(G45:G46)</f>
        <v>77904183.091959253</v>
      </c>
      <c r="H47" s="346">
        <f t="shared" ref="H47:P47" si="11">SUM(H45:H46)</f>
        <v>0</v>
      </c>
      <c r="I47" s="346">
        <f t="shared" si="11"/>
        <v>0</v>
      </c>
      <c r="J47" s="346">
        <f t="shared" si="11"/>
        <v>0</v>
      </c>
      <c r="K47" s="346">
        <f t="shared" si="11"/>
        <v>14342915.500732996</v>
      </c>
      <c r="L47" s="346">
        <f t="shared" si="11"/>
        <v>14992530.864314215</v>
      </c>
      <c r="M47" s="346">
        <f t="shared" si="11"/>
        <v>24891181.124022897</v>
      </c>
      <c r="N47" s="346">
        <f t="shared" si="11"/>
        <v>20764152.429689139</v>
      </c>
      <c r="O47" s="346">
        <f t="shared" si="11"/>
        <v>2714514.0776</v>
      </c>
      <c r="P47" s="346">
        <f t="shared" si="11"/>
        <v>198889.09559999994</v>
      </c>
      <c r="Q47" s="552">
        <f>SUM(I47:P47)</f>
        <v>77904183.091959238</v>
      </c>
    </row>
    <row r="48" spans="1:17" ht="15.75" thickTop="1"/>
    <row r="51" spans="9:16">
      <c r="I51" s="349"/>
      <c r="J51" s="349"/>
      <c r="K51" s="350"/>
      <c r="L51" s="351"/>
      <c r="M51" s="351"/>
      <c r="N51" s="350"/>
      <c r="O51" s="349"/>
      <c r="P51" s="349"/>
    </row>
  </sheetData>
  <mergeCells count="2">
    <mergeCell ref="S4:U4"/>
    <mergeCell ref="M1:P1"/>
  </mergeCells>
  <printOptions horizontalCentered="1" gridLines="1"/>
  <pageMargins left="0.25" right="0.25" top="1" bottom="0.25" header="0.25" footer="0.25"/>
  <pageSetup scale="53" fitToHeight="0" orientation="landscape" horizontalDpi="1200" verticalDpi="1200" r:id="rId1"/>
  <headerFooter>
    <oddFooter>&amp;L&amp;9&amp;F,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0"/>
  <sheetViews>
    <sheetView zoomScaleNormal="100" workbookViewId="0">
      <selection activeCell="N10" sqref="N10"/>
    </sheetView>
  </sheetViews>
  <sheetFormatPr defaultColWidth="12.5703125" defaultRowHeight="12.75"/>
  <cols>
    <col min="1" max="1" width="3.28515625" style="372" customWidth="1"/>
    <col min="2" max="2" width="2.7109375" style="372" customWidth="1"/>
    <col min="3" max="3" width="25.140625" style="372" customWidth="1"/>
    <col min="4" max="4" width="12.5703125" style="372"/>
    <col min="5" max="5" width="12.85546875" style="372" customWidth="1"/>
    <col min="6" max="16384" width="12.5703125" style="372"/>
  </cols>
  <sheetData>
    <row r="2" spans="1:13">
      <c r="B2" s="372" t="s">
        <v>1417</v>
      </c>
    </row>
    <row r="3" spans="1:13">
      <c r="C3" s="372" t="s">
        <v>1418</v>
      </c>
    </row>
    <row r="6" spans="1:13">
      <c r="A6" s="431" t="s">
        <v>1419</v>
      </c>
    </row>
    <row r="7" spans="1:13" ht="25.5">
      <c r="D7" s="432" t="s">
        <v>1420</v>
      </c>
      <c r="E7" s="432" t="s">
        <v>1421</v>
      </c>
      <c r="F7" s="432" t="s">
        <v>1422</v>
      </c>
      <c r="G7" s="432" t="s">
        <v>1423</v>
      </c>
      <c r="H7" s="432" t="s">
        <v>1424</v>
      </c>
      <c r="I7" s="432" t="s">
        <v>1425</v>
      </c>
      <c r="J7" s="432" t="s">
        <v>1426</v>
      </c>
      <c r="K7" s="432" t="s">
        <v>1427</v>
      </c>
      <c r="L7" s="432" t="s">
        <v>1428</v>
      </c>
      <c r="M7" s="432" t="s">
        <v>1429</v>
      </c>
    </row>
    <row r="8" spans="1:13" s="433" customFormat="1">
      <c r="B8" s="433" t="s">
        <v>1430</v>
      </c>
    </row>
    <row r="9" spans="1:13" s="434" customFormat="1" ht="63.75">
      <c r="C9" s="434" t="s">
        <v>1431</v>
      </c>
      <c r="D9" s="435">
        <v>38077</v>
      </c>
      <c r="E9" s="436">
        <v>6830510</v>
      </c>
      <c r="F9" s="437" t="s">
        <v>1432</v>
      </c>
      <c r="G9" s="434" t="s">
        <v>1433</v>
      </c>
      <c r="H9" s="434" t="s">
        <v>1434</v>
      </c>
      <c r="I9" s="434" t="s">
        <v>1435</v>
      </c>
      <c r="J9" s="434">
        <v>4</v>
      </c>
      <c r="K9" s="434" t="s">
        <v>1436</v>
      </c>
      <c r="L9" s="434" t="s">
        <v>1437</v>
      </c>
      <c r="M9" s="434" t="s">
        <v>1438</v>
      </c>
    </row>
    <row r="10" spans="1:13" s="434" customFormat="1">
      <c r="C10" s="434" t="s">
        <v>1439</v>
      </c>
      <c r="D10" s="435"/>
      <c r="E10" s="436"/>
      <c r="F10" s="437">
        <v>600</v>
      </c>
      <c r="J10" s="434">
        <v>32</v>
      </c>
    </row>
    <row r="11" spans="1:13" s="434" customFormat="1">
      <c r="C11" s="434" t="s">
        <v>1440</v>
      </c>
      <c r="D11" s="435"/>
      <c r="E11" s="436"/>
      <c r="F11" s="437"/>
      <c r="G11" s="434" t="s">
        <v>1441</v>
      </c>
      <c r="J11" s="434">
        <v>4</v>
      </c>
    </row>
    <row r="12" spans="1:13" s="434" customFormat="1">
      <c r="E12" s="436"/>
    </row>
    <row r="13" spans="1:13" s="433" customFormat="1">
      <c r="B13" s="433" t="s">
        <v>1442</v>
      </c>
      <c r="E13" s="438"/>
    </row>
    <row r="14" spans="1:13" s="434" customFormat="1" ht="51">
      <c r="C14" s="434" t="s">
        <v>1443</v>
      </c>
      <c r="D14" s="435">
        <v>38071</v>
      </c>
      <c r="E14" s="436">
        <v>6841295</v>
      </c>
      <c r="F14" s="437">
        <v>53200</v>
      </c>
      <c r="H14" s="434" t="s">
        <v>1444</v>
      </c>
      <c r="I14" s="434" t="s">
        <v>1445</v>
      </c>
      <c r="J14" s="434">
        <v>280</v>
      </c>
      <c r="K14" s="434" t="s">
        <v>1446</v>
      </c>
      <c r="L14" s="434">
        <v>1018</v>
      </c>
    </row>
    <row r="15" spans="1:13" s="434" customFormat="1" ht="38.25">
      <c r="C15" s="434" t="s">
        <v>1447</v>
      </c>
      <c r="D15" s="435">
        <v>38107</v>
      </c>
      <c r="E15" s="436">
        <v>6846933</v>
      </c>
      <c r="F15" s="437">
        <v>13300</v>
      </c>
      <c r="H15" s="434" t="s">
        <v>1448</v>
      </c>
      <c r="I15" s="434" t="s">
        <v>1449</v>
      </c>
      <c r="J15" s="434" t="s">
        <v>1450</v>
      </c>
      <c r="K15" s="434" t="s">
        <v>1451</v>
      </c>
      <c r="L15" s="434" t="s">
        <v>1452</v>
      </c>
    </row>
    <row r="16" spans="1:13" s="434" customFormat="1" ht="38.25">
      <c r="C16" s="434" t="s">
        <v>1453</v>
      </c>
      <c r="D16" s="435">
        <v>38112</v>
      </c>
      <c r="E16" s="436">
        <v>6848897</v>
      </c>
      <c r="F16" s="437">
        <v>9000</v>
      </c>
      <c r="H16" s="434" t="s">
        <v>1454</v>
      </c>
    </row>
    <row r="17" spans="2:12" s="434" customFormat="1" ht="25.5">
      <c r="C17" s="434" t="s">
        <v>1455</v>
      </c>
      <c r="D17" s="435"/>
      <c r="E17" s="436"/>
      <c r="F17" s="437"/>
    </row>
    <row r="18" spans="2:12" s="434" customFormat="1">
      <c r="C18" s="434" t="s">
        <v>1456</v>
      </c>
      <c r="D18" s="435"/>
      <c r="E18" s="436"/>
      <c r="F18" s="437"/>
    </row>
    <row r="19" spans="2:12" s="434" customFormat="1">
      <c r="E19" s="436"/>
    </row>
    <row r="20" spans="2:12" s="439" customFormat="1">
      <c r="B20" s="433" t="s">
        <v>1457</v>
      </c>
      <c r="E20" s="440"/>
    </row>
    <row r="21" spans="2:12" s="434" customFormat="1">
      <c r="C21" s="434" t="s">
        <v>1458</v>
      </c>
      <c r="D21" s="435">
        <v>38037</v>
      </c>
      <c r="E21" s="436">
        <v>6841295</v>
      </c>
      <c r="F21" s="437">
        <v>20400</v>
      </c>
      <c r="G21" s="434" t="s">
        <v>1433</v>
      </c>
      <c r="H21" s="434" t="s">
        <v>1459</v>
      </c>
      <c r="I21" s="434" t="s">
        <v>1460</v>
      </c>
      <c r="J21" s="434">
        <v>220</v>
      </c>
      <c r="L21" s="434">
        <v>1018</v>
      </c>
    </row>
    <row r="22" spans="2:12" s="441" customFormat="1">
      <c r="C22" s="434" t="s">
        <v>1461</v>
      </c>
      <c r="D22" s="442">
        <v>38037</v>
      </c>
      <c r="E22" s="436">
        <v>6841295</v>
      </c>
      <c r="F22" s="443">
        <v>10320</v>
      </c>
      <c r="G22" s="441" t="s">
        <v>1433</v>
      </c>
      <c r="H22" s="434" t="s">
        <v>1459</v>
      </c>
      <c r="I22" s="434" t="s">
        <v>1460</v>
      </c>
      <c r="J22" s="441">
        <v>64</v>
      </c>
      <c r="L22" s="434" t="s">
        <v>1462</v>
      </c>
    </row>
    <row r="23" spans="2:12" s="434" customFormat="1">
      <c r="C23" s="434" t="s">
        <v>1463</v>
      </c>
      <c r="D23" s="442">
        <v>38037</v>
      </c>
      <c r="E23" s="436">
        <v>6841295</v>
      </c>
      <c r="F23" s="437">
        <v>2550</v>
      </c>
      <c r="G23" s="434" t="s">
        <v>1433</v>
      </c>
      <c r="H23" s="434" t="s">
        <v>1459</v>
      </c>
      <c r="I23" s="434" t="s">
        <v>1460</v>
      </c>
      <c r="J23" s="434">
        <v>16</v>
      </c>
      <c r="L23" s="434" t="s">
        <v>1462</v>
      </c>
    </row>
    <row r="24" spans="2:12" s="434" customFormat="1">
      <c r="D24" s="435"/>
      <c r="E24" s="436"/>
      <c r="F24" s="437"/>
    </row>
    <row r="25" spans="2:12" s="433" customFormat="1">
      <c r="B25" s="433" t="s">
        <v>1464</v>
      </c>
      <c r="D25" s="444"/>
      <c r="E25" s="438"/>
      <c r="F25" s="445"/>
    </row>
    <row r="26" spans="2:12" s="434" customFormat="1">
      <c r="C26" s="434" t="s">
        <v>1465</v>
      </c>
      <c r="D26" s="435">
        <v>38069</v>
      </c>
      <c r="E26" s="436">
        <v>6843734</v>
      </c>
      <c r="F26" s="437">
        <v>13600</v>
      </c>
      <c r="H26" s="434" t="s">
        <v>1466</v>
      </c>
      <c r="I26" s="434" t="s">
        <v>1467</v>
      </c>
      <c r="J26" s="434">
        <v>8</v>
      </c>
    </row>
    <row r="27" spans="2:12" s="434" customFormat="1">
      <c r="C27" s="434" t="s">
        <v>1468</v>
      </c>
      <c r="D27" s="435">
        <v>38069</v>
      </c>
      <c r="E27" s="436">
        <v>6843734</v>
      </c>
      <c r="F27" s="437">
        <v>13600</v>
      </c>
      <c r="H27" s="434" t="s">
        <v>1466</v>
      </c>
      <c r="I27" s="434" t="s">
        <v>1467</v>
      </c>
      <c r="J27" s="434">
        <v>8</v>
      </c>
    </row>
    <row r="28" spans="2:12" s="434" customFormat="1">
      <c r="D28" s="435"/>
      <c r="E28" s="436"/>
      <c r="F28" s="437"/>
    </row>
    <row r="29" spans="2:12" s="439" customFormat="1">
      <c r="B29" s="433" t="s">
        <v>1469</v>
      </c>
      <c r="E29" s="440"/>
    </row>
    <row r="30" spans="2:12" s="434" customFormat="1" ht="25.5">
      <c r="C30" s="434" t="s">
        <v>1470</v>
      </c>
      <c r="D30" s="435">
        <v>38973</v>
      </c>
      <c r="E30" s="436">
        <v>6939615</v>
      </c>
      <c r="F30" s="437">
        <v>6810</v>
      </c>
      <c r="H30" s="434" t="s">
        <v>1471</v>
      </c>
      <c r="J30" s="434">
        <v>16</v>
      </c>
    </row>
    <row r="31" spans="2:12" s="434" customFormat="1" ht="25.5">
      <c r="C31" s="434" t="s">
        <v>1472</v>
      </c>
      <c r="D31" s="435">
        <v>38101</v>
      </c>
      <c r="E31" s="436">
        <v>6846320</v>
      </c>
      <c r="F31" s="437">
        <v>6700</v>
      </c>
      <c r="H31" s="434" t="s">
        <v>1471</v>
      </c>
      <c r="I31" s="434" t="s">
        <v>1473</v>
      </c>
      <c r="J31" s="434">
        <v>36</v>
      </c>
    </row>
    <row r="32" spans="2:12" s="434" customFormat="1" ht="38.25">
      <c r="C32" s="446" t="s">
        <v>1474</v>
      </c>
      <c r="D32" s="435"/>
      <c r="E32" s="436"/>
      <c r="F32" s="437"/>
    </row>
    <row r="33" spans="2:12" s="434" customFormat="1">
      <c r="D33" s="435"/>
      <c r="E33" s="436"/>
      <c r="F33" s="437"/>
    </row>
    <row r="34" spans="2:12" s="434" customFormat="1">
      <c r="C34" s="434" t="s">
        <v>1475</v>
      </c>
      <c r="D34" s="435"/>
      <c r="E34" s="436"/>
    </row>
    <row r="35" spans="2:12" s="441" customFormat="1">
      <c r="D35" s="442"/>
      <c r="E35" s="447"/>
    </row>
    <row r="37" spans="2:12" s="439" customFormat="1">
      <c r="B37" s="433" t="s">
        <v>1476</v>
      </c>
      <c r="E37" s="440"/>
    </row>
    <row r="38" spans="2:12" ht="38.25">
      <c r="C38" s="372" t="s">
        <v>1477</v>
      </c>
      <c r="D38" s="448">
        <v>38238</v>
      </c>
      <c r="E38" s="372">
        <v>6861056</v>
      </c>
      <c r="F38" s="449">
        <v>4400</v>
      </c>
      <c r="G38" s="372" t="s">
        <v>1478</v>
      </c>
      <c r="H38" s="434" t="s">
        <v>1454</v>
      </c>
      <c r="I38" s="372" t="s">
        <v>1479</v>
      </c>
      <c r="J38" s="372">
        <v>4</v>
      </c>
      <c r="K38" s="372" t="s">
        <v>1480</v>
      </c>
      <c r="L38" s="372" t="s">
        <v>1462</v>
      </c>
    </row>
    <row r="39" spans="2:12">
      <c r="C39" s="372" t="s">
        <v>1481</v>
      </c>
      <c r="D39" s="448"/>
      <c r="F39" s="449">
        <v>80</v>
      </c>
      <c r="J39" s="372">
        <v>4</v>
      </c>
    </row>
    <row r="40" spans="2:12">
      <c r="C40" s="450" t="s">
        <v>1482</v>
      </c>
      <c r="D40" s="448"/>
      <c r="F40" s="449"/>
    </row>
    <row r="41" spans="2:12">
      <c r="C41" s="450" t="s">
        <v>1483</v>
      </c>
      <c r="D41" s="448"/>
      <c r="F41" s="449"/>
    </row>
    <row r="42" spans="2:12">
      <c r="C42" s="450" t="s">
        <v>1484</v>
      </c>
      <c r="D42" s="448"/>
      <c r="F42" s="449"/>
    </row>
    <row r="44" spans="2:12" s="439" customFormat="1">
      <c r="B44" s="433" t="s">
        <v>1485</v>
      </c>
      <c r="E44" s="440"/>
    </row>
    <row r="45" spans="2:12">
      <c r="C45" s="372" t="s">
        <v>1428</v>
      </c>
      <c r="D45" s="448"/>
      <c r="F45" s="449"/>
      <c r="J45" s="372">
        <v>2</v>
      </c>
    </row>
    <row r="46" spans="2:12">
      <c r="C46" s="372" t="s">
        <v>1486</v>
      </c>
      <c r="D46" s="448"/>
      <c r="F46" s="451"/>
      <c r="J46" s="372">
        <v>2</v>
      </c>
    </row>
    <row r="48" spans="2:12" s="439" customFormat="1">
      <c r="B48" s="433" t="s">
        <v>1487</v>
      </c>
      <c r="E48" s="440"/>
    </row>
    <row r="49" spans="3:3">
      <c r="C49" s="372" t="s">
        <v>1488</v>
      </c>
    </row>
    <row r="50" spans="3:3">
      <c r="C50" s="372" t="s">
        <v>1489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zoomScale="80" zoomScaleNormal="80" workbookViewId="0">
      <selection activeCell="N10" sqref="N10"/>
    </sheetView>
  </sheetViews>
  <sheetFormatPr defaultColWidth="12.5703125" defaultRowHeight="12.75"/>
  <cols>
    <col min="1" max="1" width="3.28515625" style="372" customWidth="1"/>
    <col min="2" max="2" width="2.7109375" style="372" customWidth="1"/>
    <col min="3" max="3" width="25.140625" style="372" customWidth="1"/>
    <col min="4" max="4" width="12.5703125" style="372"/>
    <col min="5" max="5" width="12.85546875" style="372" customWidth="1"/>
    <col min="6" max="16384" width="12.5703125" style="372"/>
  </cols>
  <sheetData>
    <row r="2" spans="1:13">
      <c r="B2" s="372" t="s">
        <v>1417</v>
      </c>
    </row>
    <row r="3" spans="1:13">
      <c r="C3" s="372" t="s">
        <v>1490</v>
      </c>
    </row>
    <row r="6" spans="1:13">
      <c r="A6" s="431" t="s">
        <v>1419</v>
      </c>
    </row>
    <row r="7" spans="1:13" ht="25.5">
      <c r="D7" s="432" t="s">
        <v>1420</v>
      </c>
      <c r="E7" s="432" t="s">
        <v>1421</v>
      </c>
      <c r="F7" s="432" t="s">
        <v>1422</v>
      </c>
      <c r="G7" s="432" t="s">
        <v>1423</v>
      </c>
      <c r="H7" s="432" t="s">
        <v>1424</v>
      </c>
      <c r="I7" s="432" t="s">
        <v>1425</v>
      </c>
      <c r="J7" s="432" t="s">
        <v>1426</v>
      </c>
      <c r="K7" s="432" t="s">
        <v>1427</v>
      </c>
      <c r="L7" s="432" t="s">
        <v>1491</v>
      </c>
      <c r="M7" s="432" t="s">
        <v>1429</v>
      </c>
    </row>
    <row r="8" spans="1:13" s="433" customFormat="1">
      <c r="B8" s="433" t="s">
        <v>1430</v>
      </c>
    </row>
    <row r="9" spans="1:13" s="434" customFormat="1" ht="38.25">
      <c r="C9" s="434" t="s">
        <v>1492</v>
      </c>
      <c r="D9" s="435">
        <v>37545</v>
      </c>
      <c r="E9" s="436">
        <v>6812393</v>
      </c>
      <c r="F9" s="434" t="s">
        <v>1493</v>
      </c>
      <c r="G9" s="434" t="s">
        <v>1494</v>
      </c>
      <c r="H9" s="434" t="s">
        <v>1495</v>
      </c>
      <c r="I9" s="434" t="s">
        <v>1496</v>
      </c>
      <c r="J9" s="434">
        <v>1</v>
      </c>
      <c r="K9" s="434" t="s">
        <v>1497</v>
      </c>
      <c r="L9" s="434" t="s">
        <v>1498</v>
      </c>
    </row>
    <row r="10" spans="1:13" s="434" customFormat="1">
      <c r="C10" s="434" t="s">
        <v>1439</v>
      </c>
      <c r="D10" s="435"/>
      <c r="E10" s="436"/>
      <c r="F10" s="437">
        <v>150</v>
      </c>
      <c r="J10" s="434">
        <v>8</v>
      </c>
    </row>
    <row r="11" spans="1:13" s="434" customFormat="1">
      <c r="C11" s="434" t="s">
        <v>1499</v>
      </c>
      <c r="D11" s="435">
        <v>39129</v>
      </c>
      <c r="E11" s="436">
        <v>6959818</v>
      </c>
      <c r="F11" s="437">
        <v>49000</v>
      </c>
      <c r="I11" s="434" t="s">
        <v>1500</v>
      </c>
      <c r="J11" s="434">
        <v>1</v>
      </c>
      <c r="M11" s="434" t="s">
        <v>1501</v>
      </c>
    </row>
    <row r="12" spans="1:13" s="434" customFormat="1">
      <c r="E12" s="436"/>
    </row>
    <row r="13" spans="1:13" s="433" customFormat="1">
      <c r="B13" s="433" t="s">
        <v>1442</v>
      </c>
      <c r="E13" s="438"/>
    </row>
    <row r="14" spans="1:13" s="434" customFormat="1" ht="38.25">
      <c r="C14" s="434" t="s">
        <v>1492</v>
      </c>
      <c r="D14" s="435">
        <v>37554</v>
      </c>
      <c r="E14" s="436">
        <v>6812971</v>
      </c>
      <c r="F14" s="437">
        <v>16168</v>
      </c>
      <c r="G14" s="434" t="s">
        <v>1502</v>
      </c>
      <c r="H14" s="434" t="s">
        <v>1444</v>
      </c>
      <c r="I14" s="434" t="s">
        <v>1445</v>
      </c>
      <c r="J14" s="434">
        <v>42</v>
      </c>
      <c r="K14" s="434" t="s">
        <v>1503</v>
      </c>
      <c r="L14" s="434" t="s">
        <v>1504</v>
      </c>
    </row>
    <row r="15" spans="1:13" s="434" customFormat="1">
      <c r="C15" s="434" t="s">
        <v>1505</v>
      </c>
      <c r="D15" s="435"/>
      <c r="E15" s="436"/>
      <c r="F15" s="437"/>
    </row>
    <row r="16" spans="1:13" s="434" customFormat="1">
      <c r="C16" s="434" t="s">
        <v>1499</v>
      </c>
      <c r="E16" s="436"/>
    </row>
    <row r="17" spans="2:12" s="434" customFormat="1">
      <c r="E17" s="436"/>
    </row>
    <row r="18" spans="2:12" s="439" customFormat="1">
      <c r="B18" s="433" t="s">
        <v>1457</v>
      </c>
      <c r="E18" s="440"/>
    </row>
    <row r="19" spans="2:12" s="434" customFormat="1">
      <c r="C19" s="434" t="s">
        <v>1506</v>
      </c>
      <c r="D19" s="435">
        <v>37807</v>
      </c>
      <c r="E19" s="436">
        <v>6826785</v>
      </c>
      <c r="F19" s="437">
        <v>14342</v>
      </c>
      <c r="G19" s="434" t="s">
        <v>1494</v>
      </c>
      <c r="H19" s="434" t="s">
        <v>1507</v>
      </c>
      <c r="I19" s="434" t="s">
        <v>1460</v>
      </c>
      <c r="J19" s="434">
        <v>2</v>
      </c>
      <c r="L19" s="434" t="s">
        <v>1508</v>
      </c>
    </row>
    <row r="20" spans="2:12" s="441" customFormat="1">
      <c r="C20" s="441" t="s">
        <v>1509</v>
      </c>
      <c r="D20" s="442">
        <v>37807</v>
      </c>
      <c r="E20" s="436">
        <v>6826785</v>
      </c>
      <c r="F20" s="443">
        <v>9000</v>
      </c>
      <c r="G20" s="441" t="s">
        <v>1433</v>
      </c>
      <c r="H20" s="441" t="s">
        <v>1507</v>
      </c>
      <c r="I20" s="441" t="s">
        <v>1460</v>
      </c>
      <c r="J20" s="441">
        <v>2</v>
      </c>
      <c r="L20" s="434" t="s">
        <v>1508</v>
      </c>
    </row>
    <row r="21" spans="2:12" s="434" customFormat="1">
      <c r="C21" s="434" t="s">
        <v>1510</v>
      </c>
      <c r="D21" s="435">
        <v>37807</v>
      </c>
      <c r="E21" s="436">
        <v>6826785</v>
      </c>
      <c r="F21" s="437">
        <v>13660</v>
      </c>
      <c r="G21" s="434" t="s">
        <v>1494</v>
      </c>
      <c r="H21" s="434" t="s">
        <v>1507</v>
      </c>
      <c r="I21" s="434" t="s">
        <v>1460</v>
      </c>
      <c r="J21" s="434">
        <v>2</v>
      </c>
      <c r="L21" s="434" t="s">
        <v>1508</v>
      </c>
    </row>
    <row r="22" spans="2:12" s="434" customFormat="1">
      <c r="D22" s="435"/>
      <c r="E22" s="436"/>
      <c r="F22" s="437"/>
    </row>
    <row r="23" spans="2:12" s="439" customFormat="1">
      <c r="B23" s="433" t="s">
        <v>1469</v>
      </c>
      <c r="E23" s="440"/>
    </row>
    <row r="24" spans="2:12" s="434" customFormat="1" ht="25.5">
      <c r="C24" s="434" t="s">
        <v>1511</v>
      </c>
      <c r="D24" s="452">
        <v>39691</v>
      </c>
      <c r="E24" s="436"/>
      <c r="F24" s="437">
        <v>7500</v>
      </c>
      <c r="G24" s="434" t="s">
        <v>1494</v>
      </c>
      <c r="H24" s="434" t="s">
        <v>1471</v>
      </c>
      <c r="J24" s="434">
        <v>32</v>
      </c>
    </row>
    <row r="25" spans="2:12" s="434" customFormat="1">
      <c r="C25" s="434" t="s">
        <v>1475</v>
      </c>
      <c r="E25" s="436"/>
    </row>
    <row r="26" spans="2:12" s="441" customFormat="1">
      <c r="E26" s="447"/>
    </row>
    <row r="28" spans="2:12" s="439" customFormat="1">
      <c r="B28" s="433" t="s">
        <v>1476</v>
      </c>
      <c r="E28" s="440"/>
    </row>
    <row r="29" spans="2:12">
      <c r="C29" s="372" t="s">
        <v>1512</v>
      </c>
      <c r="F29" s="449">
        <v>600</v>
      </c>
      <c r="G29" s="372" t="s">
        <v>1478</v>
      </c>
      <c r="H29" s="372" t="s">
        <v>1513</v>
      </c>
      <c r="I29" s="372" t="s">
        <v>1514</v>
      </c>
      <c r="J29" s="372">
        <v>4</v>
      </c>
      <c r="K29" s="372" t="s">
        <v>1515</v>
      </c>
      <c r="L29" s="372" t="s">
        <v>1516</v>
      </c>
    </row>
    <row r="30" spans="2:12">
      <c r="C30" s="372" t="s">
        <v>1477</v>
      </c>
      <c r="D30" s="448">
        <v>37734</v>
      </c>
      <c r="E30" s="372">
        <v>379225</v>
      </c>
      <c r="F30" s="449">
        <v>790</v>
      </c>
      <c r="G30" s="372" t="s">
        <v>1478</v>
      </c>
      <c r="H30" s="372" t="s">
        <v>1517</v>
      </c>
      <c r="I30" s="372" t="s">
        <v>1479</v>
      </c>
      <c r="J30" s="372">
        <v>4</v>
      </c>
      <c r="K30" s="372" t="s">
        <v>1518</v>
      </c>
      <c r="L30" s="372" t="s">
        <v>1519</v>
      </c>
    </row>
    <row r="31" spans="2:12">
      <c r="C31" s="372" t="s">
        <v>1481</v>
      </c>
      <c r="D31" s="448"/>
      <c r="F31" s="449">
        <v>80</v>
      </c>
      <c r="J31" s="372">
        <v>4</v>
      </c>
    </row>
    <row r="33" spans="2:13" s="439" customFormat="1">
      <c r="B33" s="433" t="s">
        <v>1485</v>
      </c>
      <c r="E33" s="440"/>
    </row>
    <row r="34" spans="2:13">
      <c r="C34" s="372" t="s">
        <v>1428</v>
      </c>
      <c r="D34" s="448">
        <v>37756</v>
      </c>
      <c r="E34" s="372">
        <v>6822651</v>
      </c>
      <c r="F34" s="449">
        <v>3300</v>
      </c>
      <c r="G34" s="372" t="s">
        <v>1478</v>
      </c>
      <c r="H34" s="372" t="s">
        <v>1520</v>
      </c>
      <c r="I34" s="372" t="s">
        <v>1521</v>
      </c>
      <c r="J34" s="372">
        <v>2</v>
      </c>
      <c r="K34" s="372" t="s">
        <v>1522</v>
      </c>
      <c r="L34" s="372" t="s">
        <v>1523</v>
      </c>
      <c r="M34" s="372" t="s">
        <v>1524</v>
      </c>
    </row>
    <row r="35" spans="2:13">
      <c r="C35" s="372" t="s">
        <v>1486</v>
      </c>
      <c r="D35" s="448">
        <v>37832</v>
      </c>
      <c r="F35" s="451">
        <v>3000</v>
      </c>
      <c r="G35" s="372" t="s">
        <v>1525</v>
      </c>
      <c r="J35" s="372">
        <v>2</v>
      </c>
    </row>
    <row r="37" spans="2:13" s="439" customFormat="1">
      <c r="B37" s="433" t="s">
        <v>1487</v>
      </c>
      <c r="E37" s="440"/>
    </row>
    <row r="38" spans="2:13">
      <c r="C38" s="372" t="s">
        <v>1488</v>
      </c>
    </row>
    <row r="39" spans="2:13">
      <c r="C39" s="372" t="s">
        <v>1489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zoomScale="125" workbookViewId="0">
      <selection activeCell="N10" sqref="N10"/>
    </sheetView>
  </sheetViews>
  <sheetFormatPr defaultColWidth="12.5703125" defaultRowHeight="12.75"/>
  <cols>
    <col min="1" max="1" width="3.28515625" style="372" customWidth="1"/>
    <col min="2" max="2" width="2.7109375" style="372" customWidth="1"/>
    <col min="3" max="3" width="25.140625" style="372" customWidth="1"/>
    <col min="4" max="4" width="12.5703125" style="372"/>
    <col min="5" max="5" width="12.85546875" style="372" customWidth="1"/>
    <col min="6" max="16384" width="12.5703125" style="372"/>
  </cols>
  <sheetData>
    <row r="2" spans="1:13">
      <c r="B2" s="372" t="s">
        <v>1417</v>
      </c>
    </row>
    <row r="3" spans="1:13">
      <c r="C3" s="372" t="s">
        <v>1526</v>
      </c>
    </row>
    <row r="6" spans="1:13">
      <c r="A6" s="431" t="s">
        <v>1419</v>
      </c>
    </row>
    <row r="7" spans="1:13" ht="25.5">
      <c r="D7" s="432" t="s">
        <v>1420</v>
      </c>
      <c r="E7" s="432" t="s">
        <v>1421</v>
      </c>
      <c r="F7" s="432" t="s">
        <v>1422</v>
      </c>
      <c r="G7" s="432" t="s">
        <v>1423</v>
      </c>
      <c r="H7" s="432" t="s">
        <v>1424</v>
      </c>
      <c r="I7" s="432" t="s">
        <v>1425</v>
      </c>
      <c r="J7" s="432" t="s">
        <v>1426</v>
      </c>
      <c r="K7" s="432" t="s">
        <v>1427</v>
      </c>
      <c r="L7" s="432" t="s">
        <v>1491</v>
      </c>
      <c r="M7" s="432" t="s">
        <v>1429</v>
      </c>
    </row>
    <row r="8" spans="1:13" s="433" customFormat="1">
      <c r="B8" s="433" t="s">
        <v>1430</v>
      </c>
    </row>
    <row r="9" spans="1:13" s="434" customFormat="1" ht="25.5">
      <c r="C9" s="434" t="s">
        <v>1527</v>
      </c>
      <c r="D9" s="435">
        <v>37330</v>
      </c>
      <c r="E9" s="436">
        <v>6805637</v>
      </c>
      <c r="F9" s="437">
        <v>5500</v>
      </c>
      <c r="G9" s="434" t="s">
        <v>1494</v>
      </c>
      <c r="H9" s="434" t="s">
        <v>1495</v>
      </c>
      <c r="I9" s="434" t="s">
        <v>1496</v>
      </c>
      <c r="J9" s="434">
        <v>1</v>
      </c>
      <c r="K9" s="434" t="s">
        <v>1528</v>
      </c>
      <c r="L9" s="434" t="s">
        <v>1529</v>
      </c>
    </row>
    <row r="10" spans="1:13" s="434" customFormat="1">
      <c r="C10" s="434" t="s">
        <v>1439</v>
      </c>
      <c r="D10" s="435"/>
      <c r="E10" s="436"/>
      <c r="F10" s="437">
        <v>300</v>
      </c>
      <c r="J10" s="434">
        <v>16</v>
      </c>
    </row>
    <row r="11" spans="1:13" s="434" customFormat="1">
      <c r="E11" s="436"/>
    </row>
    <row r="12" spans="1:13" s="433" customFormat="1">
      <c r="B12" s="433" t="s">
        <v>1442</v>
      </c>
      <c r="E12" s="438"/>
    </row>
    <row r="13" spans="1:13" s="434" customFormat="1">
      <c r="C13" s="434" t="s">
        <v>1527</v>
      </c>
      <c r="D13" s="435"/>
      <c r="E13" s="436"/>
      <c r="F13" s="437"/>
      <c r="G13" s="434" t="s">
        <v>1502</v>
      </c>
      <c r="H13" s="434" t="s">
        <v>1444</v>
      </c>
      <c r="L13" s="434" t="s">
        <v>1504</v>
      </c>
    </row>
    <row r="14" spans="1:13" s="434" customFormat="1">
      <c r="C14" s="434" t="s">
        <v>1505</v>
      </c>
      <c r="D14" s="435"/>
      <c r="E14" s="436"/>
      <c r="F14" s="437"/>
    </row>
    <row r="15" spans="1:13" s="434" customFormat="1">
      <c r="E15" s="436"/>
    </row>
    <row r="16" spans="1:13" s="434" customFormat="1">
      <c r="D16" s="435"/>
      <c r="E16" s="436"/>
      <c r="F16" s="437"/>
    </row>
    <row r="17" spans="2:12" s="439" customFormat="1">
      <c r="B17" s="433" t="s">
        <v>1469</v>
      </c>
      <c r="E17" s="440"/>
    </row>
    <row r="18" spans="2:12" s="434" customFormat="1" ht="25.5">
      <c r="C18" s="434" t="s">
        <v>1511</v>
      </c>
      <c r="D18" s="452"/>
      <c r="E18" s="436"/>
      <c r="F18" s="437"/>
      <c r="G18" s="434" t="s">
        <v>1494</v>
      </c>
      <c r="H18" s="434" t="s">
        <v>1471</v>
      </c>
    </row>
    <row r="19" spans="2:12" s="434" customFormat="1">
      <c r="C19" s="434" t="s">
        <v>1475</v>
      </c>
      <c r="E19" s="436"/>
    </row>
    <row r="20" spans="2:12" s="441" customFormat="1">
      <c r="E20" s="447"/>
    </row>
    <row r="22" spans="2:12" s="439" customFormat="1">
      <c r="B22" s="433" t="s">
        <v>1476</v>
      </c>
      <c r="E22" s="440"/>
    </row>
    <row r="23" spans="2:12">
      <c r="C23" s="372" t="s">
        <v>1530</v>
      </c>
      <c r="D23" s="448">
        <v>37337</v>
      </c>
      <c r="E23" s="372">
        <v>6805780</v>
      </c>
      <c r="F23" s="449">
        <v>790</v>
      </c>
      <c r="G23" s="372" t="s">
        <v>1478</v>
      </c>
      <c r="H23" s="372" t="s">
        <v>1517</v>
      </c>
      <c r="I23" s="372" t="s">
        <v>1531</v>
      </c>
      <c r="J23" s="372">
        <v>4</v>
      </c>
      <c r="K23" s="372" t="s">
        <v>1532</v>
      </c>
      <c r="L23" s="372" t="s">
        <v>1462</v>
      </c>
    </row>
    <row r="24" spans="2:12">
      <c r="C24" s="372" t="s">
        <v>1481</v>
      </c>
      <c r="D24" s="448"/>
      <c r="F24" s="449">
        <v>80</v>
      </c>
      <c r="J24" s="372">
        <v>4</v>
      </c>
    </row>
    <row r="25" spans="2:12">
      <c r="C25" s="372" t="s">
        <v>1488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1"/>
  <sheetViews>
    <sheetView topLeftCell="A34" zoomScale="80" zoomScaleNormal="80" workbookViewId="0">
      <selection activeCell="H48" sqref="H48"/>
    </sheetView>
  </sheetViews>
  <sheetFormatPr defaultRowHeight="15"/>
  <cols>
    <col min="1" max="1" width="22.5703125" customWidth="1"/>
    <col min="3" max="3" width="24.5703125" customWidth="1"/>
    <col min="4" max="4" width="12.7109375" customWidth="1"/>
    <col min="5" max="15" width="13.7109375" customWidth="1"/>
    <col min="16" max="16" width="40.5703125" customWidth="1"/>
  </cols>
  <sheetData>
    <row r="1" spans="3:16" ht="15.75" thickBot="1"/>
    <row r="2" spans="3:16" ht="15.75" thickTop="1">
      <c r="C2" s="582" t="s">
        <v>1542</v>
      </c>
      <c r="D2" s="583"/>
      <c r="E2" s="583"/>
      <c r="F2" s="583"/>
      <c r="G2" s="583"/>
      <c r="H2" s="583"/>
      <c r="I2" s="583"/>
      <c r="J2" s="583"/>
      <c r="K2" s="583"/>
      <c r="L2" s="583"/>
      <c r="M2" s="584"/>
    </row>
    <row r="3" spans="3:16" ht="15.75" thickBot="1">
      <c r="C3" s="585"/>
      <c r="D3" s="586"/>
      <c r="E3" s="586"/>
      <c r="F3" s="586"/>
      <c r="G3" s="586"/>
      <c r="H3" s="586"/>
      <c r="I3" s="586"/>
      <c r="J3" s="586"/>
      <c r="K3" s="586"/>
      <c r="L3" s="586"/>
      <c r="M3" s="587"/>
    </row>
    <row r="4" spans="3:16" ht="20.25" thickTop="1" thickBot="1">
      <c r="C4" s="588" t="s">
        <v>1543</v>
      </c>
      <c r="D4" s="589"/>
      <c r="E4" s="589"/>
      <c r="F4" s="589"/>
      <c r="G4" s="589"/>
      <c r="H4" s="590"/>
      <c r="I4" s="455" t="s">
        <v>1540</v>
      </c>
      <c r="J4" s="580" t="s">
        <v>1541</v>
      </c>
      <c r="K4" s="580"/>
      <c r="L4" s="580"/>
      <c r="M4" s="581"/>
      <c r="N4" s="319"/>
      <c r="O4" s="320"/>
      <c r="P4" s="167"/>
    </row>
    <row r="5" spans="3:16" ht="20.25" thickTop="1" thickBot="1">
      <c r="C5" s="588" t="s">
        <v>1539</v>
      </c>
      <c r="D5" s="589"/>
      <c r="E5" s="589"/>
      <c r="F5" s="589"/>
      <c r="G5" s="589"/>
      <c r="H5" s="590"/>
      <c r="I5" s="456">
        <v>0</v>
      </c>
      <c r="J5" s="457">
        <v>4</v>
      </c>
      <c r="K5" s="457">
        <v>8</v>
      </c>
      <c r="L5" s="457">
        <v>6</v>
      </c>
      <c r="M5" s="458">
        <v>2</v>
      </c>
      <c r="N5" s="319"/>
      <c r="O5" s="320"/>
      <c r="P5" s="167"/>
    </row>
    <row r="6" spans="3:16" ht="31.5" thickTop="1">
      <c r="C6" s="336"/>
      <c r="D6" s="337"/>
      <c r="E6" s="338" t="s">
        <v>647</v>
      </c>
      <c r="F6" s="338" t="s">
        <v>648</v>
      </c>
      <c r="G6" s="338" t="s">
        <v>649</v>
      </c>
      <c r="H6" s="338" t="s">
        <v>650</v>
      </c>
      <c r="I6" s="454" t="s">
        <v>651</v>
      </c>
      <c r="J6" s="454" t="s">
        <v>652</v>
      </c>
      <c r="K6" s="454" t="s">
        <v>653</v>
      </c>
      <c r="L6" s="454" t="s">
        <v>654</v>
      </c>
      <c r="M6" s="454" t="s">
        <v>655</v>
      </c>
      <c r="N6" s="338" t="s">
        <v>656</v>
      </c>
      <c r="O6" s="339" t="s">
        <v>1317</v>
      </c>
      <c r="P6" s="340" t="s">
        <v>20</v>
      </c>
    </row>
    <row r="7" spans="3:16" ht="18.75">
      <c r="C7" s="341"/>
      <c r="D7" s="2"/>
      <c r="E7" s="26" t="s">
        <v>1315</v>
      </c>
      <c r="F7" s="26" t="s">
        <v>1315</v>
      </c>
      <c r="G7" s="26" t="s">
        <v>1315</v>
      </c>
      <c r="H7" s="26" t="s">
        <v>1315</v>
      </c>
      <c r="I7" s="26" t="s">
        <v>1315</v>
      </c>
      <c r="J7" s="26" t="s">
        <v>1315</v>
      </c>
      <c r="K7" s="26" t="s">
        <v>1315</v>
      </c>
      <c r="L7" s="26" t="s">
        <v>1315</v>
      </c>
      <c r="M7" s="26" t="s">
        <v>1315</v>
      </c>
      <c r="N7" s="26" t="s">
        <v>1315</v>
      </c>
      <c r="O7" s="314"/>
      <c r="P7" s="326"/>
    </row>
    <row r="8" spans="3:16">
      <c r="C8" s="330" t="s">
        <v>1326</v>
      </c>
      <c r="D8" s="2">
        <v>1768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314"/>
      <c r="P8" s="326"/>
    </row>
    <row r="9" spans="3:16">
      <c r="C9" s="330"/>
      <c r="D9" s="2"/>
      <c r="E9" s="26"/>
      <c r="F9" s="26"/>
      <c r="G9" s="26"/>
      <c r="H9" s="26"/>
      <c r="I9" s="26"/>
      <c r="J9" s="26"/>
      <c r="K9" s="26"/>
      <c r="L9" s="26"/>
      <c r="M9" s="26"/>
      <c r="N9" s="26"/>
      <c r="O9" s="314"/>
      <c r="P9" s="326"/>
    </row>
    <row r="10" spans="3:16">
      <c r="C10" s="330" t="s">
        <v>1378</v>
      </c>
      <c r="D10" s="2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14"/>
      <c r="P10" s="326"/>
    </row>
    <row r="11" spans="3:16">
      <c r="C11" s="370" t="s">
        <v>1325</v>
      </c>
      <c r="D11" s="2"/>
      <c r="E11" s="26"/>
      <c r="F11" s="26"/>
      <c r="G11" s="26">
        <f t="shared" ref="G11:N11" si="0">0.75*2</f>
        <v>1.5</v>
      </c>
      <c r="H11" s="26">
        <f t="shared" si="0"/>
        <v>1.5</v>
      </c>
      <c r="I11" s="26">
        <f t="shared" si="0"/>
        <v>1.5</v>
      </c>
      <c r="J11" s="26">
        <f t="shared" si="0"/>
        <v>1.5</v>
      </c>
      <c r="K11" s="26">
        <f t="shared" si="0"/>
        <v>1.5</v>
      </c>
      <c r="L11" s="26">
        <f t="shared" si="0"/>
        <v>1.5</v>
      </c>
      <c r="M11" s="26">
        <f t="shared" si="0"/>
        <v>1.5</v>
      </c>
      <c r="N11" s="26">
        <f t="shared" si="0"/>
        <v>1.5</v>
      </c>
      <c r="O11" s="314">
        <f>SUM(E11:N11)</f>
        <v>12</v>
      </c>
      <c r="P11" s="326" t="s">
        <v>1779</v>
      </c>
    </row>
    <row r="12" spans="3:16">
      <c r="C12" s="370" t="s">
        <v>148</v>
      </c>
      <c r="D12" s="2"/>
      <c r="E12" s="26"/>
      <c r="F12" s="26"/>
      <c r="G12" s="26">
        <f t="shared" ref="G12:N12" si="1">0.25*2</f>
        <v>0.5</v>
      </c>
      <c r="H12" s="26">
        <f t="shared" si="1"/>
        <v>0.5</v>
      </c>
      <c r="I12" s="26">
        <f t="shared" si="1"/>
        <v>0.5</v>
      </c>
      <c r="J12" s="26">
        <f t="shared" si="1"/>
        <v>0.5</v>
      </c>
      <c r="K12" s="26">
        <f t="shared" si="1"/>
        <v>0.5</v>
      </c>
      <c r="L12" s="26">
        <f t="shared" si="1"/>
        <v>0.5</v>
      </c>
      <c r="M12" s="26">
        <f t="shared" si="1"/>
        <v>0.5</v>
      </c>
      <c r="N12" s="26">
        <f t="shared" si="1"/>
        <v>0.5</v>
      </c>
      <c r="O12" s="314">
        <f>SUM(E12:N12)</f>
        <v>4</v>
      </c>
      <c r="P12" s="326" t="s">
        <v>1779</v>
      </c>
    </row>
    <row r="13" spans="3:16">
      <c r="C13" s="370"/>
      <c r="D13" s="2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14"/>
      <c r="P13" s="326"/>
    </row>
    <row r="14" spans="3:16">
      <c r="C14" s="328" t="s">
        <v>1788</v>
      </c>
      <c r="D14" s="315"/>
      <c r="E14" s="315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26"/>
    </row>
    <row r="15" spans="3:16">
      <c r="C15" s="325" t="s">
        <v>148</v>
      </c>
      <c r="D15" s="315"/>
      <c r="E15" s="315"/>
      <c r="F15" s="316"/>
      <c r="G15" s="316">
        <v>4</v>
      </c>
      <c r="H15" s="316">
        <v>4</v>
      </c>
      <c r="I15" s="316"/>
      <c r="J15" s="316"/>
      <c r="K15" s="316"/>
      <c r="L15" s="316"/>
      <c r="M15" s="316"/>
      <c r="N15" s="316"/>
      <c r="O15" s="316">
        <f>SUM(E15:N15)</f>
        <v>8</v>
      </c>
      <c r="P15" s="326" t="s">
        <v>1780</v>
      </c>
    </row>
    <row r="16" spans="3:16">
      <c r="C16" s="325" t="s">
        <v>147</v>
      </c>
      <c r="D16" s="315"/>
      <c r="E16" s="315"/>
      <c r="F16" s="316"/>
      <c r="G16" s="316">
        <v>1.5</v>
      </c>
      <c r="H16" s="316">
        <v>2</v>
      </c>
      <c r="I16" s="316"/>
      <c r="J16" s="316"/>
      <c r="K16" s="316"/>
      <c r="L16" s="316"/>
      <c r="M16" s="316"/>
      <c r="N16" s="316"/>
      <c r="O16" s="316">
        <f t="shared" ref="O16:O17" si="2">SUM(E16:N16)</f>
        <v>3.5</v>
      </c>
      <c r="P16" s="326" t="s">
        <v>1780</v>
      </c>
    </row>
    <row r="17" spans="3:16">
      <c r="C17" s="325" t="s">
        <v>1380</v>
      </c>
      <c r="D17" s="315"/>
      <c r="E17" s="315"/>
      <c r="F17" s="316"/>
      <c r="G17" s="316">
        <v>1.5</v>
      </c>
      <c r="H17" s="316">
        <v>2</v>
      </c>
      <c r="I17" s="316"/>
      <c r="J17" s="316"/>
      <c r="K17" s="316"/>
      <c r="L17" s="316"/>
      <c r="M17" s="316"/>
      <c r="N17" s="316"/>
      <c r="O17" s="316">
        <f t="shared" si="2"/>
        <v>3.5</v>
      </c>
      <c r="P17" s="326" t="s">
        <v>1780</v>
      </c>
    </row>
    <row r="18" spans="3:16">
      <c r="C18" s="328" t="s">
        <v>664</v>
      </c>
      <c r="D18" s="315"/>
      <c r="E18" s="315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26"/>
    </row>
    <row r="19" spans="3:16">
      <c r="C19" s="325" t="s">
        <v>146</v>
      </c>
      <c r="D19" s="315"/>
      <c r="E19" s="315"/>
      <c r="F19" s="316"/>
      <c r="G19" s="316"/>
      <c r="H19" s="316">
        <f>3*I5</f>
        <v>0</v>
      </c>
      <c r="I19" s="316">
        <f>6*2</f>
        <v>12</v>
      </c>
      <c r="J19" s="316">
        <f>8*2</f>
        <v>16</v>
      </c>
      <c r="K19" s="316">
        <f t="shared" ref="K19:L19" si="3">8*2</f>
        <v>16</v>
      </c>
      <c r="L19" s="316">
        <f t="shared" si="3"/>
        <v>16</v>
      </c>
      <c r="M19" s="316">
        <f>4*2</f>
        <v>8</v>
      </c>
      <c r="N19" s="316">
        <v>0</v>
      </c>
      <c r="O19" s="316">
        <f>SUM(E19:N19)</f>
        <v>68</v>
      </c>
      <c r="P19" s="326" t="s">
        <v>1779</v>
      </c>
    </row>
    <row r="20" spans="3:16">
      <c r="C20" s="325" t="s">
        <v>1323</v>
      </c>
      <c r="D20" s="315"/>
      <c r="E20" s="315"/>
      <c r="F20" s="316"/>
      <c r="G20" s="316"/>
      <c r="H20" s="316">
        <f>1*I5</f>
        <v>0</v>
      </c>
      <c r="I20" s="316">
        <f t="shared" ref="I20:M20" si="4">1*2</f>
        <v>2</v>
      </c>
      <c r="J20" s="316">
        <f t="shared" si="4"/>
        <v>2</v>
      </c>
      <c r="K20" s="316">
        <f t="shared" si="4"/>
        <v>2</v>
      </c>
      <c r="L20" s="316">
        <f t="shared" si="4"/>
        <v>2</v>
      </c>
      <c r="M20" s="316">
        <f t="shared" si="4"/>
        <v>2</v>
      </c>
      <c r="N20" s="316"/>
      <c r="O20" s="316">
        <f t="shared" ref="O20:O22" si="5">SUM(E20:N20)</f>
        <v>10</v>
      </c>
      <c r="P20" s="326" t="s">
        <v>1779</v>
      </c>
    </row>
    <row r="21" spans="3:16">
      <c r="C21" s="325" t="s">
        <v>148</v>
      </c>
      <c r="D21" s="315"/>
      <c r="E21" s="315"/>
      <c r="F21" s="315"/>
      <c r="G21" s="315"/>
      <c r="H21" s="315">
        <f>2*I5</f>
        <v>0</v>
      </c>
      <c r="I21" s="315">
        <f>1.5*2</f>
        <v>3</v>
      </c>
      <c r="J21" s="315">
        <f t="shared" ref="J21:M21" si="6">1.5*2</f>
        <v>3</v>
      </c>
      <c r="K21" s="315">
        <f t="shared" si="6"/>
        <v>3</v>
      </c>
      <c r="L21" s="315">
        <f t="shared" si="6"/>
        <v>3</v>
      </c>
      <c r="M21" s="315">
        <f t="shared" si="6"/>
        <v>3</v>
      </c>
      <c r="N21" s="315"/>
      <c r="O21" s="316">
        <f t="shared" si="5"/>
        <v>15</v>
      </c>
      <c r="P21" s="326" t="s">
        <v>1779</v>
      </c>
    </row>
    <row r="22" spans="3:16">
      <c r="C22" s="325" t="s">
        <v>147</v>
      </c>
      <c r="D22" s="315"/>
      <c r="E22" s="315"/>
      <c r="F22" s="315"/>
      <c r="G22" s="315"/>
      <c r="H22" s="315">
        <f>0.5*I5</f>
        <v>0</v>
      </c>
      <c r="I22" s="315">
        <f>0.5*2</f>
        <v>1</v>
      </c>
      <c r="J22" s="315">
        <f>0.25*2</f>
        <v>0.5</v>
      </c>
      <c r="K22" s="315">
        <v>0</v>
      </c>
      <c r="L22" s="315">
        <v>0</v>
      </c>
      <c r="M22" s="315">
        <v>0</v>
      </c>
      <c r="N22" s="315"/>
      <c r="O22" s="316">
        <f t="shared" si="5"/>
        <v>1.5</v>
      </c>
      <c r="P22" s="326" t="s">
        <v>1779</v>
      </c>
    </row>
    <row r="23" spans="3:16">
      <c r="C23" s="32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6"/>
      <c r="P23" s="326"/>
    </row>
    <row r="24" spans="3:16">
      <c r="C24" s="328" t="s">
        <v>666</v>
      </c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6"/>
      <c r="P24" s="326"/>
    </row>
    <row r="25" spans="3:16">
      <c r="C25" s="325" t="s">
        <v>1313</v>
      </c>
      <c r="D25" s="315"/>
      <c r="E25" s="315"/>
      <c r="F25" s="315"/>
      <c r="G25" s="315">
        <f>0.75*I5</f>
        <v>0</v>
      </c>
      <c r="H25" s="315">
        <f>0.5*2</f>
        <v>1</v>
      </c>
      <c r="I25" s="316">
        <f>0.5*2</f>
        <v>1</v>
      </c>
      <c r="J25" s="316">
        <f>0.25*2</f>
        <v>0.5</v>
      </c>
      <c r="K25" s="316">
        <f>0.25*2</f>
        <v>0.5</v>
      </c>
      <c r="L25" s="316">
        <f>0.1*2</f>
        <v>0.2</v>
      </c>
      <c r="M25" s="316">
        <f>0.1*2</f>
        <v>0.2</v>
      </c>
      <c r="N25" s="315"/>
      <c r="O25" s="316">
        <f t="shared" ref="O25:O26" si="7">SUM(F25:N25)</f>
        <v>3.4000000000000004</v>
      </c>
      <c r="P25" s="326" t="s">
        <v>1779</v>
      </c>
    </row>
    <row r="26" spans="3:16">
      <c r="C26" s="325" t="s">
        <v>1314</v>
      </c>
      <c r="D26" s="315"/>
      <c r="E26" s="315"/>
      <c r="F26" s="315"/>
      <c r="G26" s="315">
        <f>0.75*I5</f>
        <v>0</v>
      </c>
      <c r="H26" s="315">
        <f t="shared" ref="H26:I26" si="8">0.75*2</f>
        <v>1.5</v>
      </c>
      <c r="I26" s="315">
        <f t="shared" si="8"/>
        <v>1.5</v>
      </c>
      <c r="J26" s="315">
        <f>0.5*2</f>
        <v>1</v>
      </c>
      <c r="K26" s="315">
        <f>0.5*2</f>
        <v>1</v>
      </c>
      <c r="L26" s="315">
        <f>0.25*2</f>
        <v>0.5</v>
      </c>
      <c r="M26" s="315">
        <f>0.25*2</f>
        <v>0.5</v>
      </c>
      <c r="N26" s="315"/>
      <c r="O26" s="316">
        <f t="shared" si="7"/>
        <v>6</v>
      </c>
      <c r="P26" s="326" t="s">
        <v>1779</v>
      </c>
    </row>
    <row r="27" spans="3:16">
      <c r="C27" s="325" t="s">
        <v>1377</v>
      </c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6"/>
      <c r="P27" s="326"/>
    </row>
    <row r="28" spans="3:16">
      <c r="C28" s="32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6"/>
      <c r="P28" s="326"/>
    </row>
    <row r="29" spans="3:16">
      <c r="C29" s="328" t="s">
        <v>667</v>
      </c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6"/>
      <c r="P29" s="326"/>
    </row>
    <row r="30" spans="3:16">
      <c r="C30" s="325" t="s">
        <v>148</v>
      </c>
      <c r="D30" s="315"/>
      <c r="E30" s="315"/>
      <c r="F30" s="315"/>
      <c r="G30" s="315">
        <v>1</v>
      </c>
      <c r="H30" s="315">
        <v>2</v>
      </c>
      <c r="I30" s="315">
        <v>1</v>
      </c>
      <c r="J30" s="315"/>
      <c r="K30" s="315"/>
      <c r="L30" s="315"/>
      <c r="M30" s="315"/>
      <c r="N30" s="315"/>
      <c r="O30" s="316">
        <f>SUM(E30:N30)</f>
        <v>4</v>
      </c>
      <c r="P30" s="326" t="s">
        <v>1779</v>
      </c>
    </row>
    <row r="31" spans="3:16">
      <c r="C31" s="325" t="s">
        <v>147</v>
      </c>
      <c r="D31" s="315"/>
      <c r="E31" s="315"/>
      <c r="F31" s="315"/>
      <c r="G31" s="315">
        <v>0.5</v>
      </c>
      <c r="H31" s="315">
        <v>1</v>
      </c>
      <c r="I31" s="315"/>
      <c r="J31" s="315"/>
      <c r="K31" s="315"/>
      <c r="L31" s="315"/>
      <c r="M31" s="315"/>
      <c r="N31" s="315"/>
      <c r="O31" s="316">
        <f t="shared" ref="O31:O32" si="9">SUM(E31:N31)</f>
        <v>1.5</v>
      </c>
      <c r="P31" s="326" t="s">
        <v>1779</v>
      </c>
    </row>
    <row r="32" spans="3:16">
      <c r="C32" s="325" t="s">
        <v>1380</v>
      </c>
      <c r="D32" s="315"/>
      <c r="E32" s="315"/>
      <c r="F32" s="315"/>
      <c r="G32" s="315">
        <v>0.5</v>
      </c>
      <c r="H32" s="315">
        <v>1</v>
      </c>
      <c r="I32" s="315"/>
      <c r="J32" s="315"/>
      <c r="K32" s="315"/>
      <c r="L32" s="315"/>
      <c r="M32" s="315"/>
      <c r="N32" s="315"/>
      <c r="O32" s="316">
        <f t="shared" si="9"/>
        <v>1.5</v>
      </c>
      <c r="P32" s="326" t="s">
        <v>1779</v>
      </c>
    </row>
    <row r="33" spans="3:16">
      <c r="C33" s="32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6"/>
      <c r="P33" s="326"/>
    </row>
    <row r="34" spans="3:16">
      <c r="C34" s="328" t="s">
        <v>670</v>
      </c>
      <c r="D34" s="315"/>
      <c r="E34" s="315"/>
      <c r="F34" s="315"/>
      <c r="G34" s="315" t="s">
        <v>1316</v>
      </c>
      <c r="H34" s="315" t="s">
        <v>667</v>
      </c>
      <c r="I34" s="315"/>
      <c r="J34" s="315"/>
      <c r="K34" s="315"/>
      <c r="L34" s="315"/>
      <c r="M34" s="315"/>
      <c r="N34" s="315"/>
      <c r="O34" s="316"/>
      <c r="P34" s="326"/>
    </row>
    <row r="35" spans="3:16">
      <c r="C35" s="342" t="s">
        <v>1536</v>
      </c>
      <c r="D35" s="315"/>
      <c r="E35" s="315"/>
      <c r="F35" s="315"/>
      <c r="G35" s="315"/>
      <c r="H35" s="315"/>
      <c r="I35" s="315">
        <f>1*2</f>
        <v>2</v>
      </c>
      <c r="J35" s="315">
        <f t="shared" ref="J35:M35" si="10">1*2</f>
        <v>2</v>
      </c>
      <c r="K35" s="315">
        <f t="shared" si="10"/>
        <v>2</v>
      </c>
      <c r="L35" s="315">
        <f t="shared" si="10"/>
        <v>2</v>
      </c>
      <c r="M35" s="315">
        <f t="shared" si="10"/>
        <v>2</v>
      </c>
      <c r="N35" s="315"/>
      <c r="O35" s="316">
        <f>SUM(E35:N35)</f>
        <v>10</v>
      </c>
      <c r="P35" s="326" t="s">
        <v>1781</v>
      </c>
    </row>
    <row r="36" spans="3:16">
      <c r="C36" s="342" t="s">
        <v>147</v>
      </c>
      <c r="D36" s="315"/>
      <c r="E36" s="315"/>
      <c r="F36" s="315"/>
      <c r="G36" s="315">
        <f>'QX estimate WBS Final'!N18</f>
        <v>0.52777777777777768</v>
      </c>
      <c r="H36" s="315">
        <f>'QX estimate WBS Final'!N59</f>
        <v>0</v>
      </c>
      <c r="I36" s="315">
        <f>('QX estimate WBS Final'!N59+'QX estimate WBS Final'!N81+'QX estimate WBS Final'!N128+'QX estimate WBS Final'!N168+'QX estimate WBS Final'!N181)*Labor!I5</f>
        <v>0</v>
      </c>
      <c r="J36" s="315">
        <f>('QX estimate WBS Final'!N59+'QX estimate WBS Final'!N81+'QX estimate WBS Final'!N128+'QX estimate WBS Final'!N168+'QX estimate WBS Final'!N181)*J5</f>
        <v>0.3968253968253968</v>
      </c>
      <c r="K36" s="315">
        <f>('QX estimate WBS Final'!N59+'QX estimate WBS Final'!N81+'QX estimate WBS Final'!N128+'QX estimate WBS Final'!N168+'QX estimate WBS Final'!N181)*K5</f>
        <v>0.79365079365079361</v>
      </c>
      <c r="L36" s="315">
        <f>('QX estimate WBS Final'!N59+'QX estimate WBS Final'!N81+'QX estimate WBS Final'!N128+'QX estimate WBS Final'!N168+'QX estimate WBS Final'!N181)*L5</f>
        <v>0.59523809523809523</v>
      </c>
      <c r="M36" s="315">
        <f>('QX estimate WBS Final'!N59+'QX estimate WBS Final'!N81+'QX estimate WBS Final'!N128+'QX estimate WBS Final'!N168+'QX estimate WBS Final'!N181)*M5</f>
        <v>0.1984126984126984</v>
      </c>
      <c r="N36" s="315"/>
      <c r="O36" s="316">
        <f t="shared" ref="O36:O56" si="11">SUM(E36:N36)</f>
        <v>2.5119047619047619</v>
      </c>
      <c r="P36" s="326" t="s">
        <v>1781</v>
      </c>
    </row>
    <row r="37" spans="3:16">
      <c r="C37" s="325" t="s">
        <v>1534</v>
      </c>
      <c r="D37" s="315"/>
      <c r="E37" s="315"/>
      <c r="F37" s="315"/>
      <c r="G37" s="315">
        <f>'QX estimate WBS Final'!O18</f>
        <v>0</v>
      </c>
      <c r="H37" s="315">
        <f>'QX estimate WBS Final'!O59</f>
        <v>0.13492063492063491</v>
      </c>
      <c r="I37" s="315">
        <f>('QX estimate WBS Final'!O59+'QX estimate WBS Final'!O81+'QX estimate WBS Final'!O128+'QX estimate WBS Final'!O168+'QX estimate WBS Final'!O181)*Labor!I5</f>
        <v>0</v>
      </c>
      <c r="J37" s="315">
        <f>('QX estimate WBS Final'!O59+'QX estimate WBS Final'!O81+'QX estimate WBS Final'!O128+'QX estimate WBS Final'!O168+'QX estimate WBS Final'!O181)*J5</f>
        <v>4.3015873015873014</v>
      </c>
      <c r="K37" s="315">
        <f>('QX estimate WBS Final'!O59+'QX estimate WBS Final'!O81+'QX estimate WBS Final'!O128+'QX estimate WBS Final'!O168+'QX estimate WBS Final'!O181)*K5</f>
        <v>8.6031746031746028</v>
      </c>
      <c r="L37" s="315">
        <f>('QX estimate WBS Final'!O59+'QX estimate WBS Final'!O81+'QX estimate WBS Final'!O128+'QX estimate WBS Final'!O168+'QX estimate WBS Final'!O181)*L5</f>
        <v>6.4523809523809526</v>
      </c>
      <c r="M37" s="315">
        <f>('QX estimate WBS Final'!O59+'QX estimate WBS Final'!O81+'QX estimate WBS Final'!O128+'QX estimate WBS Final'!O168+'QX estimate WBS Final'!O181)*Labor!I5*M5</f>
        <v>0</v>
      </c>
      <c r="N37" s="315"/>
      <c r="O37" s="316">
        <f t="shared" si="11"/>
        <v>19.492063492063494</v>
      </c>
      <c r="P37" s="326" t="s">
        <v>1781</v>
      </c>
    </row>
    <row r="38" spans="3:16">
      <c r="C38" s="325" t="s">
        <v>1535</v>
      </c>
      <c r="D38" s="315"/>
      <c r="E38" s="315"/>
      <c r="F38" s="315"/>
      <c r="G38" s="315">
        <f>'QX estimate WBS Final'!M18</f>
        <v>0.34126984126984122</v>
      </c>
      <c r="H38" s="315">
        <f>'QX estimate WBS Final'!M59</f>
        <v>3.968253968253968E-3</v>
      </c>
      <c r="I38" s="315">
        <f>('QX estimate WBS Final'!M59+'QX estimate WBS Final'!M81+'QX estimate WBS Final'!M128+'QX estimate WBS Final'!M168+'QX estimate WBS Final'!M181)*Labor!I5</f>
        <v>0</v>
      </c>
      <c r="J38" s="315">
        <f>('QX estimate WBS Final'!M59+'QX estimate WBS Final'!M81+'QX estimate WBS Final'!M128+'QX estimate WBS Final'!M168+'QX estimate WBS Final'!M181)*J5</f>
        <v>0.69047619047619047</v>
      </c>
      <c r="K38" s="315">
        <f>('QX estimate WBS Final'!M59+'QX estimate WBS Final'!M81+'QX estimate WBS Final'!M128+'QX estimate WBS Final'!M168+'QX estimate WBS Final'!M181)*K5</f>
        <v>1.3809523809523809</v>
      </c>
      <c r="L38" s="315">
        <f>('QX estimate WBS Final'!M59+'QX estimate WBS Final'!M81+'QX estimate WBS Final'!M128+'QX estimate WBS Final'!M168+'QX estimate WBS Final'!M181)*L5</f>
        <v>1.0357142857142856</v>
      </c>
      <c r="M38" s="315">
        <f>('QX estimate WBS Final'!M59+'QX estimate WBS Final'!M81+'QX estimate WBS Final'!M128+'QX estimate WBS Final'!M168+'QX estimate WBS Final'!M181)*M5</f>
        <v>0.34523809523809523</v>
      </c>
      <c r="N38" s="315"/>
      <c r="O38" s="316">
        <f t="shared" si="11"/>
        <v>3.7976190476190474</v>
      </c>
      <c r="P38" s="326" t="s">
        <v>1781</v>
      </c>
    </row>
    <row r="39" spans="3:16">
      <c r="C39" s="32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6"/>
      <c r="P39" s="326"/>
    </row>
    <row r="40" spans="3:16">
      <c r="C40" s="328" t="s">
        <v>668</v>
      </c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6"/>
      <c r="P40" s="326"/>
    </row>
    <row r="41" spans="3:16">
      <c r="C41" s="328" t="s">
        <v>172</v>
      </c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6"/>
      <c r="P41" s="326"/>
    </row>
    <row r="42" spans="3:16">
      <c r="C42" s="342" t="s">
        <v>148</v>
      </c>
      <c r="D42" s="315"/>
      <c r="E42" s="315"/>
      <c r="F42" s="315"/>
      <c r="G42" s="315">
        <v>0</v>
      </c>
      <c r="H42" s="315">
        <v>0</v>
      </c>
      <c r="I42" s="315"/>
      <c r="J42" s="315"/>
      <c r="K42" s="315"/>
      <c r="L42" s="315"/>
      <c r="M42" s="315"/>
      <c r="N42" s="315"/>
      <c r="O42" s="316">
        <f t="shared" si="11"/>
        <v>0</v>
      </c>
      <c r="P42" s="326" t="s">
        <v>1782</v>
      </c>
    </row>
    <row r="43" spans="3:16">
      <c r="C43" s="342" t="s">
        <v>665</v>
      </c>
      <c r="D43" s="315"/>
      <c r="E43" s="315"/>
      <c r="F43" s="315"/>
      <c r="G43" s="315">
        <v>0</v>
      </c>
      <c r="H43" s="315">
        <v>0</v>
      </c>
      <c r="I43" s="315"/>
      <c r="J43" s="315"/>
      <c r="K43" s="315"/>
      <c r="L43" s="315"/>
      <c r="M43" s="315"/>
      <c r="N43" s="315"/>
      <c r="O43" s="316">
        <f t="shared" si="11"/>
        <v>0</v>
      </c>
      <c r="P43" s="326" t="s">
        <v>1782</v>
      </c>
    </row>
    <row r="44" spans="3:16">
      <c r="C44" s="342" t="s">
        <v>146</v>
      </c>
      <c r="D44" s="315"/>
      <c r="E44" s="315"/>
      <c r="F44" s="315"/>
      <c r="G44" s="315"/>
      <c r="H44" s="315">
        <f>('Cryostat - half-length'!E38*'Cryostat - half-length'!F38+'Cryostat - half-length'!E39*'Cryostat - half-length'!F39+'Cryostat - half-length'!E40*'Cryostat - half-length'!F40+'Cryostat - half-length'!E41*'Cryostat - half-length'!F41+'Cryostat - half-length'!E42*'Cryostat - half-length'!F42+'Cryostat - half-length'!E43*'Cryostat - half-length'!F43)/1768</f>
        <v>0.58823529411764708</v>
      </c>
      <c r="I44" s="315"/>
      <c r="J44" s="315">
        <f>('Cryostat - half-length'!E39*'Cryostat - half-length'!F39+'Cryostat - half-length'!E40*'Cryostat - half-length'!F40+'Cryostat - half-length'!E41*'Cryostat - half-length'!F41+'Cryostat - half-length'!E42*'Cryostat - half-length'!F42+'Cryostat - half-length'!E43*'Cryostat - half-length'!F43)/1768*J5</f>
        <v>1.9004524886877827</v>
      </c>
      <c r="K44" s="315">
        <f>('Cryostat - half-length'!E39*'Cryostat - half-length'!F39+'Cryostat - half-length'!E40*'Cryostat - half-length'!F40+'Cryostat - half-length'!E41*'Cryostat - half-length'!F41+'Cryostat - half-length'!E42*'Cryostat - half-length'!F42+'Cryostat - half-length'!E43*'Cryostat - half-length'!F43)/1768*K5</f>
        <v>3.8009049773755654</v>
      </c>
      <c r="L44" s="315">
        <f>('Cryostat - half-length'!E39*'Cryostat - half-length'!F39+'Cryostat - half-length'!E40*'Cryostat - half-length'!F40+'Cryostat - half-length'!E41*'Cryostat - half-length'!F41+'Cryostat - half-length'!E42*'Cryostat - half-length'!F42+'Cryostat - half-length'!E43*'Cryostat - half-length'!F43)/1768*L5</f>
        <v>2.8506787330316739</v>
      </c>
      <c r="M44" s="315">
        <f>('Cryostat - half-length'!E39*'Cryostat - half-length'!F39+'Cryostat - half-length'!E40*'Cryostat - half-length'!F40+'Cryostat - half-length'!E41*'Cryostat - half-length'!F41+'Cryostat - half-length'!E42*'Cryostat - half-length'!F42+'Cryostat - half-length'!E43*'Cryostat - half-length'!F43)/1768*M5</f>
        <v>0.95022624434389136</v>
      </c>
      <c r="N44" s="315"/>
      <c r="O44" s="316">
        <f t="shared" si="11"/>
        <v>10.090497737556561</v>
      </c>
      <c r="P44" s="326" t="s">
        <v>1782</v>
      </c>
    </row>
    <row r="45" spans="3:16">
      <c r="C45" s="328" t="s">
        <v>92</v>
      </c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6"/>
      <c r="P45" s="326"/>
    </row>
    <row r="46" spans="3:16">
      <c r="C46" s="342" t="s">
        <v>148</v>
      </c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6">
        <f t="shared" si="11"/>
        <v>0</v>
      </c>
      <c r="P46" s="326" t="s">
        <v>1782</v>
      </c>
    </row>
    <row r="47" spans="3:16">
      <c r="C47" s="342" t="s">
        <v>665</v>
      </c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6">
        <f t="shared" si="11"/>
        <v>0</v>
      </c>
      <c r="P47" s="326" t="s">
        <v>1782</v>
      </c>
    </row>
    <row r="48" spans="3:16">
      <c r="C48" s="342" t="s">
        <v>146</v>
      </c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6">
        <f t="shared" si="11"/>
        <v>0</v>
      </c>
      <c r="P48" s="326" t="s">
        <v>1782</v>
      </c>
    </row>
    <row r="49" spans="3:16">
      <c r="C49" s="328" t="s">
        <v>1318</v>
      </c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6">
        <f t="shared" si="11"/>
        <v>0</v>
      </c>
      <c r="P49" s="326" t="s">
        <v>1782</v>
      </c>
    </row>
    <row r="50" spans="3:16">
      <c r="C50" s="342" t="s">
        <v>146</v>
      </c>
      <c r="D50" s="315"/>
      <c r="E50" s="315"/>
      <c r="F50" s="315"/>
      <c r="G50" s="315"/>
      <c r="H50" s="315"/>
      <c r="I50" s="315">
        <f>(GETPIVOTDATA("Labor (p-wks)",Operations!$A$3)*2*40)/1768*I5</f>
        <v>0</v>
      </c>
      <c r="J50" s="315">
        <f>(GETPIVOTDATA("Labor (p-wks)",Operations!$A$3)*1.5*40)/1768+(GETPIVOTDATA("Labor (p-wks)",Operations!$A$3)*1.25*40)/1768+(GETPIVOTDATA("Labor (p-wks)",Operations!$A$3)*1*40)/1768*(Labor!J5-2)</f>
        <v>2.1493212669683257</v>
      </c>
      <c r="K50" s="315">
        <f>(GETPIVOTDATA("Labor (p-wks)",Operations!$A$3)*K5*40)/1768</f>
        <v>3.6199095022624435</v>
      </c>
      <c r="L50" s="315">
        <f>(GETPIVOTDATA("Labor (p-wks)",Operations!$A$3)*L5*40)/1768</f>
        <v>2.7149321266968327</v>
      </c>
      <c r="M50" s="315">
        <f>(GETPIVOTDATA("Labor (p-wks)",Operations!$A$3)*M5*40)/1768</f>
        <v>0.90497737556561086</v>
      </c>
      <c r="N50" s="315"/>
      <c r="O50" s="316">
        <f t="shared" si="11"/>
        <v>9.3891402714932131</v>
      </c>
      <c r="P50" s="326" t="s">
        <v>1782</v>
      </c>
    </row>
    <row r="51" spans="3:16">
      <c r="C51" s="342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6"/>
      <c r="P51" s="326"/>
    </row>
    <row r="52" spans="3:16">
      <c r="C52" s="328" t="s">
        <v>1379</v>
      </c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6"/>
      <c r="P52" s="326"/>
    </row>
    <row r="53" spans="3:16">
      <c r="C53" s="342" t="s">
        <v>146</v>
      </c>
      <c r="D53" s="315"/>
      <c r="E53" s="315"/>
      <c r="F53" s="315"/>
      <c r="G53" s="315"/>
      <c r="H53" s="315"/>
      <c r="I53" s="315">
        <f>0.05*I5</f>
        <v>0</v>
      </c>
      <c r="J53" s="315">
        <f>0.05*2</f>
        <v>0.1</v>
      </c>
      <c r="K53" s="315">
        <f>0.1*2</f>
        <v>0.2</v>
      </c>
      <c r="L53" s="315">
        <f>0.1*2</f>
        <v>0.2</v>
      </c>
      <c r="M53" s="315">
        <f>0.05*2</f>
        <v>0.1</v>
      </c>
      <c r="N53" s="315"/>
      <c r="O53" s="316">
        <f t="shared" si="11"/>
        <v>0.6</v>
      </c>
      <c r="P53" s="326"/>
    </row>
    <row r="54" spans="3:16">
      <c r="C54" s="32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6"/>
      <c r="P54" s="326"/>
    </row>
    <row r="55" spans="3:16">
      <c r="C55" s="328" t="s">
        <v>669</v>
      </c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6"/>
      <c r="P55" s="326"/>
    </row>
    <row r="56" spans="3:16">
      <c r="C56" s="325" t="s">
        <v>1325</v>
      </c>
      <c r="D56" s="315"/>
      <c r="E56" s="315"/>
      <c r="F56" s="315"/>
      <c r="G56" s="315"/>
      <c r="H56" s="315"/>
      <c r="I56" s="315">
        <f>0.5*2</f>
        <v>1</v>
      </c>
      <c r="J56" s="315">
        <f t="shared" ref="J56:M56" si="12">0.5*2</f>
        <v>1</v>
      </c>
      <c r="K56" s="315">
        <f t="shared" si="12"/>
        <v>1</v>
      </c>
      <c r="L56" s="315">
        <f t="shared" si="12"/>
        <v>1</v>
      </c>
      <c r="M56" s="315">
        <f t="shared" si="12"/>
        <v>1</v>
      </c>
      <c r="N56" s="315"/>
      <c r="O56" s="316">
        <f t="shared" si="11"/>
        <v>5</v>
      </c>
      <c r="P56" s="326" t="s">
        <v>1779</v>
      </c>
    </row>
    <row r="57" spans="3:16">
      <c r="C57" s="32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6"/>
      <c r="P57" s="326"/>
    </row>
    <row r="58" spans="3:16" ht="15.75" thickBot="1">
      <c r="C58" s="343" t="s">
        <v>1328</v>
      </c>
      <c r="D58" s="344"/>
      <c r="E58" s="344">
        <f>SUM(E11:E57)</f>
        <v>0</v>
      </c>
      <c r="F58" s="344">
        <f t="shared" ref="F58:O58" si="13">SUM(F11:F57)</f>
        <v>0</v>
      </c>
      <c r="G58" s="344">
        <f t="shared" si="13"/>
        <v>11.86904761904762</v>
      </c>
      <c r="H58" s="344">
        <f t="shared" si="13"/>
        <v>17.227124183006538</v>
      </c>
      <c r="I58" s="344">
        <f t="shared" si="13"/>
        <v>26.5</v>
      </c>
      <c r="J58" s="344">
        <f t="shared" si="13"/>
        <v>37.538662644544999</v>
      </c>
      <c r="K58" s="344">
        <f t="shared" si="13"/>
        <v>45.898592257415793</v>
      </c>
      <c r="L58" s="344">
        <f t="shared" si="13"/>
        <v>40.548944193061836</v>
      </c>
      <c r="M58" s="344">
        <f t="shared" si="13"/>
        <v>21.198854413560298</v>
      </c>
      <c r="N58" s="344">
        <f t="shared" si="13"/>
        <v>2</v>
      </c>
      <c r="O58" s="344">
        <f t="shared" si="13"/>
        <v>202.78122531063704</v>
      </c>
      <c r="P58" s="345"/>
    </row>
    <row r="59" spans="3:16" ht="16.5" thickTop="1" thickBot="1">
      <c r="C59" s="16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8"/>
      <c r="P59" s="167"/>
    </row>
    <row r="60" spans="3:16" ht="15.75" thickTop="1">
      <c r="C60" s="321" t="s">
        <v>1322</v>
      </c>
      <c r="D60" s="322"/>
      <c r="E60" s="323" t="s">
        <v>647</v>
      </c>
      <c r="F60" s="323" t="s">
        <v>648</v>
      </c>
      <c r="G60" s="323" t="s">
        <v>649</v>
      </c>
      <c r="H60" s="323" t="s">
        <v>650</v>
      </c>
      <c r="I60" s="323" t="s">
        <v>651</v>
      </c>
      <c r="J60" s="323" t="s">
        <v>652</v>
      </c>
      <c r="K60" s="323" t="s">
        <v>653</v>
      </c>
      <c r="L60" s="323" t="s">
        <v>654</v>
      </c>
      <c r="M60" s="323" t="s">
        <v>655</v>
      </c>
      <c r="N60" s="324" t="s">
        <v>656</v>
      </c>
      <c r="O60" s="318"/>
      <c r="P60" s="167"/>
    </row>
    <row r="61" spans="3:16">
      <c r="C61" s="325" t="s">
        <v>1324</v>
      </c>
      <c r="D61" s="2"/>
      <c r="E61" s="2">
        <f>FNALLaborRates!E565</f>
        <v>177.78</v>
      </c>
      <c r="F61" s="2">
        <f>FNALLaborRates!F565</f>
        <v>182.58</v>
      </c>
      <c r="G61" s="2">
        <f>FNALLaborRates!G565</f>
        <v>187.52</v>
      </c>
      <c r="H61" s="2">
        <f>FNALLaborRates!H565</f>
        <v>192.57</v>
      </c>
      <c r="I61" s="2">
        <f>FNALLaborRates!I565</f>
        <v>197.76</v>
      </c>
      <c r="J61" s="2">
        <f>FNALLaborRates!J565</f>
        <v>203.11</v>
      </c>
      <c r="K61" s="2">
        <f>FNALLaborRates!K565</f>
        <v>208.6</v>
      </c>
      <c r="L61" s="2">
        <f>FNALLaborRates!L565</f>
        <v>214.23</v>
      </c>
      <c r="M61" s="2">
        <f>FNALLaborRates!M565</f>
        <v>220.03</v>
      </c>
      <c r="N61" s="326">
        <f>FNALLaborRates!N565</f>
        <v>225.97</v>
      </c>
      <c r="O61" s="318"/>
      <c r="P61" s="167"/>
    </row>
    <row r="62" spans="3:16">
      <c r="C62" s="325" t="s">
        <v>147</v>
      </c>
      <c r="D62" s="2"/>
      <c r="E62" s="2">
        <f>FNALLaborRates!E566</f>
        <v>104.56</v>
      </c>
      <c r="F62" s="2">
        <f>FNALLaborRates!F566</f>
        <v>107.38</v>
      </c>
      <c r="G62" s="2">
        <f>FNALLaborRates!G566</f>
        <v>110.29</v>
      </c>
      <c r="H62" s="2">
        <f>FNALLaborRates!H566</f>
        <v>113.26</v>
      </c>
      <c r="I62" s="2">
        <f>FNALLaborRates!I566</f>
        <v>116.32</v>
      </c>
      <c r="J62" s="2">
        <f>FNALLaborRates!J566</f>
        <v>119.46</v>
      </c>
      <c r="K62" s="2">
        <f>FNALLaborRates!K566</f>
        <v>122.69</v>
      </c>
      <c r="L62" s="2">
        <f>FNALLaborRates!L566</f>
        <v>126</v>
      </c>
      <c r="M62" s="2">
        <f>FNALLaborRates!M566</f>
        <v>129.41</v>
      </c>
      <c r="N62" s="326">
        <f>FNALLaborRates!N566</f>
        <v>132.91</v>
      </c>
      <c r="O62" s="318"/>
      <c r="P62" s="167"/>
    </row>
    <row r="63" spans="3:16">
      <c r="C63" s="325" t="s">
        <v>1380</v>
      </c>
      <c r="D63" s="2"/>
      <c r="E63" s="2">
        <v>61.46</v>
      </c>
      <c r="F63" s="2">
        <v>63.12</v>
      </c>
      <c r="G63" s="2">
        <v>64.83</v>
      </c>
      <c r="H63" s="2">
        <v>66.58</v>
      </c>
      <c r="I63" s="2">
        <v>68.37</v>
      </c>
      <c r="J63" s="2">
        <v>70.22</v>
      </c>
      <c r="K63" s="2">
        <v>72.12</v>
      </c>
      <c r="L63" s="2">
        <v>74.069999999999993</v>
      </c>
      <c r="M63" s="2">
        <v>76.069999999999993</v>
      </c>
      <c r="N63" s="363">
        <v>78.13</v>
      </c>
      <c r="O63" s="318"/>
      <c r="P63" s="167"/>
    </row>
    <row r="64" spans="3:16">
      <c r="C64" s="327" t="s">
        <v>1323</v>
      </c>
      <c r="D64" s="2"/>
      <c r="E64" s="2">
        <f>FNALLaborRates!E582</f>
        <v>123.5</v>
      </c>
      <c r="F64" s="2">
        <f>FNALLaborRates!F582</f>
        <v>126.83</v>
      </c>
      <c r="G64" s="2">
        <f>FNALLaborRates!G582</f>
        <v>130.26</v>
      </c>
      <c r="H64" s="2">
        <f>FNALLaborRates!H582</f>
        <v>133.77000000000001</v>
      </c>
      <c r="I64" s="2">
        <f>FNALLaborRates!I582</f>
        <v>137.38</v>
      </c>
      <c r="J64" s="2">
        <f>FNALLaborRates!J582</f>
        <v>141.09</v>
      </c>
      <c r="K64" s="2">
        <f>FNALLaborRates!K582</f>
        <v>144.9</v>
      </c>
      <c r="L64" s="2">
        <f>FNALLaborRates!L582</f>
        <v>148.82</v>
      </c>
      <c r="M64" s="2">
        <f>FNALLaborRates!M582</f>
        <v>152.84</v>
      </c>
      <c r="N64" s="326">
        <f>FNALLaborRates!N582</f>
        <v>156.97</v>
      </c>
      <c r="O64" s="318"/>
      <c r="P64" s="167"/>
    </row>
    <row r="65" spans="3:16">
      <c r="C65" s="327" t="s">
        <v>146</v>
      </c>
      <c r="D65" s="2"/>
      <c r="E65" s="2">
        <f>FNALLaborRates!E580</f>
        <v>75.42</v>
      </c>
      <c r="F65" s="2">
        <f>FNALLaborRates!F580</f>
        <v>77.459999999999994</v>
      </c>
      <c r="G65" s="2">
        <f>FNALLaborRates!G580</f>
        <v>79.55</v>
      </c>
      <c r="H65" s="2">
        <f>FNALLaborRates!H580</f>
        <v>81.7</v>
      </c>
      <c r="I65" s="2">
        <f>FNALLaborRates!I580</f>
        <v>83.9</v>
      </c>
      <c r="J65" s="2">
        <f>FNALLaborRates!J580</f>
        <v>86.17</v>
      </c>
      <c r="K65" s="2">
        <f>FNALLaborRates!K580</f>
        <v>88.5</v>
      </c>
      <c r="L65" s="2">
        <f>FNALLaborRates!L580</f>
        <v>90.89</v>
      </c>
      <c r="M65" s="2">
        <f>FNALLaborRates!M580</f>
        <v>93.35</v>
      </c>
      <c r="N65" s="326">
        <f>FNALLaborRates!N580</f>
        <v>95.87</v>
      </c>
      <c r="O65" s="318"/>
      <c r="P65" s="167"/>
    </row>
    <row r="66" spans="3:16">
      <c r="C66" s="327" t="s">
        <v>391</v>
      </c>
      <c r="D66" s="2"/>
      <c r="E66" s="2">
        <f>FNALLaborRates!E601</f>
        <v>99.34</v>
      </c>
      <c r="F66" s="2">
        <f>FNALLaborRates!F601</f>
        <v>102.02</v>
      </c>
      <c r="G66" s="2">
        <f>FNALLaborRates!G601</f>
        <v>104.78</v>
      </c>
      <c r="H66" s="2">
        <f>FNALLaborRates!H601</f>
        <v>107.61</v>
      </c>
      <c r="I66" s="2">
        <f>FNALLaborRates!I601</f>
        <v>110.51</v>
      </c>
      <c r="J66" s="2">
        <f>FNALLaborRates!J601</f>
        <v>113.5</v>
      </c>
      <c r="K66" s="2">
        <f>FNALLaborRates!K601</f>
        <v>116.56</v>
      </c>
      <c r="L66" s="2">
        <f>FNALLaborRates!L601</f>
        <v>119.71</v>
      </c>
      <c r="M66" s="2">
        <f>FNALLaborRates!M601</f>
        <v>122.95</v>
      </c>
      <c r="N66" s="326">
        <f>FNALLaborRates!N601</f>
        <v>126.27</v>
      </c>
      <c r="O66" s="318"/>
      <c r="P66" s="167"/>
    </row>
    <row r="67" spans="3:16">
      <c r="C67" s="327" t="s">
        <v>666</v>
      </c>
      <c r="D67" s="2"/>
      <c r="E67" s="2">
        <f>FNALLaborRates!E602</f>
        <v>151.41999999999999</v>
      </c>
      <c r="F67" s="2">
        <f>FNALLaborRates!F602</f>
        <v>155.51</v>
      </c>
      <c r="G67" s="2">
        <f>FNALLaborRates!G602</f>
        <v>159.71</v>
      </c>
      <c r="H67" s="2">
        <f>FNALLaborRates!H602</f>
        <v>164.02</v>
      </c>
      <c r="I67" s="2">
        <f>FNALLaborRates!I602</f>
        <v>168.44</v>
      </c>
      <c r="J67" s="2">
        <f>FNALLaborRates!J602</f>
        <v>173</v>
      </c>
      <c r="K67" s="2">
        <f>FNALLaborRates!K602</f>
        <v>177.67</v>
      </c>
      <c r="L67" s="2">
        <f>FNALLaborRates!L602</f>
        <v>182.47</v>
      </c>
      <c r="M67" s="2">
        <f>FNALLaborRates!M602</f>
        <v>187.41</v>
      </c>
      <c r="N67" s="326">
        <f>FNALLaborRates!N602</f>
        <v>192.47</v>
      </c>
    </row>
    <row r="68" spans="3:16">
      <c r="C68" s="327" t="s">
        <v>1325</v>
      </c>
      <c r="D68" s="2"/>
      <c r="E68" s="2">
        <f>FNALLaborRates!E568</f>
        <v>155.74</v>
      </c>
      <c r="F68" s="2">
        <f>FNALLaborRates!F568</f>
        <v>159.94</v>
      </c>
      <c r="G68" s="2">
        <f>FNALLaborRates!G568</f>
        <v>164.26</v>
      </c>
      <c r="H68" s="2">
        <f>FNALLaborRates!H568</f>
        <v>168.69</v>
      </c>
      <c r="I68" s="2">
        <f>FNALLaborRates!I568</f>
        <v>173.24</v>
      </c>
      <c r="J68" s="2">
        <f>FNALLaborRates!J568</f>
        <v>177.93</v>
      </c>
      <c r="K68" s="2">
        <f>FNALLaborRates!K568</f>
        <v>182.73</v>
      </c>
      <c r="L68" s="2">
        <f>FNALLaborRates!L568</f>
        <v>187.67</v>
      </c>
      <c r="M68" s="2">
        <f>FNALLaborRates!M568</f>
        <v>192.75</v>
      </c>
      <c r="N68" s="326">
        <f>FNALLaborRates!N568</f>
        <v>197.96</v>
      </c>
      <c r="O68" s="309"/>
    </row>
    <row r="69" spans="3:16">
      <c r="C69" s="328"/>
      <c r="D69" s="2"/>
      <c r="E69" s="2"/>
      <c r="F69" s="25"/>
      <c r="G69" s="25"/>
      <c r="H69" s="25"/>
      <c r="I69" s="25"/>
      <c r="J69" s="25"/>
      <c r="K69" s="25"/>
      <c r="L69" s="25"/>
      <c r="M69" s="25"/>
      <c r="N69" s="329"/>
      <c r="O69" s="309"/>
    </row>
    <row r="70" spans="3:16">
      <c r="C70" s="330" t="s">
        <v>1327</v>
      </c>
      <c r="D70" s="2"/>
      <c r="E70" s="2"/>
      <c r="F70" s="25"/>
      <c r="G70" s="25"/>
      <c r="H70" s="25"/>
      <c r="I70" s="313"/>
      <c r="J70" s="313"/>
      <c r="K70" s="313"/>
      <c r="L70" s="313"/>
      <c r="M70" s="25"/>
      <c r="N70" s="329"/>
      <c r="O70" s="311"/>
    </row>
    <row r="71" spans="3:16">
      <c r="C71" s="325" t="s">
        <v>1324</v>
      </c>
      <c r="D71" s="2"/>
      <c r="E71" s="22">
        <f>E61*1768</f>
        <v>314315.03999999998</v>
      </c>
      <c r="F71" s="22">
        <f t="shared" ref="F71:N71" si="14">F61*1768</f>
        <v>322801.44</v>
      </c>
      <c r="G71" s="22">
        <f t="shared" si="14"/>
        <v>331535.36000000004</v>
      </c>
      <c r="H71" s="22">
        <f t="shared" si="14"/>
        <v>340463.76</v>
      </c>
      <c r="I71" s="22">
        <f t="shared" si="14"/>
        <v>349639.67999999999</v>
      </c>
      <c r="J71" s="22">
        <f t="shared" si="14"/>
        <v>359098.48000000004</v>
      </c>
      <c r="K71" s="22">
        <f t="shared" si="14"/>
        <v>368804.8</v>
      </c>
      <c r="L71" s="22">
        <f t="shared" si="14"/>
        <v>378758.63999999996</v>
      </c>
      <c r="M71" s="22">
        <f t="shared" si="14"/>
        <v>389013.04</v>
      </c>
      <c r="N71" s="331">
        <f t="shared" si="14"/>
        <v>399514.96</v>
      </c>
    </row>
    <row r="72" spans="3:16">
      <c r="C72" s="325" t="s">
        <v>147</v>
      </c>
      <c r="D72" s="2"/>
      <c r="E72" s="22">
        <f t="shared" ref="E72:N73" si="15">E62*1768</f>
        <v>184862.08000000002</v>
      </c>
      <c r="F72" s="22">
        <f t="shared" si="15"/>
        <v>189847.84</v>
      </c>
      <c r="G72" s="22">
        <f t="shared" si="15"/>
        <v>194992.72</v>
      </c>
      <c r="H72" s="22">
        <f t="shared" si="15"/>
        <v>200243.68000000002</v>
      </c>
      <c r="I72" s="22">
        <f t="shared" si="15"/>
        <v>205653.75999999998</v>
      </c>
      <c r="J72" s="22">
        <f t="shared" si="15"/>
        <v>211205.28</v>
      </c>
      <c r="K72" s="22">
        <f t="shared" si="15"/>
        <v>216915.91999999998</v>
      </c>
      <c r="L72" s="22">
        <f t="shared" si="15"/>
        <v>222768</v>
      </c>
      <c r="M72" s="22">
        <f t="shared" si="15"/>
        <v>228796.88</v>
      </c>
      <c r="N72" s="331">
        <f t="shared" si="15"/>
        <v>234984.88</v>
      </c>
    </row>
    <row r="73" spans="3:16">
      <c r="C73" s="325" t="s">
        <v>1380</v>
      </c>
      <c r="D73" s="2"/>
      <c r="E73" s="22">
        <f t="shared" si="15"/>
        <v>108661.28</v>
      </c>
      <c r="F73" s="22">
        <f t="shared" si="15"/>
        <v>111596.15999999999</v>
      </c>
      <c r="G73" s="22">
        <f t="shared" si="15"/>
        <v>114619.44</v>
      </c>
      <c r="H73" s="22">
        <f t="shared" si="15"/>
        <v>117713.44</v>
      </c>
      <c r="I73" s="22">
        <f t="shared" si="15"/>
        <v>120878.16</v>
      </c>
      <c r="J73" s="22">
        <f t="shared" si="15"/>
        <v>124148.95999999999</v>
      </c>
      <c r="K73" s="22">
        <f t="shared" si="15"/>
        <v>127508.16</v>
      </c>
      <c r="L73" s="22">
        <f t="shared" si="15"/>
        <v>130955.76</v>
      </c>
      <c r="M73" s="22">
        <f t="shared" si="15"/>
        <v>134491.75999999998</v>
      </c>
      <c r="N73" s="331">
        <f t="shared" si="15"/>
        <v>138133.84</v>
      </c>
    </row>
    <row r="74" spans="3:16">
      <c r="C74" s="327" t="s">
        <v>1323</v>
      </c>
      <c r="D74" s="2"/>
      <c r="E74" s="22">
        <f t="shared" ref="E74:N74" si="16">E64*1768</f>
        <v>218348</v>
      </c>
      <c r="F74" s="22">
        <f t="shared" si="16"/>
        <v>224235.44</v>
      </c>
      <c r="G74" s="22">
        <f t="shared" si="16"/>
        <v>230299.68</v>
      </c>
      <c r="H74" s="22">
        <f t="shared" si="16"/>
        <v>236505.36000000002</v>
      </c>
      <c r="I74" s="22">
        <f t="shared" si="16"/>
        <v>242887.84</v>
      </c>
      <c r="J74" s="22">
        <f t="shared" si="16"/>
        <v>249447.12</v>
      </c>
      <c r="K74" s="22">
        <f t="shared" si="16"/>
        <v>256183.2</v>
      </c>
      <c r="L74" s="22">
        <f t="shared" si="16"/>
        <v>263113.76</v>
      </c>
      <c r="M74" s="22">
        <f t="shared" si="16"/>
        <v>270221.12</v>
      </c>
      <c r="N74" s="331">
        <f t="shared" si="16"/>
        <v>277522.96000000002</v>
      </c>
    </row>
    <row r="75" spans="3:16">
      <c r="C75" s="327" t="s">
        <v>146</v>
      </c>
      <c r="D75" s="2"/>
      <c r="E75" s="22">
        <f t="shared" ref="E75:N75" si="17">E65*1768</f>
        <v>133342.56</v>
      </c>
      <c r="F75" s="22">
        <f t="shared" si="17"/>
        <v>136949.28</v>
      </c>
      <c r="G75" s="22">
        <f t="shared" si="17"/>
        <v>140644.4</v>
      </c>
      <c r="H75" s="22">
        <f t="shared" si="17"/>
        <v>144445.6</v>
      </c>
      <c r="I75" s="22">
        <f t="shared" si="17"/>
        <v>148335.20000000001</v>
      </c>
      <c r="J75" s="22">
        <f t="shared" si="17"/>
        <v>152348.56</v>
      </c>
      <c r="K75" s="22">
        <f t="shared" si="17"/>
        <v>156468</v>
      </c>
      <c r="L75" s="22">
        <f t="shared" si="17"/>
        <v>160693.51999999999</v>
      </c>
      <c r="M75" s="22">
        <f t="shared" si="17"/>
        <v>165042.79999999999</v>
      </c>
      <c r="N75" s="331">
        <f t="shared" si="17"/>
        <v>169498.16</v>
      </c>
    </row>
    <row r="76" spans="3:16">
      <c r="C76" s="327" t="s">
        <v>391</v>
      </c>
      <c r="D76" s="2"/>
      <c r="E76" s="22">
        <f t="shared" ref="E76:N76" si="18">E66*1768</f>
        <v>175633.12</v>
      </c>
      <c r="F76" s="22">
        <f t="shared" si="18"/>
        <v>180371.36</v>
      </c>
      <c r="G76" s="22">
        <f t="shared" si="18"/>
        <v>185251.04</v>
      </c>
      <c r="H76" s="22">
        <f t="shared" si="18"/>
        <v>190254.48</v>
      </c>
      <c r="I76" s="22">
        <f t="shared" si="18"/>
        <v>195381.68000000002</v>
      </c>
      <c r="J76" s="22">
        <f t="shared" si="18"/>
        <v>200668</v>
      </c>
      <c r="K76" s="22">
        <f t="shared" si="18"/>
        <v>206078.08000000002</v>
      </c>
      <c r="L76" s="22">
        <f t="shared" si="18"/>
        <v>211647.28</v>
      </c>
      <c r="M76" s="22">
        <f t="shared" si="18"/>
        <v>217375.6</v>
      </c>
      <c r="N76" s="331">
        <f t="shared" si="18"/>
        <v>223245.36</v>
      </c>
    </row>
    <row r="77" spans="3:16">
      <c r="C77" s="327" t="s">
        <v>666</v>
      </c>
      <c r="D77" s="2"/>
      <c r="E77" s="22">
        <f t="shared" ref="E77:N77" si="19">E67*1768</f>
        <v>267710.56</v>
      </c>
      <c r="F77" s="22">
        <f t="shared" si="19"/>
        <v>274941.68</v>
      </c>
      <c r="G77" s="22">
        <f t="shared" si="19"/>
        <v>282367.28000000003</v>
      </c>
      <c r="H77" s="22">
        <f t="shared" si="19"/>
        <v>289987.36000000004</v>
      </c>
      <c r="I77" s="22">
        <f t="shared" si="19"/>
        <v>297801.92</v>
      </c>
      <c r="J77" s="22">
        <f t="shared" si="19"/>
        <v>305864</v>
      </c>
      <c r="K77" s="22">
        <f t="shared" si="19"/>
        <v>314120.56</v>
      </c>
      <c r="L77" s="22">
        <f t="shared" si="19"/>
        <v>322606.96000000002</v>
      </c>
      <c r="M77" s="22">
        <f t="shared" si="19"/>
        <v>331340.88</v>
      </c>
      <c r="N77" s="331">
        <f t="shared" si="19"/>
        <v>340286.96</v>
      </c>
    </row>
    <row r="78" spans="3:16">
      <c r="C78" s="327" t="s">
        <v>1325</v>
      </c>
      <c r="D78" s="2"/>
      <c r="E78" s="22">
        <f t="shared" ref="E78:N78" si="20">E68*1768</f>
        <v>275348.32</v>
      </c>
      <c r="F78" s="22">
        <f t="shared" si="20"/>
        <v>282773.92</v>
      </c>
      <c r="G78" s="22">
        <f t="shared" si="20"/>
        <v>290411.68</v>
      </c>
      <c r="H78" s="22">
        <f t="shared" si="20"/>
        <v>298243.92</v>
      </c>
      <c r="I78" s="22">
        <f t="shared" si="20"/>
        <v>306288.32</v>
      </c>
      <c r="J78" s="22">
        <f t="shared" si="20"/>
        <v>314580.24</v>
      </c>
      <c r="K78" s="22">
        <f t="shared" si="20"/>
        <v>323066.63999999996</v>
      </c>
      <c r="L78" s="22">
        <f t="shared" si="20"/>
        <v>331800.56</v>
      </c>
      <c r="M78" s="22">
        <f t="shared" si="20"/>
        <v>340782</v>
      </c>
      <c r="N78" s="331">
        <f t="shared" si="20"/>
        <v>349993.28</v>
      </c>
    </row>
    <row r="79" spans="3:16">
      <c r="C79" s="453"/>
      <c r="D79" s="167"/>
      <c r="E79" s="348"/>
      <c r="F79" s="348"/>
      <c r="G79" s="348"/>
      <c r="H79" s="348"/>
      <c r="I79" s="348"/>
      <c r="J79" s="348"/>
      <c r="K79" s="348"/>
      <c r="L79" s="348"/>
      <c r="M79" s="348"/>
      <c r="N79" s="348"/>
    </row>
    <row r="80" spans="3:16">
      <c r="C80" s="453"/>
      <c r="D80" s="167"/>
      <c r="E80" s="348"/>
      <c r="F80" s="348"/>
      <c r="G80" s="348"/>
      <c r="H80" s="348"/>
      <c r="I80" s="348"/>
      <c r="J80" s="348"/>
      <c r="K80" s="348"/>
      <c r="L80" s="348"/>
      <c r="M80" s="348"/>
      <c r="N80" s="348"/>
    </row>
    <row r="81" spans="3:16">
      <c r="C81" s="453"/>
      <c r="D81" s="167"/>
      <c r="E81" s="348"/>
      <c r="F81" s="348"/>
      <c r="G81" s="348"/>
      <c r="H81" s="348"/>
      <c r="I81" s="348"/>
      <c r="J81" s="348"/>
      <c r="K81" s="348"/>
      <c r="L81" s="348"/>
      <c r="M81" s="348"/>
      <c r="N81" s="348"/>
    </row>
    <row r="82" spans="3:16" ht="15.75" thickBot="1">
      <c r="C82" s="312"/>
      <c r="D82" s="167"/>
      <c r="E82" s="348"/>
      <c r="F82" s="348"/>
      <c r="G82" s="348"/>
      <c r="H82" s="348"/>
      <c r="I82" s="348"/>
      <c r="J82" s="348"/>
      <c r="K82" s="348"/>
      <c r="L82" s="348"/>
      <c r="M82" s="348"/>
      <c r="N82" s="348"/>
    </row>
    <row r="83" spans="3:16" ht="15.75" customHeight="1" thickTop="1">
      <c r="C83" s="582" t="s">
        <v>1544</v>
      </c>
      <c r="D83" s="583"/>
      <c r="E83" s="583"/>
      <c r="F83" s="583"/>
      <c r="G83" s="583"/>
      <c r="H83" s="583"/>
      <c r="I83" s="583"/>
      <c r="J83" s="583"/>
      <c r="K83" s="583"/>
      <c r="L83" s="583"/>
      <c r="M83" s="584"/>
      <c r="N83" s="348"/>
    </row>
    <row r="84" spans="3:16" ht="15.75" customHeight="1" thickBot="1">
      <c r="C84" s="585"/>
      <c r="D84" s="586"/>
      <c r="E84" s="586"/>
      <c r="F84" s="586"/>
      <c r="G84" s="586"/>
      <c r="H84" s="586"/>
      <c r="I84" s="586"/>
      <c r="J84" s="586"/>
      <c r="K84" s="586"/>
      <c r="L84" s="586"/>
      <c r="M84" s="587"/>
      <c r="N84" s="348"/>
    </row>
    <row r="85" spans="3:16" ht="20.25" thickTop="1" thickBot="1">
      <c r="C85" s="588" t="s">
        <v>1543</v>
      </c>
      <c r="D85" s="589"/>
      <c r="E85" s="589"/>
      <c r="F85" s="589"/>
      <c r="G85" s="589"/>
      <c r="H85" s="590"/>
      <c r="I85" s="455" t="s">
        <v>1540</v>
      </c>
      <c r="J85" s="580" t="s">
        <v>1541</v>
      </c>
      <c r="K85" s="580"/>
      <c r="L85" s="580"/>
      <c r="M85" s="581"/>
      <c r="N85" s="348"/>
    </row>
    <row r="86" spans="3:16" ht="20.25" thickTop="1" thickBot="1">
      <c r="C86" s="588" t="s">
        <v>1539</v>
      </c>
      <c r="D86" s="589"/>
      <c r="E86" s="589"/>
      <c r="F86" s="589"/>
      <c r="G86" s="589"/>
      <c r="H86" s="590"/>
      <c r="I86" s="456">
        <v>2</v>
      </c>
      <c r="J86" s="457">
        <v>4</v>
      </c>
      <c r="K86" s="457">
        <v>8</v>
      </c>
      <c r="L86" s="457">
        <v>6</v>
      </c>
      <c r="M86" s="458">
        <v>2</v>
      </c>
    </row>
    <row r="87" spans="3:16" ht="19.5" thickTop="1">
      <c r="C87" s="336"/>
      <c r="D87" s="337"/>
      <c r="E87" s="338" t="s">
        <v>647</v>
      </c>
      <c r="F87" s="338" t="s">
        <v>648</v>
      </c>
      <c r="G87" s="338" t="s">
        <v>649</v>
      </c>
      <c r="H87" s="338" t="s">
        <v>650</v>
      </c>
      <c r="I87" s="338" t="s">
        <v>651</v>
      </c>
      <c r="J87" s="338" t="s">
        <v>652</v>
      </c>
      <c r="K87" s="338" t="s">
        <v>653</v>
      </c>
      <c r="L87" s="338" t="s">
        <v>654</v>
      </c>
      <c r="M87" s="338" t="s">
        <v>655</v>
      </c>
      <c r="N87" s="338" t="s">
        <v>656</v>
      </c>
      <c r="O87" s="339" t="s">
        <v>1330</v>
      </c>
      <c r="P87" s="340" t="s">
        <v>20</v>
      </c>
    </row>
    <row r="88" spans="3:16" ht="30.75">
      <c r="C88" s="341"/>
      <c r="D88" s="2"/>
      <c r="E88" s="332" t="s">
        <v>1329</v>
      </c>
      <c r="F88" s="332" t="s">
        <v>1329</v>
      </c>
      <c r="G88" s="332" t="s">
        <v>1329</v>
      </c>
      <c r="H88" s="332" t="s">
        <v>1329</v>
      </c>
      <c r="I88" s="332" t="s">
        <v>1329</v>
      </c>
      <c r="J88" s="332" t="s">
        <v>1329</v>
      </c>
      <c r="K88" s="332" t="s">
        <v>1329</v>
      </c>
      <c r="L88" s="332" t="s">
        <v>1329</v>
      </c>
      <c r="M88" s="332" t="s">
        <v>1329</v>
      </c>
      <c r="N88" s="332" t="s">
        <v>1329</v>
      </c>
      <c r="O88" s="332" t="s">
        <v>1329</v>
      </c>
      <c r="P88" s="326"/>
    </row>
    <row r="89" spans="3:16">
      <c r="C89" s="330" t="s">
        <v>1326</v>
      </c>
      <c r="D89" s="2">
        <v>1768</v>
      </c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34"/>
      <c r="P89" s="326"/>
    </row>
    <row r="90" spans="3:16">
      <c r="C90" s="330"/>
      <c r="D90" s="2"/>
      <c r="E90" s="333"/>
      <c r="F90" s="333"/>
      <c r="G90" s="333"/>
      <c r="H90" s="333"/>
      <c r="I90" s="333"/>
      <c r="J90" s="333"/>
      <c r="K90" s="333"/>
      <c r="L90" s="333"/>
      <c r="M90" s="333"/>
      <c r="N90" s="333"/>
      <c r="O90" s="334"/>
      <c r="P90" s="326"/>
    </row>
    <row r="91" spans="3:16">
      <c r="C91" s="330" t="s">
        <v>1378</v>
      </c>
      <c r="D91" s="2"/>
      <c r="E91" s="333"/>
      <c r="F91" s="333"/>
      <c r="G91" s="333"/>
      <c r="H91" s="333"/>
      <c r="I91" s="333"/>
      <c r="J91" s="333"/>
      <c r="K91" s="333"/>
      <c r="L91" s="333"/>
      <c r="M91" s="333"/>
      <c r="N91" s="333"/>
      <c r="O91" s="334"/>
      <c r="P91" s="326"/>
    </row>
    <row r="92" spans="3:16">
      <c r="C92" s="370" t="s">
        <v>1325</v>
      </c>
      <c r="D92" s="2"/>
      <c r="E92" s="371">
        <f t="shared" ref="E92:N92" si="21">E11*E78</f>
        <v>0</v>
      </c>
      <c r="F92" s="371">
        <f t="shared" si="21"/>
        <v>0</v>
      </c>
      <c r="G92" s="371">
        <f t="shared" si="21"/>
        <v>435617.52</v>
      </c>
      <c r="H92" s="371">
        <f t="shared" si="21"/>
        <v>447365.88</v>
      </c>
      <c r="I92" s="371">
        <f t="shared" si="21"/>
        <v>459432.48</v>
      </c>
      <c r="J92" s="371">
        <f t="shared" si="21"/>
        <v>471870.36</v>
      </c>
      <c r="K92" s="371">
        <f t="shared" si="21"/>
        <v>484599.95999999996</v>
      </c>
      <c r="L92" s="371">
        <f t="shared" si="21"/>
        <v>497700.83999999997</v>
      </c>
      <c r="M92" s="371">
        <f t="shared" si="21"/>
        <v>511173</v>
      </c>
      <c r="N92" s="371">
        <f t="shared" si="21"/>
        <v>524989.92000000004</v>
      </c>
      <c r="O92" s="334">
        <f>SUM(E92:N92)</f>
        <v>3832749.9599999995</v>
      </c>
      <c r="P92" s="326"/>
    </row>
    <row r="93" spans="3:16">
      <c r="C93" s="370" t="s">
        <v>148</v>
      </c>
      <c r="D93" s="2"/>
      <c r="E93" s="371">
        <f t="shared" ref="E93:N93" si="22">E12*E71</f>
        <v>0</v>
      </c>
      <c r="F93" s="371">
        <f t="shared" si="22"/>
        <v>0</v>
      </c>
      <c r="G93" s="371">
        <f t="shared" si="22"/>
        <v>165767.68000000002</v>
      </c>
      <c r="H93" s="371">
        <f t="shared" si="22"/>
        <v>170231.88</v>
      </c>
      <c r="I93" s="371">
        <f t="shared" si="22"/>
        <v>174819.84</v>
      </c>
      <c r="J93" s="371">
        <f t="shared" si="22"/>
        <v>179549.24000000002</v>
      </c>
      <c r="K93" s="371">
        <f t="shared" si="22"/>
        <v>184402.4</v>
      </c>
      <c r="L93" s="371">
        <f t="shared" si="22"/>
        <v>189379.31999999998</v>
      </c>
      <c r="M93" s="371">
        <f t="shared" si="22"/>
        <v>194506.52</v>
      </c>
      <c r="N93" s="371">
        <f t="shared" si="22"/>
        <v>199757.48</v>
      </c>
      <c r="O93" s="334">
        <f>SUM(E93:N93)</f>
        <v>1458414.36</v>
      </c>
      <c r="P93" s="326"/>
    </row>
    <row r="94" spans="3:16">
      <c r="C94" s="330"/>
      <c r="D94" s="2"/>
      <c r="E94" s="333"/>
      <c r="F94" s="333"/>
      <c r="G94" s="333"/>
      <c r="H94" s="333"/>
      <c r="I94" s="333"/>
      <c r="J94" s="333"/>
      <c r="K94" s="333"/>
      <c r="L94" s="333"/>
      <c r="M94" s="333"/>
      <c r="N94" s="333"/>
      <c r="O94" s="334"/>
      <c r="P94" s="326"/>
    </row>
    <row r="95" spans="3:16">
      <c r="C95" s="328" t="s">
        <v>1316</v>
      </c>
      <c r="D95" s="315"/>
      <c r="E95" s="22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26"/>
    </row>
    <row r="96" spans="3:16">
      <c r="C96" s="325" t="s">
        <v>148</v>
      </c>
      <c r="D96" s="315"/>
      <c r="E96" s="22">
        <f t="shared" ref="E96:N96" si="23">E15*E71</f>
        <v>0</v>
      </c>
      <c r="F96" s="22">
        <f t="shared" si="23"/>
        <v>0</v>
      </c>
      <c r="G96" s="22">
        <f t="shared" si="23"/>
        <v>1326141.4400000002</v>
      </c>
      <c r="H96" s="22">
        <f t="shared" si="23"/>
        <v>1361855.04</v>
      </c>
      <c r="I96" s="22">
        <f t="shared" si="23"/>
        <v>0</v>
      </c>
      <c r="J96" s="22">
        <f t="shared" si="23"/>
        <v>0</v>
      </c>
      <c r="K96" s="22">
        <f t="shared" si="23"/>
        <v>0</v>
      </c>
      <c r="L96" s="22">
        <f t="shared" si="23"/>
        <v>0</v>
      </c>
      <c r="M96" s="22">
        <f t="shared" si="23"/>
        <v>0</v>
      </c>
      <c r="N96" s="22">
        <f t="shared" si="23"/>
        <v>0</v>
      </c>
      <c r="O96" s="335">
        <f>SUM(E96:N96)</f>
        <v>2687996.4800000004</v>
      </c>
      <c r="P96" s="326"/>
    </row>
    <row r="97" spans="1:16">
      <c r="C97" s="325" t="s">
        <v>665</v>
      </c>
      <c r="D97" s="315"/>
      <c r="E97" s="22">
        <f t="shared" ref="E97:N97" si="24">E16*E72</f>
        <v>0</v>
      </c>
      <c r="F97" s="22">
        <f t="shared" si="24"/>
        <v>0</v>
      </c>
      <c r="G97" s="22">
        <f t="shared" si="24"/>
        <v>292489.08</v>
      </c>
      <c r="H97" s="22">
        <f t="shared" si="24"/>
        <v>400487.36000000004</v>
      </c>
      <c r="I97" s="22">
        <f t="shared" si="24"/>
        <v>0</v>
      </c>
      <c r="J97" s="22">
        <f t="shared" si="24"/>
        <v>0</v>
      </c>
      <c r="K97" s="22">
        <f t="shared" si="24"/>
        <v>0</v>
      </c>
      <c r="L97" s="22">
        <f t="shared" si="24"/>
        <v>0</v>
      </c>
      <c r="M97" s="22">
        <f t="shared" si="24"/>
        <v>0</v>
      </c>
      <c r="N97" s="22">
        <f t="shared" si="24"/>
        <v>0</v>
      </c>
      <c r="O97" s="335">
        <f t="shared" ref="O97:O98" si="25">SUM(E97:N97)</f>
        <v>692976.44000000006</v>
      </c>
      <c r="P97" s="326"/>
    </row>
    <row r="98" spans="1:16">
      <c r="C98" s="325" t="s">
        <v>1380</v>
      </c>
      <c r="D98" s="315"/>
      <c r="E98" s="22">
        <f t="shared" ref="E98:N98" si="26">E17*E73</f>
        <v>0</v>
      </c>
      <c r="F98" s="22">
        <f t="shared" si="26"/>
        <v>0</v>
      </c>
      <c r="G98" s="22">
        <f t="shared" si="26"/>
        <v>171929.16</v>
      </c>
      <c r="H98" s="22">
        <f t="shared" si="26"/>
        <v>235426.88</v>
      </c>
      <c r="I98" s="22">
        <f t="shared" si="26"/>
        <v>0</v>
      </c>
      <c r="J98" s="22">
        <f t="shared" si="26"/>
        <v>0</v>
      </c>
      <c r="K98" s="22">
        <f t="shared" si="26"/>
        <v>0</v>
      </c>
      <c r="L98" s="22">
        <f t="shared" si="26"/>
        <v>0</v>
      </c>
      <c r="M98" s="22">
        <f t="shared" si="26"/>
        <v>0</v>
      </c>
      <c r="N98" s="22">
        <f t="shared" si="26"/>
        <v>0</v>
      </c>
      <c r="O98" s="335">
        <f t="shared" si="25"/>
        <v>407356.04000000004</v>
      </c>
      <c r="P98" s="326"/>
    </row>
    <row r="99" spans="1:16">
      <c r="C99" s="328" t="s">
        <v>664</v>
      </c>
      <c r="D99" s="315"/>
      <c r="E99" s="22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26"/>
    </row>
    <row r="100" spans="1:16">
      <c r="C100" s="325" t="s">
        <v>146</v>
      </c>
      <c r="D100" s="315"/>
      <c r="E100" s="22">
        <f t="shared" ref="E100:N100" si="27">E19*E75</f>
        <v>0</v>
      </c>
      <c r="F100" s="22">
        <f t="shared" si="27"/>
        <v>0</v>
      </c>
      <c r="G100" s="22">
        <f t="shared" si="27"/>
        <v>0</v>
      </c>
      <c r="H100" s="22">
        <f t="shared" si="27"/>
        <v>0</v>
      </c>
      <c r="I100" s="22">
        <f t="shared" si="27"/>
        <v>1780022.4000000001</v>
      </c>
      <c r="J100" s="22">
        <f t="shared" si="27"/>
        <v>2437576.96</v>
      </c>
      <c r="K100" s="22">
        <f t="shared" si="27"/>
        <v>2503488</v>
      </c>
      <c r="L100" s="22">
        <f t="shared" si="27"/>
        <v>2571096.3199999998</v>
      </c>
      <c r="M100" s="22">
        <f t="shared" si="27"/>
        <v>1320342.3999999999</v>
      </c>
      <c r="N100" s="22">
        <f t="shared" si="27"/>
        <v>0</v>
      </c>
      <c r="O100" s="335">
        <f>SUM(E100:N100)</f>
        <v>10612526.08</v>
      </c>
      <c r="P100" s="326"/>
    </row>
    <row r="101" spans="1:16">
      <c r="C101" s="325" t="s">
        <v>1323</v>
      </c>
      <c r="D101" s="315"/>
      <c r="E101" s="22">
        <f t="shared" ref="E101:N101" si="28">E20*E74</f>
        <v>0</v>
      </c>
      <c r="F101" s="22">
        <f t="shared" si="28"/>
        <v>0</v>
      </c>
      <c r="G101" s="22">
        <f t="shared" si="28"/>
        <v>0</v>
      </c>
      <c r="H101" s="22">
        <f t="shared" si="28"/>
        <v>0</v>
      </c>
      <c r="I101" s="22">
        <f t="shared" si="28"/>
        <v>485775.68</v>
      </c>
      <c r="J101" s="22">
        <f t="shared" si="28"/>
        <v>498894.24</v>
      </c>
      <c r="K101" s="22">
        <f t="shared" si="28"/>
        <v>512366.4</v>
      </c>
      <c r="L101" s="22">
        <f t="shared" si="28"/>
        <v>526227.52</v>
      </c>
      <c r="M101" s="22">
        <f t="shared" si="28"/>
        <v>540442.24</v>
      </c>
      <c r="N101" s="22">
        <f t="shared" si="28"/>
        <v>0</v>
      </c>
      <c r="O101" s="335">
        <f t="shared" ref="O101:O103" si="29">SUM(E101:N101)</f>
        <v>2563706.08</v>
      </c>
      <c r="P101" s="326"/>
    </row>
    <row r="102" spans="1:16">
      <c r="C102" s="325" t="s">
        <v>148</v>
      </c>
      <c r="D102" s="315"/>
      <c r="E102" s="22">
        <f t="shared" ref="E102:N102" si="30">E21*E71</f>
        <v>0</v>
      </c>
      <c r="F102" s="22">
        <f t="shared" si="30"/>
        <v>0</v>
      </c>
      <c r="G102" s="22">
        <f t="shared" si="30"/>
        <v>0</v>
      </c>
      <c r="H102" s="22">
        <f t="shared" si="30"/>
        <v>0</v>
      </c>
      <c r="I102" s="22">
        <f t="shared" si="30"/>
        <v>1048919.04</v>
      </c>
      <c r="J102" s="22">
        <f t="shared" si="30"/>
        <v>1077295.4400000002</v>
      </c>
      <c r="K102" s="22">
        <f t="shared" si="30"/>
        <v>1106414.3999999999</v>
      </c>
      <c r="L102" s="22">
        <f t="shared" si="30"/>
        <v>1136275.92</v>
      </c>
      <c r="M102" s="22">
        <f t="shared" si="30"/>
        <v>1167039.1199999999</v>
      </c>
      <c r="N102" s="22">
        <f t="shared" si="30"/>
        <v>0</v>
      </c>
      <c r="O102" s="335">
        <f t="shared" si="29"/>
        <v>5535943.9200000009</v>
      </c>
      <c r="P102" s="326"/>
    </row>
    <row r="103" spans="1:16">
      <c r="C103" s="325" t="s">
        <v>147</v>
      </c>
      <c r="D103" s="315"/>
      <c r="E103" s="22">
        <f t="shared" ref="E103:N103" si="31">E22*E72</f>
        <v>0</v>
      </c>
      <c r="F103" s="22">
        <f t="shared" si="31"/>
        <v>0</v>
      </c>
      <c r="G103" s="22">
        <f t="shared" si="31"/>
        <v>0</v>
      </c>
      <c r="H103" s="22">
        <f t="shared" si="31"/>
        <v>0</v>
      </c>
      <c r="I103" s="22">
        <f t="shared" si="31"/>
        <v>205653.75999999998</v>
      </c>
      <c r="J103" s="22">
        <f t="shared" si="31"/>
        <v>105602.64</v>
      </c>
      <c r="K103" s="22">
        <f t="shared" si="31"/>
        <v>0</v>
      </c>
      <c r="L103" s="22">
        <f t="shared" si="31"/>
        <v>0</v>
      </c>
      <c r="M103" s="22">
        <f t="shared" si="31"/>
        <v>0</v>
      </c>
      <c r="N103" s="22">
        <f t="shared" si="31"/>
        <v>0</v>
      </c>
      <c r="O103" s="335">
        <f t="shared" si="29"/>
        <v>311256.39999999997</v>
      </c>
      <c r="P103" s="326"/>
    </row>
    <row r="104" spans="1:16">
      <c r="C104" s="325"/>
      <c r="D104" s="315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335"/>
      <c r="P104" s="326"/>
    </row>
    <row r="105" spans="1:16">
      <c r="C105" s="328" t="s">
        <v>666</v>
      </c>
      <c r="D105" s="315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335"/>
      <c r="P105" s="326"/>
    </row>
    <row r="106" spans="1:16" s="42" customFormat="1">
      <c r="C106" s="325" t="s">
        <v>1313</v>
      </c>
      <c r="D106" s="315"/>
      <c r="E106" s="22">
        <f t="shared" ref="E106:N106" si="32">E25*E76</f>
        <v>0</v>
      </c>
      <c r="F106" s="22">
        <f t="shared" si="32"/>
        <v>0</v>
      </c>
      <c r="G106" s="22">
        <f t="shared" si="32"/>
        <v>0</v>
      </c>
      <c r="H106" s="22">
        <f t="shared" si="32"/>
        <v>190254.48</v>
      </c>
      <c r="I106" s="22">
        <f t="shared" si="32"/>
        <v>195381.68000000002</v>
      </c>
      <c r="J106" s="22">
        <f t="shared" si="32"/>
        <v>100334</v>
      </c>
      <c r="K106" s="22">
        <f t="shared" si="32"/>
        <v>103039.04000000001</v>
      </c>
      <c r="L106" s="22">
        <f t="shared" si="32"/>
        <v>42329.456000000006</v>
      </c>
      <c r="M106" s="22">
        <f t="shared" si="32"/>
        <v>43475.12</v>
      </c>
      <c r="N106" s="22">
        <f t="shared" si="32"/>
        <v>0</v>
      </c>
      <c r="O106" s="335">
        <f>SUM(E106:N106)</f>
        <v>674813.77600000007</v>
      </c>
      <c r="P106" s="326"/>
    </row>
    <row r="107" spans="1:16">
      <c r="C107" s="325" t="s">
        <v>1331</v>
      </c>
      <c r="D107" s="315"/>
      <c r="E107" s="22">
        <f t="shared" ref="E107:N107" si="33">E26*E77</f>
        <v>0</v>
      </c>
      <c r="F107" s="22">
        <f t="shared" si="33"/>
        <v>0</v>
      </c>
      <c r="G107" s="22">
        <f t="shared" si="33"/>
        <v>0</v>
      </c>
      <c r="H107" s="22">
        <f t="shared" si="33"/>
        <v>434981.04000000004</v>
      </c>
      <c r="I107" s="22">
        <f t="shared" si="33"/>
        <v>446702.88</v>
      </c>
      <c r="J107" s="22">
        <f t="shared" si="33"/>
        <v>305864</v>
      </c>
      <c r="K107" s="22">
        <f t="shared" si="33"/>
        <v>314120.56</v>
      </c>
      <c r="L107" s="22">
        <f t="shared" si="33"/>
        <v>161303.48000000001</v>
      </c>
      <c r="M107" s="22">
        <f t="shared" si="33"/>
        <v>165670.44</v>
      </c>
      <c r="N107" s="22">
        <f t="shared" si="33"/>
        <v>0</v>
      </c>
      <c r="O107" s="335">
        <f>SUM(E107:N107)</f>
        <v>1828642.4</v>
      </c>
      <c r="P107" s="326"/>
    </row>
    <row r="108" spans="1:16">
      <c r="C108" s="325" t="s">
        <v>1377</v>
      </c>
      <c r="D108" s="315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335"/>
      <c r="P108" s="326"/>
    </row>
    <row r="109" spans="1:16">
      <c r="C109" s="325"/>
      <c r="D109" s="315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335"/>
      <c r="P109" s="326"/>
    </row>
    <row r="110" spans="1:16">
      <c r="C110" s="328" t="s">
        <v>667</v>
      </c>
      <c r="D110" s="315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335"/>
      <c r="P110" s="326"/>
    </row>
    <row r="111" spans="1:16">
      <c r="A111" s="303"/>
      <c r="C111" s="325" t="s">
        <v>148</v>
      </c>
      <c r="D111" s="315"/>
      <c r="E111" s="22">
        <f t="shared" ref="E111:N111" si="34">E30*E71</f>
        <v>0</v>
      </c>
      <c r="F111" s="22">
        <f t="shared" si="34"/>
        <v>0</v>
      </c>
      <c r="G111" s="22">
        <f t="shared" si="34"/>
        <v>331535.36000000004</v>
      </c>
      <c r="H111" s="22">
        <f t="shared" si="34"/>
        <v>680927.52</v>
      </c>
      <c r="I111" s="22">
        <f t="shared" si="34"/>
        <v>349639.67999999999</v>
      </c>
      <c r="J111" s="22">
        <f t="shared" si="34"/>
        <v>0</v>
      </c>
      <c r="K111" s="22">
        <f t="shared" si="34"/>
        <v>0</v>
      </c>
      <c r="L111" s="22">
        <f t="shared" si="34"/>
        <v>0</v>
      </c>
      <c r="M111" s="22">
        <f t="shared" si="34"/>
        <v>0</v>
      </c>
      <c r="N111" s="22">
        <f t="shared" si="34"/>
        <v>0</v>
      </c>
      <c r="O111" s="335">
        <f>SUM(E111:N111)</f>
        <v>1362102.56</v>
      </c>
      <c r="P111" s="326"/>
    </row>
    <row r="112" spans="1:16">
      <c r="A112" s="303"/>
      <c r="C112" s="325" t="s">
        <v>147</v>
      </c>
      <c r="D112" s="315"/>
      <c r="E112" s="22">
        <f t="shared" ref="E112:N112" si="35">E31*E72</f>
        <v>0</v>
      </c>
      <c r="F112" s="22">
        <f t="shared" si="35"/>
        <v>0</v>
      </c>
      <c r="G112" s="22">
        <f t="shared" si="35"/>
        <v>97496.36</v>
      </c>
      <c r="H112" s="22">
        <f t="shared" si="35"/>
        <v>200243.68000000002</v>
      </c>
      <c r="I112" s="22">
        <f t="shared" si="35"/>
        <v>0</v>
      </c>
      <c r="J112" s="22">
        <f t="shared" si="35"/>
        <v>0</v>
      </c>
      <c r="K112" s="22">
        <f t="shared" si="35"/>
        <v>0</v>
      </c>
      <c r="L112" s="22">
        <f t="shared" si="35"/>
        <v>0</v>
      </c>
      <c r="M112" s="22">
        <f t="shared" si="35"/>
        <v>0</v>
      </c>
      <c r="N112" s="22">
        <f t="shared" si="35"/>
        <v>0</v>
      </c>
      <c r="O112" s="335">
        <f t="shared" ref="O112:O113" si="36">SUM(E112:N112)</f>
        <v>297740.04000000004</v>
      </c>
      <c r="P112" s="326"/>
    </row>
    <row r="113" spans="1:16">
      <c r="A113" s="303"/>
      <c r="C113" s="325" t="s">
        <v>1380</v>
      </c>
      <c r="D113" s="315"/>
      <c r="E113" s="22">
        <f t="shared" ref="E113:N113" si="37">E32*E73</f>
        <v>0</v>
      </c>
      <c r="F113" s="22">
        <f t="shared" si="37"/>
        <v>0</v>
      </c>
      <c r="G113" s="22">
        <f t="shared" si="37"/>
        <v>57309.72</v>
      </c>
      <c r="H113" s="22">
        <f t="shared" si="37"/>
        <v>117713.44</v>
      </c>
      <c r="I113" s="22">
        <f t="shared" si="37"/>
        <v>0</v>
      </c>
      <c r="J113" s="22">
        <f t="shared" si="37"/>
        <v>0</v>
      </c>
      <c r="K113" s="22">
        <f t="shared" si="37"/>
        <v>0</v>
      </c>
      <c r="L113" s="22">
        <f t="shared" si="37"/>
        <v>0</v>
      </c>
      <c r="M113" s="22">
        <f t="shared" si="37"/>
        <v>0</v>
      </c>
      <c r="N113" s="22">
        <f t="shared" si="37"/>
        <v>0</v>
      </c>
      <c r="O113" s="335">
        <f t="shared" si="36"/>
        <v>175023.16</v>
      </c>
      <c r="P113" s="326"/>
    </row>
    <row r="114" spans="1:16">
      <c r="C114" s="325"/>
      <c r="D114" s="315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335"/>
      <c r="P114" s="326"/>
    </row>
    <row r="115" spans="1:16">
      <c r="C115" s="328" t="s">
        <v>670</v>
      </c>
      <c r="D115" s="315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335"/>
      <c r="P115" s="326"/>
    </row>
    <row r="116" spans="1:16">
      <c r="C116" s="342" t="s">
        <v>1536</v>
      </c>
      <c r="D116" s="315"/>
      <c r="E116" s="22">
        <f t="shared" ref="E116:N116" si="38">E35*E71</f>
        <v>0</v>
      </c>
      <c r="F116" s="22">
        <f t="shared" si="38"/>
        <v>0</v>
      </c>
      <c r="G116" s="22">
        <f t="shared" si="38"/>
        <v>0</v>
      </c>
      <c r="H116" s="22">
        <f t="shared" si="38"/>
        <v>0</v>
      </c>
      <c r="I116" s="22">
        <f t="shared" si="38"/>
        <v>699279.35999999999</v>
      </c>
      <c r="J116" s="22">
        <f t="shared" si="38"/>
        <v>718196.96000000008</v>
      </c>
      <c r="K116" s="22">
        <f t="shared" si="38"/>
        <v>737609.6</v>
      </c>
      <c r="L116" s="22">
        <f t="shared" si="38"/>
        <v>757517.27999999991</v>
      </c>
      <c r="M116" s="22">
        <f t="shared" si="38"/>
        <v>778026.08</v>
      </c>
      <c r="N116" s="22">
        <f t="shared" si="38"/>
        <v>0</v>
      </c>
      <c r="O116" s="335">
        <f>SUM(E116:N116)</f>
        <v>3690629.28</v>
      </c>
      <c r="P116" s="326"/>
    </row>
    <row r="117" spans="1:16">
      <c r="C117" s="342" t="s">
        <v>1537</v>
      </c>
      <c r="D117" s="315"/>
      <c r="E117" s="22">
        <f>E36*E72</f>
        <v>0</v>
      </c>
      <c r="F117" s="22">
        <f t="shared" ref="F117:N117" si="39">F36*F72</f>
        <v>0</v>
      </c>
      <c r="G117" s="22">
        <f t="shared" si="39"/>
        <v>102912.82444444443</v>
      </c>
      <c r="H117" s="22">
        <f t="shared" si="39"/>
        <v>0</v>
      </c>
      <c r="I117" s="22">
        <f t="shared" si="39"/>
        <v>0</v>
      </c>
      <c r="J117" s="22">
        <f t="shared" si="39"/>
        <v>83811.619047619039</v>
      </c>
      <c r="K117" s="22">
        <f t="shared" si="39"/>
        <v>172155.49206349204</v>
      </c>
      <c r="L117" s="22">
        <f t="shared" si="39"/>
        <v>132600</v>
      </c>
      <c r="M117" s="22">
        <f t="shared" si="39"/>
        <v>45396.206349206346</v>
      </c>
      <c r="N117" s="22">
        <f t="shared" si="39"/>
        <v>0</v>
      </c>
      <c r="O117" s="335">
        <f t="shared" ref="O117:O119" si="40">SUM(E117:N117)</f>
        <v>536876.1419047619</v>
      </c>
      <c r="P117" s="326"/>
    </row>
    <row r="118" spans="1:16">
      <c r="C118" s="325" t="s">
        <v>1538</v>
      </c>
      <c r="D118" s="315"/>
      <c r="E118" s="22">
        <f>E37*E75</f>
        <v>0</v>
      </c>
      <c r="F118" s="22">
        <f t="shared" ref="F118:N118" si="41">F37*F75</f>
        <v>0</v>
      </c>
      <c r="G118" s="22">
        <f t="shared" si="41"/>
        <v>0</v>
      </c>
      <c r="H118" s="22">
        <f t="shared" si="41"/>
        <v>19488.692063492064</v>
      </c>
      <c r="I118" s="22">
        <f t="shared" si="41"/>
        <v>0</v>
      </c>
      <c r="J118" s="22">
        <f t="shared" si="41"/>
        <v>655340.63111111103</v>
      </c>
      <c r="K118" s="22">
        <f t="shared" si="41"/>
        <v>1346121.5238095238</v>
      </c>
      <c r="L118" s="22">
        <f t="shared" si="41"/>
        <v>1036855.8076190476</v>
      </c>
      <c r="M118" s="22">
        <f t="shared" si="41"/>
        <v>0</v>
      </c>
      <c r="N118" s="22">
        <f t="shared" si="41"/>
        <v>0</v>
      </c>
      <c r="O118" s="335">
        <f t="shared" si="40"/>
        <v>3057806.6546031744</v>
      </c>
      <c r="P118" s="326"/>
    </row>
    <row r="119" spans="1:16">
      <c r="C119" s="325" t="s">
        <v>1535</v>
      </c>
      <c r="D119" s="315"/>
      <c r="E119" s="22">
        <f>E38*E71</f>
        <v>0</v>
      </c>
      <c r="F119" s="22">
        <f t="shared" ref="F119:N119" si="42">F38*F71</f>
        <v>0</v>
      </c>
      <c r="G119" s="22">
        <f t="shared" si="42"/>
        <v>113143.01968253969</v>
      </c>
      <c r="H119" s="22">
        <f t="shared" si="42"/>
        <v>1351.0466666666666</v>
      </c>
      <c r="I119" s="22">
        <f t="shared" si="42"/>
        <v>0</v>
      </c>
      <c r="J119" s="22">
        <f t="shared" si="42"/>
        <v>247948.95047619051</v>
      </c>
      <c r="K119" s="22">
        <f t="shared" si="42"/>
        <v>509301.86666666664</v>
      </c>
      <c r="L119" s="22">
        <f t="shared" si="42"/>
        <v>392285.73428571416</v>
      </c>
      <c r="M119" s="22">
        <f t="shared" si="42"/>
        <v>134302.12095238094</v>
      </c>
      <c r="N119" s="22">
        <f t="shared" si="42"/>
        <v>0</v>
      </c>
      <c r="O119" s="335">
        <f t="shared" si="40"/>
        <v>1398332.7387301587</v>
      </c>
      <c r="P119" s="326"/>
    </row>
    <row r="120" spans="1:16">
      <c r="C120" s="325"/>
      <c r="D120" s="315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335"/>
      <c r="P120" s="326"/>
    </row>
    <row r="121" spans="1:16">
      <c r="C121" s="328" t="s">
        <v>668</v>
      </c>
      <c r="D121" s="315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335"/>
      <c r="P121" s="326"/>
    </row>
    <row r="122" spans="1:16">
      <c r="C122" s="328" t="s">
        <v>172</v>
      </c>
      <c r="D122" s="315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335"/>
      <c r="P122" s="326"/>
    </row>
    <row r="123" spans="1:16">
      <c r="A123" s="309"/>
      <c r="B123" s="309"/>
      <c r="C123" s="342" t="s">
        <v>148</v>
      </c>
      <c r="D123" s="315"/>
      <c r="E123" s="22">
        <f t="shared" ref="E123:N123" si="43">E42*E71</f>
        <v>0</v>
      </c>
      <c r="F123" s="22">
        <f t="shared" si="43"/>
        <v>0</v>
      </c>
      <c r="G123" s="22">
        <f t="shared" si="43"/>
        <v>0</v>
      </c>
      <c r="H123" s="22">
        <f t="shared" si="43"/>
        <v>0</v>
      </c>
      <c r="I123" s="22">
        <f t="shared" si="43"/>
        <v>0</v>
      </c>
      <c r="J123" s="22">
        <f t="shared" si="43"/>
        <v>0</v>
      </c>
      <c r="K123" s="22">
        <f t="shared" si="43"/>
        <v>0</v>
      </c>
      <c r="L123" s="22">
        <f t="shared" si="43"/>
        <v>0</v>
      </c>
      <c r="M123" s="22">
        <f t="shared" si="43"/>
        <v>0</v>
      </c>
      <c r="N123" s="22">
        <f t="shared" si="43"/>
        <v>0</v>
      </c>
      <c r="O123" s="335">
        <f>SUM(E123:N123)</f>
        <v>0</v>
      </c>
      <c r="P123" s="326"/>
    </row>
    <row r="124" spans="1:16">
      <c r="A124" s="309"/>
      <c r="B124" s="309"/>
      <c r="C124" s="342" t="s">
        <v>665</v>
      </c>
      <c r="D124" s="315"/>
      <c r="E124" s="22">
        <f t="shared" ref="E124:N124" si="44">E43*E72</f>
        <v>0</v>
      </c>
      <c r="F124" s="22">
        <f t="shared" si="44"/>
        <v>0</v>
      </c>
      <c r="G124" s="22">
        <f t="shared" si="44"/>
        <v>0</v>
      </c>
      <c r="H124" s="22">
        <f t="shared" si="44"/>
        <v>0</v>
      </c>
      <c r="I124" s="22">
        <f t="shared" si="44"/>
        <v>0</v>
      </c>
      <c r="J124" s="22">
        <f t="shared" si="44"/>
        <v>0</v>
      </c>
      <c r="K124" s="22">
        <f t="shared" si="44"/>
        <v>0</v>
      </c>
      <c r="L124" s="22">
        <f t="shared" si="44"/>
        <v>0</v>
      </c>
      <c r="M124" s="22">
        <f t="shared" si="44"/>
        <v>0</v>
      </c>
      <c r="N124" s="22">
        <f t="shared" si="44"/>
        <v>0</v>
      </c>
      <c r="O124" s="335">
        <f t="shared" ref="O124:O131" si="45">SUM(E124:N124)</f>
        <v>0</v>
      </c>
      <c r="P124" s="326"/>
    </row>
    <row r="125" spans="1:16">
      <c r="A125" s="309"/>
      <c r="B125" s="309"/>
      <c r="C125" s="342" t="s">
        <v>146</v>
      </c>
      <c r="D125" s="315"/>
      <c r="E125" s="22">
        <f t="shared" ref="E125:N125" si="46">E44*E75</f>
        <v>0</v>
      </c>
      <c r="F125" s="22">
        <f t="shared" si="46"/>
        <v>0</v>
      </c>
      <c r="G125" s="22">
        <f t="shared" si="46"/>
        <v>0</v>
      </c>
      <c r="H125" s="22">
        <f t="shared" si="46"/>
        <v>84968</v>
      </c>
      <c r="I125" s="22">
        <f t="shared" si="46"/>
        <v>0</v>
      </c>
      <c r="J125" s="22">
        <f t="shared" si="46"/>
        <v>289531.19999999995</v>
      </c>
      <c r="K125" s="22">
        <f t="shared" si="46"/>
        <v>594720</v>
      </c>
      <c r="L125" s="22">
        <f t="shared" si="46"/>
        <v>458085.59999999992</v>
      </c>
      <c r="M125" s="22">
        <f t="shared" si="46"/>
        <v>156827.99999999997</v>
      </c>
      <c r="N125" s="22">
        <f t="shared" si="46"/>
        <v>0</v>
      </c>
      <c r="O125" s="335">
        <f t="shared" si="45"/>
        <v>1584132.7999999998</v>
      </c>
      <c r="P125" s="326"/>
    </row>
    <row r="126" spans="1:16">
      <c r="A126" s="310"/>
      <c r="B126" s="309"/>
      <c r="C126" s="328" t="s">
        <v>92</v>
      </c>
      <c r="D126" s="315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335">
        <f t="shared" si="45"/>
        <v>0</v>
      </c>
      <c r="P126" s="326"/>
    </row>
    <row r="127" spans="1:16">
      <c r="A127" s="309"/>
      <c r="B127" s="309"/>
      <c r="C127" s="342" t="s">
        <v>148</v>
      </c>
      <c r="D127" s="315"/>
      <c r="E127" s="22">
        <f t="shared" ref="E127:N127" si="47">E46*E71</f>
        <v>0</v>
      </c>
      <c r="F127" s="22">
        <f t="shared" si="47"/>
        <v>0</v>
      </c>
      <c r="G127" s="22">
        <f t="shared" si="47"/>
        <v>0</v>
      </c>
      <c r="H127" s="22">
        <f t="shared" si="47"/>
        <v>0</v>
      </c>
      <c r="I127" s="22">
        <f t="shared" si="47"/>
        <v>0</v>
      </c>
      <c r="J127" s="22">
        <f t="shared" si="47"/>
        <v>0</v>
      </c>
      <c r="K127" s="22">
        <f t="shared" si="47"/>
        <v>0</v>
      </c>
      <c r="L127" s="22">
        <f t="shared" si="47"/>
        <v>0</v>
      </c>
      <c r="M127" s="22">
        <f t="shared" si="47"/>
        <v>0</v>
      </c>
      <c r="N127" s="22">
        <f t="shared" si="47"/>
        <v>0</v>
      </c>
      <c r="O127" s="335">
        <f t="shared" si="45"/>
        <v>0</v>
      </c>
      <c r="P127" s="326" t="s">
        <v>1319</v>
      </c>
    </row>
    <row r="128" spans="1:16">
      <c r="A128" s="309"/>
      <c r="B128" s="309"/>
      <c r="C128" s="342" t="s">
        <v>665</v>
      </c>
      <c r="D128" s="315"/>
      <c r="E128" s="22">
        <f t="shared" ref="E128:N128" si="48">E47*E72</f>
        <v>0</v>
      </c>
      <c r="F128" s="22">
        <f t="shared" si="48"/>
        <v>0</v>
      </c>
      <c r="G128" s="22">
        <f t="shared" si="48"/>
        <v>0</v>
      </c>
      <c r="H128" s="22">
        <f t="shared" si="48"/>
        <v>0</v>
      </c>
      <c r="I128" s="22">
        <f t="shared" si="48"/>
        <v>0</v>
      </c>
      <c r="J128" s="22">
        <f t="shared" si="48"/>
        <v>0</v>
      </c>
      <c r="K128" s="22">
        <f t="shared" si="48"/>
        <v>0</v>
      </c>
      <c r="L128" s="22">
        <f t="shared" si="48"/>
        <v>0</v>
      </c>
      <c r="M128" s="22">
        <f t="shared" si="48"/>
        <v>0</v>
      </c>
      <c r="N128" s="22">
        <f t="shared" si="48"/>
        <v>0</v>
      </c>
      <c r="O128" s="335">
        <f t="shared" si="45"/>
        <v>0</v>
      </c>
      <c r="P128" s="326" t="s">
        <v>1319</v>
      </c>
    </row>
    <row r="129" spans="1:16">
      <c r="A129" s="309"/>
      <c r="B129" s="309"/>
      <c r="C129" s="342" t="s">
        <v>146</v>
      </c>
      <c r="D129" s="315"/>
      <c r="E129" s="22">
        <f t="shared" ref="E129:N129" si="49">E48*E75</f>
        <v>0</v>
      </c>
      <c r="F129" s="22">
        <f t="shared" si="49"/>
        <v>0</v>
      </c>
      <c r="G129" s="22">
        <f t="shared" si="49"/>
        <v>0</v>
      </c>
      <c r="H129" s="22">
        <f t="shared" si="49"/>
        <v>0</v>
      </c>
      <c r="I129" s="22">
        <f t="shared" si="49"/>
        <v>0</v>
      </c>
      <c r="J129" s="22">
        <f t="shared" si="49"/>
        <v>0</v>
      </c>
      <c r="K129" s="22">
        <f t="shared" si="49"/>
        <v>0</v>
      </c>
      <c r="L129" s="22">
        <f t="shared" si="49"/>
        <v>0</v>
      </c>
      <c r="M129" s="22">
        <f t="shared" si="49"/>
        <v>0</v>
      </c>
      <c r="N129" s="22">
        <f t="shared" si="49"/>
        <v>0</v>
      </c>
      <c r="O129" s="335">
        <f t="shared" si="45"/>
        <v>0</v>
      </c>
      <c r="P129" s="326" t="s">
        <v>1319</v>
      </c>
    </row>
    <row r="130" spans="1:16">
      <c r="A130" s="309"/>
      <c r="B130" s="309"/>
      <c r="C130" s="328" t="s">
        <v>1318</v>
      </c>
      <c r="D130" s="315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335">
        <f t="shared" si="45"/>
        <v>0</v>
      </c>
      <c r="P130" s="326" t="s">
        <v>1320</v>
      </c>
    </row>
    <row r="131" spans="1:16">
      <c r="A131" s="309"/>
      <c r="B131" s="309"/>
      <c r="C131" s="342" t="s">
        <v>146</v>
      </c>
      <c r="D131" s="315"/>
      <c r="E131" s="22">
        <f t="shared" ref="E131:N131" si="50">E50*E75</f>
        <v>0</v>
      </c>
      <c r="F131" s="22">
        <f t="shared" si="50"/>
        <v>0</v>
      </c>
      <c r="G131" s="22">
        <f t="shared" si="50"/>
        <v>0</v>
      </c>
      <c r="H131" s="22">
        <f t="shared" si="50"/>
        <v>0</v>
      </c>
      <c r="I131" s="22">
        <f t="shared" si="50"/>
        <v>0</v>
      </c>
      <c r="J131" s="22">
        <f t="shared" si="50"/>
        <v>327446</v>
      </c>
      <c r="K131" s="22">
        <f t="shared" si="50"/>
        <v>566400</v>
      </c>
      <c r="L131" s="22">
        <f t="shared" si="50"/>
        <v>436272</v>
      </c>
      <c r="M131" s="22">
        <f t="shared" si="50"/>
        <v>149360</v>
      </c>
      <c r="N131" s="22">
        <f t="shared" si="50"/>
        <v>0</v>
      </c>
      <c r="O131" s="335">
        <f t="shared" si="45"/>
        <v>1479478</v>
      </c>
      <c r="P131" s="326" t="s">
        <v>1319</v>
      </c>
    </row>
    <row r="132" spans="1:16">
      <c r="A132" s="309"/>
      <c r="B132" s="309"/>
      <c r="C132" s="342"/>
      <c r="D132" s="315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335"/>
      <c r="P132" s="326"/>
    </row>
    <row r="133" spans="1:16">
      <c r="A133" s="309"/>
      <c r="B133" s="309"/>
      <c r="C133" s="328" t="s">
        <v>1379</v>
      </c>
      <c r="D133" s="315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335"/>
      <c r="P133" s="326"/>
    </row>
    <row r="134" spans="1:16">
      <c r="A134" s="309"/>
      <c r="B134" s="309"/>
      <c r="C134" s="342" t="s">
        <v>146</v>
      </c>
      <c r="D134" s="315"/>
      <c r="E134" s="22">
        <f t="shared" ref="E134:N134" si="51">E53*E75</f>
        <v>0</v>
      </c>
      <c r="F134" s="22">
        <f t="shared" si="51"/>
        <v>0</v>
      </c>
      <c r="G134" s="22">
        <f t="shared" si="51"/>
        <v>0</v>
      </c>
      <c r="H134" s="22">
        <f t="shared" si="51"/>
        <v>0</v>
      </c>
      <c r="I134" s="22">
        <f t="shared" si="51"/>
        <v>0</v>
      </c>
      <c r="J134" s="22">
        <f t="shared" si="51"/>
        <v>15234.856</v>
      </c>
      <c r="K134" s="22">
        <f t="shared" si="51"/>
        <v>31293.600000000002</v>
      </c>
      <c r="L134" s="22">
        <f t="shared" si="51"/>
        <v>32138.703999999998</v>
      </c>
      <c r="M134" s="22">
        <f t="shared" si="51"/>
        <v>16504.28</v>
      </c>
      <c r="N134" s="22">
        <f t="shared" si="51"/>
        <v>0</v>
      </c>
      <c r="O134" s="335">
        <f>SUM(E134:N134)</f>
        <v>95171.44</v>
      </c>
      <c r="P134" s="326"/>
    </row>
    <row r="135" spans="1:16">
      <c r="A135" s="309"/>
      <c r="B135" s="309"/>
      <c r="C135" s="325"/>
      <c r="D135" s="315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335"/>
      <c r="P135" s="326"/>
    </row>
    <row r="136" spans="1:16">
      <c r="A136" s="309"/>
      <c r="B136" s="309"/>
      <c r="C136" s="328" t="s">
        <v>669</v>
      </c>
      <c r="D136" s="315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335"/>
      <c r="P136" s="326"/>
    </row>
    <row r="137" spans="1:16">
      <c r="A137" s="309"/>
      <c r="B137" s="309"/>
      <c r="C137" s="325" t="s">
        <v>1325</v>
      </c>
      <c r="D137" s="315"/>
      <c r="E137" s="22">
        <f t="shared" ref="E137:N137" si="52">E56*E78</f>
        <v>0</v>
      </c>
      <c r="F137" s="22">
        <f t="shared" si="52"/>
        <v>0</v>
      </c>
      <c r="G137" s="22">
        <f t="shared" si="52"/>
        <v>0</v>
      </c>
      <c r="H137" s="22">
        <f t="shared" si="52"/>
        <v>0</v>
      </c>
      <c r="I137" s="22">
        <f t="shared" si="52"/>
        <v>306288.32</v>
      </c>
      <c r="J137" s="22">
        <f t="shared" si="52"/>
        <v>314580.24</v>
      </c>
      <c r="K137" s="22">
        <f t="shared" si="52"/>
        <v>323066.63999999996</v>
      </c>
      <c r="L137" s="22">
        <f t="shared" si="52"/>
        <v>331800.56</v>
      </c>
      <c r="M137" s="22">
        <f t="shared" si="52"/>
        <v>340782</v>
      </c>
      <c r="N137" s="22">
        <f t="shared" si="52"/>
        <v>0</v>
      </c>
      <c r="O137" s="335">
        <f>SUM(E137:N137)</f>
        <v>1616517.76</v>
      </c>
      <c r="P137" s="326"/>
    </row>
    <row r="138" spans="1:16">
      <c r="C138" s="325"/>
      <c r="D138" s="315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335"/>
      <c r="P138" s="326"/>
    </row>
    <row r="139" spans="1:16" ht="15.75" thickBot="1">
      <c r="C139" s="343" t="s">
        <v>1328</v>
      </c>
      <c r="D139" s="344"/>
      <c r="E139" s="346">
        <f>SUM(E89:E138)</f>
        <v>0</v>
      </c>
      <c r="F139" s="346">
        <f t="shared" ref="F139:N139" si="53">SUM(F89:F138)</f>
        <v>0</v>
      </c>
      <c r="G139" s="346">
        <f t="shared" si="53"/>
        <v>3094342.1641269843</v>
      </c>
      <c r="H139" s="346">
        <f t="shared" si="53"/>
        <v>4345294.9387301588</v>
      </c>
      <c r="I139" s="346">
        <f t="shared" si="53"/>
        <v>6151915.1200000001</v>
      </c>
      <c r="J139" s="346">
        <f t="shared" si="53"/>
        <v>7829077.3366349209</v>
      </c>
      <c r="K139" s="346">
        <f t="shared" si="53"/>
        <v>9489099.4825396817</v>
      </c>
      <c r="L139" s="346">
        <f t="shared" si="53"/>
        <v>8701868.5419047624</v>
      </c>
      <c r="M139" s="346">
        <f t="shared" si="53"/>
        <v>5563847.5273015872</v>
      </c>
      <c r="N139" s="346">
        <f t="shared" si="53"/>
        <v>724747.4</v>
      </c>
      <c r="O139" s="347">
        <f>SUM(E139:N139)</f>
        <v>45900192.511238098</v>
      </c>
      <c r="P139" s="345"/>
    </row>
    <row r="140" spans="1:16" ht="15.75" thickTop="1"/>
    <row r="141" spans="1:16">
      <c r="O141" s="47">
        <f>SUM(O90:O137)</f>
        <v>45900192.511238091</v>
      </c>
    </row>
  </sheetData>
  <mergeCells count="8">
    <mergeCell ref="C2:M3"/>
    <mergeCell ref="C85:H85"/>
    <mergeCell ref="C83:M84"/>
    <mergeCell ref="C86:H86"/>
    <mergeCell ref="J4:M4"/>
    <mergeCell ref="J85:M85"/>
    <mergeCell ref="C5:H5"/>
    <mergeCell ref="C4:H4"/>
  </mergeCells>
  <pageMargins left="0.7" right="0.7" top="0.75" bottom="0.75" header="0.3" footer="0.3"/>
  <pageSetup scale="53" fitToHeight="0" orientation="landscape" r:id="rId1"/>
  <rowBreaks count="2" manualBreakCount="2">
    <brk id="58" max="16383" man="1"/>
    <brk id="82" max="16383" man="1"/>
  </rowBreaks>
  <ignoredErrors>
    <ignoredError sqref="L102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40"/>
  <sheetViews>
    <sheetView workbookViewId="0">
      <pane ySplit="975" topLeftCell="A562" activePane="bottomLeft"/>
      <selection activeCell="A623" sqref="A623:XFD640"/>
      <selection pane="bottomLeft" activeCell="E579" sqref="E579:N579"/>
    </sheetView>
  </sheetViews>
  <sheetFormatPr defaultRowHeight="15" outlineLevelRow="1"/>
  <cols>
    <col min="1" max="1" width="6.28515625" customWidth="1"/>
    <col min="2" max="2" width="68.5703125" bestFit="1" customWidth="1"/>
  </cols>
  <sheetData>
    <row r="1" spans="1:17" ht="18.75">
      <c r="A1" s="281" t="s">
        <v>671</v>
      </c>
    </row>
    <row r="2" spans="1:17">
      <c r="B2" t="s">
        <v>672</v>
      </c>
      <c r="D2" t="s">
        <v>646</v>
      </c>
      <c r="E2" t="s">
        <v>647</v>
      </c>
      <c r="F2" t="s">
        <v>648</v>
      </c>
      <c r="G2" t="s">
        <v>649</v>
      </c>
      <c r="H2" t="s">
        <v>650</v>
      </c>
      <c r="I2" t="s">
        <v>651</v>
      </c>
      <c r="J2" t="s">
        <v>652</v>
      </c>
      <c r="K2" t="s">
        <v>653</v>
      </c>
      <c r="L2" t="s">
        <v>654</v>
      </c>
      <c r="M2" t="s">
        <v>655</v>
      </c>
      <c r="N2" t="s">
        <v>656</v>
      </c>
      <c r="O2" t="s">
        <v>657</v>
      </c>
      <c r="P2" t="s">
        <v>673</v>
      </c>
      <c r="Q2" t="s">
        <v>658</v>
      </c>
    </row>
    <row r="3" spans="1:17" collapsed="1">
      <c r="A3" t="s">
        <v>674</v>
      </c>
    </row>
    <row r="4" spans="1:17" hidden="1" outlineLevel="1">
      <c r="B4" t="s">
        <v>675</v>
      </c>
      <c r="C4" t="s">
        <v>676</v>
      </c>
      <c r="D4">
        <v>153.25</v>
      </c>
      <c r="E4">
        <v>157.38999999999999</v>
      </c>
      <c r="F4">
        <v>161.63999999999999</v>
      </c>
      <c r="G4">
        <v>166.01</v>
      </c>
      <c r="H4">
        <v>170.49</v>
      </c>
      <c r="I4">
        <v>175.09</v>
      </c>
      <c r="J4">
        <v>179.82</v>
      </c>
      <c r="K4">
        <v>184.68</v>
      </c>
      <c r="L4">
        <v>189.67</v>
      </c>
      <c r="M4">
        <v>194.8</v>
      </c>
      <c r="N4">
        <v>200.06</v>
      </c>
      <c r="O4">
        <v>205.46</v>
      </c>
      <c r="P4">
        <v>0</v>
      </c>
      <c r="Q4" s="304">
        <v>2138</v>
      </c>
    </row>
    <row r="5" spans="1:17" hidden="1" outlineLevel="1">
      <c r="B5" t="s">
        <v>677</v>
      </c>
      <c r="C5" t="s">
        <v>676</v>
      </c>
      <c r="D5">
        <v>92.95</v>
      </c>
      <c r="E5">
        <v>95.47</v>
      </c>
      <c r="F5">
        <v>98.04</v>
      </c>
      <c r="G5">
        <v>100.69</v>
      </c>
      <c r="H5">
        <v>103.41</v>
      </c>
      <c r="I5">
        <v>106.2</v>
      </c>
      <c r="J5">
        <v>109.07</v>
      </c>
      <c r="K5">
        <v>112.01</v>
      </c>
      <c r="L5">
        <v>115.04</v>
      </c>
      <c r="M5">
        <v>118.15</v>
      </c>
      <c r="N5">
        <v>121.35</v>
      </c>
      <c r="O5">
        <v>124.62</v>
      </c>
      <c r="P5">
        <v>0</v>
      </c>
      <c r="Q5" s="304">
        <v>1297</v>
      </c>
    </row>
    <row r="6" spans="1:17" hidden="1" outlineLevel="1">
      <c r="B6" t="s">
        <v>678</v>
      </c>
      <c r="C6" t="s">
        <v>676</v>
      </c>
      <c r="D6">
        <v>87.66</v>
      </c>
      <c r="E6">
        <v>90.03</v>
      </c>
      <c r="F6">
        <v>92.46</v>
      </c>
      <c r="G6">
        <v>94.96</v>
      </c>
      <c r="H6">
        <v>97.52</v>
      </c>
      <c r="I6">
        <v>100.15</v>
      </c>
      <c r="J6">
        <v>102.86</v>
      </c>
      <c r="K6">
        <v>105.64</v>
      </c>
      <c r="L6">
        <v>108.49</v>
      </c>
      <c r="M6">
        <v>111.43</v>
      </c>
      <c r="N6">
        <v>114.44</v>
      </c>
      <c r="O6">
        <v>117.53</v>
      </c>
      <c r="P6">
        <v>0</v>
      </c>
      <c r="Q6" s="304">
        <v>1223</v>
      </c>
    </row>
    <row r="7" spans="1:17" hidden="1" outlineLevel="1">
      <c r="B7" t="s">
        <v>679</v>
      </c>
      <c r="C7" t="s">
        <v>676</v>
      </c>
      <c r="D7">
        <v>130.30000000000001</v>
      </c>
      <c r="E7">
        <v>133.82</v>
      </c>
      <c r="F7">
        <v>137.43</v>
      </c>
      <c r="G7">
        <v>141.15</v>
      </c>
      <c r="H7">
        <v>144.94999999999999</v>
      </c>
      <c r="I7">
        <v>148.86000000000001</v>
      </c>
      <c r="J7">
        <v>152.88999999999999</v>
      </c>
      <c r="K7">
        <v>157.02000000000001</v>
      </c>
      <c r="L7">
        <v>161.26</v>
      </c>
      <c r="M7">
        <v>165.62</v>
      </c>
      <c r="N7">
        <v>170.1</v>
      </c>
      <c r="O7">
        <v>174.69</v>
      </c>
      <c r="P7">
        <v>0</v>
      </c>
      <c r="Q7" s="304">
        <v>1818</v>
      </c>
    </row>
    <row r="8" spans="1:17" hidden="1" outlineLevel="1">
      <c r="B8" t="s">
        <v>680</v>
      </c>
      <c r="C8" t="s">
        <v>676</v>
      </c>
      <c r="D8">
        <v>168.08</v>
      </c>
      <c r="E8">
        <v>172.62</v>
      </c>
      <c r="F8">
        <v>177.28</v>
      </c>
      <c r="G8">
        <v>182.07</v>
      </c>
      <c r="H8">
        <v>186.98</v>
      </c>
      <c r="I8">
        <v>192.02</v>
      </c>
      <c r="J8">
        <v>197.21</v>
      </c>
      <c r="K8">
        <v>202.54</v>
      </c>
      <c r="L8">
        <v>208.01</v>
      </c>
      <c r="M8">
        <v>213.64</v>
      </c>
      <c r="N8">
        <v>219.41</v>
      </c>
      <c r="O8">
        <v>225.34</v>
      </c>
      <c r="P8">
        <v>0</v>
      </c>
      <c r="Q8" s="304">
        <v>2345</v>
      </c>
    </row>
    <row r="9" spans="1:17" hidden="1" outlineLevel="1">
      <c r="B9" t="s">
        <v>681</v>
      </c>
      <c r="C9" t="s">
        <v>676</v>
      </c>
      <c r="D9">
        <v>92.95</v>
      </c>
      <c r="E9">
        <v>95.47</v>
      </c>
      <c r="F9">
        <v>98.04</v>
      </c>
      <c r="G9">
        <v>100.69</v>
      </c>
      <c r="H9">
        <v>103.41</v>
      </c>
      <c r="I9">
        <v>106.2</v>
      </c>
      <c r="J9">
        <v>109.07</v>
      </c>
      <c r="K9">
        <v>112.01</v>
      </c>
      <c r="L9">
        <v>115.04</v>
      </c>
      <c r="M9">
        <v>118.15</v>
      </c>
      <c r="N9">
        <v>121.35</v>
      </c>
      <c r="O9">
        <v>124.62</v>
      </c>
      <c r="P9">
        <v>0</v>
      </c>
      <c r="Q9" s="304">
        <v>1297</v>
      </c>
    </row>
    <row r="10" spans="1:17" hidden="1" outlineLevel="1">
      <c r="B10" t="s">
        <v>682</v>
      </c>
      <c r="C10" t="s">
        <v>676</v>
      </c>
      <c r="D10">
        <v>123.4</v>
      </c>
      <c r="E10">
        <v>126.74</v>
      </c>
      <c r="F10">
        <v>130.16</v>
      </c>
      <c r="G10">
        <v>133.68</v>
      </c>
      <c r="H10">
        <v>137.28</v>
      </c>
      <c r="I10">
        <v>140.97999999999999</v>
      </c>
      <c r="J10">
        <v>144.80000000000001</v>
      </c>
      <c r="K10">
        <v>148.71</v>
      </c>
      <c r="L10">
        <v>152.72999999999999</v>
      </c>
      <c r="M10">
        <v>156.85</v>
      </c>
      <c r="N10">
        <v>161.09</v>
      </c>
      <c r="O10">
        <v>165.44</v>
      </c>
      <c r="P10">
        <v>0</v>
      </c>
      <c r="Q10" s="304">
        <v>1722</v>
      </c>
    </row>
    <row r="11" spans="1:17" hidden="1" outlineLevel="1">
      <c r="B11" t="s">
        <v>683</v>
      </c>
      <c r="C11" t="s">
        <v>676</v>
      </c>
      <c r="D11">
        <v>75.86</v>
      </c>
      <c r="E11">
        <v>77.91</v>
      </c>
      <c r="F11">
        <v>80.010000000000005</v>
      </c>
      <c r="G11">
        <v>82.17</v>
      </c>
      <c r="H11">
        <v>84.39</v>
      </c>
      <c r="I11">
        <v>86.67</v>
      </c>
      <c r="J11">
        <v>89.01</v>
      </c>
      <c r="K11">
        <v>91.41</v>
      </c>
      <c r="L11">
        <v>93.88</v>
      </c>
      <c r="M11">
        <v>96.42</v>
      </c>
      <c r="N11">
        <v>99.03</v>
      </c>
      <c r="O11">
        <v>101.7</v>
      </c>
      <c r="P11">
        <v>0</v>
      </c>
      <c r="Q11" s="304">
        <v>1058</v>
      </c>
    </row>
    <row r="12" spans="1:17" hidden="1" outlineLevel="1">
      <c r="B12" t="s">
        <v>684</v>
      </c>
      <c r="C12" t="s">
        <v>676</v>
      </c>
      <c r="D12">
        <v>140.47999999999999</v>
      </c>
      <c r="E12">
        <v>144.28</v>
      </c>
      <c r="F12">
        <v>148.16999999999999</v>
      </c>
      <c r="G12">
        <v>152.18</v>
      </c>
      <c r="H12">
        <v>156.28</v>
      </c>
      <c r="I12">
        <v>160.49</v>
      </c>
      <c r="J12">
        <v>164.83</v>
      </c>
      <c r="K12">
        <v>169.28</v>
      </c>
      <c r="L12">
        <v>173.86</v>
      </c>
      <c r="M12">
        <v>178.56</v>
      </c>
      <c r="N12">
        <v>183.39</v>
      </c>
      <c r="O12">
        <v>188.34</v>
      </c>
      <c r="P12">
        <v>0</v>
      </c>
      <c r="Q12" s="304">
        <v>1960</v>
      </c>
    </row>
    <row r="13" spans="1:17" hidden="1" outlineLevel="1">
      <c r="B13" t="s">
        <v>685</v>
      </c>
      <c r="C13" t="s">
        <v>676</v>
      </c>
      <c r="D13">
        <v>140.66999999999999</v>
      </c>
      <c r="E13">
        <v>144.47</v>
      </c>
      <c r="F13">
        <v>148.37</v>
      </c>
      <c r="G13">
        <v>152.38</v>
      </c>
      <c r="H13">
        <v>156.49</v>
      </c>
      <c r="I13">
        <v>160.71</v>
      </c>
      <c r="J13">
        <v>165.06</v>
      </c>
      <c r="K13">
        <v>169.51</v>
      </c>
      <c r="L13">
        <v>174.1</v>
      </c>
      <c r="M13">
        <v>178.8</v>
      </c>
      <c r="N13">
        <v>183.64</v>
      </c>
      <c r="O13">
        <v>188.6</v>
      </c>
      <c r="P13">
        <v>0</v>
      </c>
      <c r="Q13" s="304">
        <v>1963</v>
      </c>
    </row>
    <row r="14" spans="1:17" hidden="1" outlineLevel="1">
      <c r="B14" t="s">
        <v>686</v>
      </c>
      <c r="C14" t="s">
        <v>676</v>
      </c>
      <c r="D14">
        <v>197.91</v>
      </c>
      <c r="E14">
        <v>203.26</v>
      </c>
      <c r="F14">
        <v>208.75</v>
      </c>
      <c r="G14">
        <v>214.39</v>
      </c>
      <c r="H14">
        <v>220.17</v>
      </c>
      <c r="I14">
        <v>226.11</v>
      </c>
      <c r="J14">
        <v>232.23</v>
      </c>
      <c r="K14">
        <v>238.5</v>
      </c>
      <c r="L14">
        <v>244.94</v>
      </c>
      <c r="M14">
        <v>251.57</v>
      </c>
      <c r="N14">
        <v>258.37</v>
      </c>
      <c r="O14">
        <v>265.33999999999997</v>
      </c>
      <c r="P14">
        <v>0</v>
      </c>
      <c r="Q14" s="304">
        <v>2762</v>
      </c>
    </row>
    <row r="15" spans="1:17" hidden="1" outlineLevel="1">
      <c r="B15" t="s">
        <v>687</v>
      </c>
      <c r="C15" t="s">
        <v>676</v>
      </c>
      <c r="D15">
        <v>67.959999999999994</v>
      </c>
      <c r="E15">
        <v>69.8</v>
      </c>
      <c r="F15">
        <v>71.69</v>
      </c>
      <c r="G15">
        <v>73.62</v>
      </c>
      <c r="H15">
        <v>75.61</v>
      </c>
      <c r="I15">
        <v>77.650000000000006</v>
      </c>
      <c r="J15">
        <v>79.75</v>
      </c>
      <c r="K15">
        <v>81.900000000000006</v>
      </c>
      <c r="L15">
        <v>84.12</v>
      </c>
      <c r="M15">
        <v>86.39</v>
      </c>
      <c r="N15">
        <v>88.72</v>
      </c>
      <c r="O15">
        <v>91.12</v>
      </c>
      <c r="P15">
        <v>0</v>
      </c>
      <c r="Q15">
        <v>948</v>
      </c>
    </row>
    <row r="16" spans="1:17" hidden="1" outlineLevel="1">
      <c r="B16" t="s">
        <v>688</v>
      </c>
      <c r="C16" t="s">
        <v>676</v>
      </c>
      <c r="D16">
        <v>131</v>
      </c>
      <c r="E16">
        <v>134.55000000000001</v>
      </c>
      <c r="F16">
        <v>138.18</v>
      </c>
      <c r="G16">
        <v>141.91</v>
      </c>
      <c r="H16">
        <v>145.74</v>
      </c>
      <c r="I16">
        <v>149.66999999999999</v>
      </c>
      <c r="J16">
        <v>153.72</v>
      </c>
      <c r="K16">
        <v>157.87</v>
      </c>
      <c r="L16">
        <v>162.13</v>
      </c>
      <c r="M16">
        <v>166.52</v>
      </c>
      <c r="N16">
        <v>171.02</v>
      </c>
      <c r="O16">
        <v>175.64</v>
      </c>
      <c r="P16">
        <v>0</v>
      </c>
      <c r="Q16" s="304">
        <v>1828</v>
      </c>
    </row>
    <row r="17" spans="2:17" hidden="1" outlineLevel="1">
      <c r="B17" t="s">
        <v>689</v>
      </c>
      <c r="C17" t="s">
        <v>676</v>
      </c>
      <c r="D17">
        <v>129.97999999999999</v>
      </c>
      <c r="E17">
        <v>133.49</v>
      </c>
      <c r="F17">
        <v>137.1</v>
      </c>
      <c r="G17">
        <v>140.80000000000001</v>
      </c>
      <c r="H17">
        <v>144.6</v>
      </c>
      <c r="I17">
        <v>148.5</v>
      </c>
      <c r="J17">
        <v>152.51</v>
      </c>
      <c r="K17">
        <v>156.63</v>
      </c>
      <c r="L17">
        <v>160.87</v>
      </c>
      <c r="M17">
        <v>165.22</v>
      </c>
      <c r="N17">
        <v>169.68</v>
      </c>
      <c r="O17">
        <v>174.26</v>
      </c>
      <c r="P17">
        <v>0</v>
      </c>
      <c r="Q17" s="304">
        <v>1814</v>
      </c>
    </row>
    <row r="18" spans="2:17" hidden="1" outlineLevel="1">
      <c r="B18" t="s">
        <v>690</v>
      </c>
      <c r="C18" t="s">
        <v>676</v>
      </c>
      <c r="D18">
        <v>100</v>
      </c>
      <c r="E18">
        <v>102.7</v>
      </c>
      <c r="F18">
        <v>105.47</v>
      </c>
      <c r="G18">
        <v>108.32</v>
      </c>
      <c r="H18">
        <v>111.24</v>
      </c>
      <c r="I18">
        <v>114.24</v>
      </c>
      <c r="J18">
        <v>117.33</v>
      </c>
      <c r="K18">
        <v>120.5</v>
      </c>
      <c r="L18">
        <v>123.76</v>
      </c>
      <c r="M18">
        <v>127.1</v>
      </c>
      <c r="N18">
        <v>130.54</v>
      </c>
      <c r="O18">
        <v>134.06</v>
      </c>
      <c r="P18">
        <v>0</v>
      </c>
      <c r="Q18" s="304">
        <v>1395</v>
      </c>
    </row>
    <row r="19" spans="2:17" hidden="1" outlineLevel="1">
      <c r="B19" t="s">
        <v>691</v>
      </c>
      <c r="C19" t="s">
        <v>676</v>
      </c>
      <c r="D19">
        <v>144.75</v>
      </c>
      <c r="E19">
        <v>148.66</v>
      </c>
      <c r="F19">
        <v>152.66999999999999</v>
      </c>
      <c r="G19">
        <v>156.80000000000001</v>
      </c>
      <c r="H19">
        <v>161.03</v>
      </c>
      <c r="I19">
        <v>165.37</v>
      </c>
      <c r="J19">
        <v>169.84</v>
      </c>
      <c r="K19">
        <v>174.43</v>
      </c>
      <c r="L19">
        <v>179.14</v>
      </c>
      <c r="M19">
        <v>183.99</v>
      </c>
      <c r="N19">
        <v>188.96</v>
      </c>
      <c r="O19">
        <v>194.06</v>
      </c>
      <c r="P19">
        <v>0</v>
      </c>
      <c r="Q19" s="304">
        <v>2020</v>
      </c>
    </row>
    <row r="20" spans="2:17" hidden="1" outlineLevel="1">
      <c r="B20" t="s">
        <v>692</v>
      </c>
      <c r="C20" t="s">
        <v>676</v>
      </c>
      <c r="D20">
        <v>198.82</v>
      </c>
      <c r="E20">
        <v>204.19</v>
      </c>
      <c r="F20">
        <v>209.7</v>
      </c>
      <c r="G20">
        <v>215.37</v>
      </c>
      <c r="H20">
        <v>221.18</v>
      </c>
      <c r="I20">
        <v>227.14</v>
      </c>
      <c r="J20">
        <v>233.29</v>
      </c>
      <c r="K20">
        <v>239.58</v>
      </c>
      <c r="L20">
        <v>246.06</v>
      </c>
      <c r="M20">
        <v>252.71</v>
      </c>
      <c r="N20">
        <v>259.55</v>
      </c>
      <c r="O20">
        <v>266.55</v>
      </c>
      <c r="P20">
        <v>0</v>
      </c>
      <c r="Q20" s="304">
        <v>2774</v>
      </c>
    </row>
    <row r="21" spans="2:17" hidden="1" outlineLevel="1">
      <c r="B21" t="s">
        <v>693</v>
      </c>
      <c r="C21" t="s">
        <v>676</v>
      </c>
      <c r="D21">
        <v>83.87</v>
      </c>
      <c r="E21">
        <v>86.14</v>
      </c>
      <c r="F21">
        <v>88.46</v>
      </c>
      <c r="G21">
        <v>90.85</v>
      </c>
      <c r="H21">
        <v>93.3</v>
      </c>
      <c r="I21">
        <v>95.82</v>
      </c>
      <c r="J21">
        <v>98.41</v>
      </c>
      <c r="K21">
        <v>101.07</v>
      </c>
      <c r="L21">
        <v>103.8</v>
      </c>
      <c r="M21">
        <v>106.61</v>
      </c>
      <c r="N21">
        <v>109.49</v>
      </c>
      <c r="O21">
        <v>112.45</v>
      </c>
      <c r="P21">
        <v>0</v>
      </c>
      <c r="Q21" s="304">
        <v>1170</v>
      </c>
    </row>
    <row r="22" spans="2:17" hidden="1" outlineLevel="1">
      <c r="B22" t="s">
        <v>694</v>
      </c>
      <c r="C22" t="s">
        <v>676</v>
      </c>
      <c r="D22">
        <v>152.52000000000001</v>
      </c>
      <c r="E22">
        <v>156.65</v>
      </c>
      <c r="F22">
        <v>160.88</v>
      </c>
      <c r="G22">
        <v>165.22</v>
      </c>
      <c r="H22">
        <v>169.68</v>
      </c>
      <c r="I22">
        <v>174.26</v>
      </c>
      <c r="J22">
        <v>178.97</v>
      </c>
      <c r="K22">
        <v>183.8</v>
      </c>
      <c r="L22">
        <v>188.77</v>
      </c>
      <c r="M22">
        <v>193.87</v>
      </c>
      <c r="N22">
        <v>199.11</v>
      </c>
      <c r="O22">
        <v>204.49</v>
      </c>
      <c r="P22">
        <v>0</v>
      </c>
      <c r="Q22" s="304">
        <v>2128</v>
      </c>
    </row>
    <row r="23" spans="2:17" hidden="1" outlineLevel="1">
      <c r="B23" t="s">
        <v>695</v>
      </c>
      <c r="C23" t="s">
        <v>676</v>
      </c>
      <c r="D23">
        <v>148.18</v>
      </c>
      <c r="E23">
        <v>152.19</v>
      </c>
      <c r="F23">
        <v>156.29</v>
      </c>
      <c r="G23">
        <v>160.52000000000001</v>
      </c>
      <c r="H23">
        <v>164.85</v>
      </c>
      <c r="I23">
        <v>169.29</v>
      </c>
      <c r="J23">
        <v>173.87</v>
      </c>
      <c r="K23">
        <v>178.56</v>
      </c>
      <c r="L23">
        <v>183.39</v>
      </c>
      <c r="M23">
        <v>188.35</v>
      </c>
      <c r="N23">
        <v>193.44</v>
      </c>
      <c r="O23">
        <v>198.66</v>
      </c>
      <c r="P23">
        <v>0</v>
      </c>
      <c r="Q23" s="304">
        <v>2068</v>
      </c>
    </row>
    <row r="24" spans="2:17" hidden="1" outlineLevel="1">
      <c r="B24" t="s">
        <v>696</v>
      </c>
      <c r="C24" t="s">
        <v>676</v>
      </c>
      <c r="D24">
        <v>180.84</v>
      </c>
      <c r="E24">
        <v>185.73</v>
      </c>
      <c r="F24">
        <v>190.74</v>
      </c>
      <c r="G24">
        <v>195.9</v>
      </c>
      <c r="H24">
        <v>201.18</v>
      </c>
      <c r="I24">
        <v>206.61</v>
      </c>
      <c r="J24">
        <v>212.2</v>
      </c>
      <c r="K24">
        <v>217.93</v>
      </c>
      <c r="L24">
        <v>223.82</v>
      </c>
      <c r="M24">
        <v>229.87</v>
      </c>
      <c r="N24">
        <v>236.08</v>
      </c>
      <c r="O24">
        <v>242.46</v>
      </c>
      <c r="P24">
        <v>0</v>
      </c>
      <c r="Q24" s="304">
        <v>2523</v>
      </c>
    </row>
    <row r="25" spans="2:17" hidden="1" outlineLevel="1">
      <c r="B25" t="s">
        <v>697</v>
      </c>
      <c r="C25" t="s">
        <v>676</v>
      </c>
      <c r="D25">
        <v>138.99</v>
      </c>
      <c r="E25">
        <v>142.75</v>
      </c>
      <c r="F25">
        <v>146.6</v>
      </c>
      <c r="G25">
        <v>150.57</v>
      </c>
      <c r="H25">
        <v>154.63</v>
      </c>
      <c r="I25">
        <v>158.80000000000001</v>
      </c>
      <c r="J25">
        <v>163.09</v>
      </c>
      <c r="K25">
        <v>167.49</v>
      </c>
      <c r="L25">
        <v>172.02</v>
      </c>
      <c r="M25">
        <v>176.67</v>
      </c>
      <c r="N25">
        <v>181.45</v>
      </c>
      <c r="O25">
        <v>186.35</v>
      </c>
      <c r="P25">
        <v>0</v>
      </c>
      <c r="Q25" s="304">
        <v>1939</v>
      </c>
    </row>
    <row r="26" spans="2:17" hidden="1" outlineLevel="1">
      <c r="B26" t="s">
        <v>698</v>
      </c>
      <c r="C26" t="s">
        <v>676</v>
      </c>
      <c r="D26">
        <v>77.400000000000006</v>
      </c>
      <c r="E26">
        <v>79.5</v>
      </c>
      <c r="F26">
        <v>81.64</v>
      </c>
      <c r="G26">
        <v>83.85</v>
      </c>
      <c r="H26">
        <v>86.11</v>
      </c>
      <c r="I26">
        <v>88.43</v>
      </c>
      <c r="J26">
        <v>90.82</v>
      </c>
      <c r="K26">
        <v>93.28</v>
      </c>
      <c r="L26">
        <v>95.8</v>
      </c>
      <c r="M26">
        <v>98.39</v>
      </c>
      <c r="N26">
        <v>101.05</v>
      </c>
      <c r="O26">
        <v>103.78</v>
      </c>
      <c r="P26">
        <v>0</v>
      </c>
      <c r="Q26" s="304">
        <v>1080</v>
      </c>
    </row>
    <row r="27" spans="2:17" hidden="1" outlineLevel="1">
      <c r="B27" t="s">
        <v>699</v>
      </c>
      <c r="C27" t="s">
        <v>676</v>
      </c>
      <c r="D27">
        <v>140.65</v>
      </c>
      <c r="E27">
        <v>144.46</v>
      </c>
      <c r="F27">
        <v>148.36000000000001</v>
      </c>
      <c r="G27">
        <v>152.37</v>
      </c>
      <c r="H27">
        <v>156.47999999999999</v>
      </c>
      <c r="I27">
        <v>160.69</v>
      </c>
      <c r="J27">
        <v>165.04</v>
      </c>
      <c r="K27">
        <v>169.5</v>
      </c>
      <c r="L27">
        <v>174.08</v>
      </c>
      <c r="M27">
        <v>178.78</v>
      </c>
      <c r="N27">
        <v>183.62</v>
      </c>
      <c r="O27">
        <v>188.57</v>
      </c>
      <c r="P27">
        <v>0</v>
      </c>
      <c r="Q27" s="304">
        <v>1963</v>
      </c>
    </row>
    <row r="28" spans="2:17" hidden="1" outlineLevel="1">
      <c r="B28" t="s">
        <v>700</v>
      </c>
      <c r="C28" t="s">
        <v>676</v>
      </c>
      <c r="D28">
        <v>176.17</v>
      </c>
      <c r="E28">
        <v>180.93</v>
      </c>
      <c r="F28">
        <v>185.81</v>
      </c>
      <c r="G28">
        <v>190.83</v>
      </c>
      <c r="H28">
        <v>195.98</v>
      </c>
      <c r="I28">
        <v>201.27</v>
      </c>
      <c r="J28">
        <v>206.71</v>
      </c>
      <c r="K28">
        <v>212.29</v>
      </c>
      <c r="L28">
        <v>218.03</v>
      </c>
      <c r="M28">
        <v>223.92</v>
      </c>
      <c r="N28">
        <v>229.97</v>
      </c>
      <c r="O28">
        <v>236.18</v>
      </c>
      <c r="P28">
        <v>0</v>
      </c>
      <c r="Q28" s="304">
        <v>2458</v>
      </c>
    </row>
    <row r="29" spans="2:17" hidden="1" outlineLevel="1">
      <c r="B29" t="s">
        <v>701</v>
      </c>
      <c r="C29" t="s">
        <v>676</v>
      </c>
      <c r="D29">
        <v>108.65</v>
      </c>
      <c r="E29">
        <v>111.58</v>
      </c>
      <c r="F29">
        <v>114.6</v>
      </c>
      <c r="G29">
        <v>117.69</v>
      </c>
      <c r="H29">
        <v>120.87</v>
      </c>
      <c r="I29">
        <v>124.13</v>
      </c>
      <c r="J29">
        <v>127.48</v>
      </c>
      <c r="K29">
        <v>130.93</v>
      </c>
      <c r="L29">
        <v>134.46</v>
      </c>
      <c r="M29">
        <v>138.1</v>
      </c>
      <c r="N29">
        <v>141.83000000000001</v>
      </c>
      <c r="O29">
        <v>145.66</v>
      </c>
      <c r="P29">
        <v>0</v>
      </c>
      <c r="Q29" s="304">
        <v>1516</v>
      </c>
    </row>
    <row r="30" spans="2:17" hidden="1" outlineLevel="1">
      <c r="B30" t="s">
        <v>702</v>
      </c>
      <c r="C30" t="s">
        <v>676</v>
      </c>
      <c r="D30">
        <v>75.930000000000007</v>
      </c>
      <c r="E30">
        <v>77.98</v>
      </c>
      <c r="F30">
        <v>80.09</v>
      </c>
      <c r="G30">
        <v>82.25</v>
      </c>
      <c r="H30">
        <v>84.47</v>
      </c>
      <c r="I30">
        <v>86.75</v>
      </c>
      <c r="J30">
        <v>89.1</v>
      </c>
      <c r="K30">
        <v>91.5</v>
      </c>
      <c r="L30">
        <v>93.97</v>
      </c>
      <c r="M30">
        <v>96.52</v>
      </c>
      <c r="N30">
        <v>99.12</v>
      </c>
      <c r="O30">
        <v>101.8</v>
      </c>
      <c r="P30">
        <v>0</v>
      </c>
      <c r="Q30" s="304">
        <v>1059</v>
      </c>
    </row>
    <row r="31" spans="2:17" hidden="1" outlineLevel="1">
      <c r="B31" t="s">
        <v>703</v>
      </c>
      <c r="C31" t="s">
        <v>676</v>
      </c>
      <c r="D31">
        <v>131.66999999999999</v>
      </c>
      <c r="E31">
        <v>135.22999999999999</v>
      </c>
      <c r="F31">
        <v>138.88</v>
      </c>
      <c r="G31">
        <v>142.63</v>
      </c>
      <c r="H31">
        <v>146.47999999999999</v>
      </c>
      <c r="I31">
        <v>150.43</v>
      </c>
      <c r="J31">
        <v>154.5</v>
      </c>
      <c r="K31">
        <v>158.66999999999999</v>
      </c>
      <c r="L31">
        <v>162.96</v>
      </c>
      <c r="M31">
        <v>167.36</v>
      </c>
      <c r="N31">
        <v>171.89</v>
      </c>
      <c r="O31">
        <v>176.53</v>
      </c>
      <c r="P31">
        <v>0</v>
      </c>
      <c r="Q31" s="304">
        <v>1837</v>
      </c>
    </row>
    <row r="32" spans="2:17" hidden="1" outlineLevel="1">
      <c r="B32" t="s">
        <v>704</v>
      </c>
      <c r="C32" t="s">
        <v>676</v>
      </c>
      <c r="D32">
        <v>88.62</v>
      </c>
      <c r="E32">
        <v>91.01</v>
      </c>
      <c r="F32">
        <v>93.47</v>
      </c>
      <c r="G32">
        <v>96</v>
      </c>
      <c r="H32">
        <v>98.58</v>
      </c>
      <c r="I32">
        <v>101.24</v>
      </c>
      <c r="J32">
        <v>103.98</v>
      </c>
      <c r="K32">
        <v>106.79</v>
      </c>
      <c r="L32">
        <v>109.67</v>
      </c>
      <c r="M32">
        <v>112.64</v>
      </c>
      <c r="N32">
        <v>115.68</v>
      </c>
      <c r="O32">
        <v>118.81</v>
      </c>
      <c r="P32">
        <v>0</v>
      </c>
      <c r="Q32" s="304">
        <v>1236</v>
      </c>
    </row>
    <row r="33" spans="2:17" hidden="1" outlineLevel="1">
      <c r="B33" t="s">
        <v>705</v>
      </c>
      <c r="C33" t="s">
        <v>676</v>
      </c>
      <c r="D33">
        <v>213.39</v>
      </c>
      <c r="E33">
        <v>219.16</v>
      </c>
      <c r="F33">
        <v>225.07</v>
      </c>
      <c r="G33">
        <v>231.16</v>
      </c>
      <c r="H33">
        <v>237.39</v>
      </c>
      <c r="I33">
        <v>243.79</v>
      </c>
      <c r="J33">
        <v>250.38</v>
      </c>
      <c r="K33">
        <v>257.14999999999998</v>
      </c>
      <c r="L33">
        <v>264.10000000000002</v>
      </c>
      <c r="M33">
        <v>271.24</v>
      </c>
      <c r="N33">
        <v>278.57</v>
      </c>
      <c r="O33">
        <v>286.08999999999997</v>
      </c>
      <c r="P33">
        <v>0</v>
      </c>
      <c r="Q33" s="304">
        <v>2977</v>
      </c>
    </row>
    <row r="34" spans="2:17" hidden="1" outlineLevel="1">
      <c r="B34" t="s">
        <v>706</v>
      </c>
      <c r="C34" t="s">
        <v>676</v>
      </c>
      <c r="D34">
        <v>124.32</v>
      </c>
      <c r="E34">
        <v>127.68</v>
      </c>
      <c r="F34">
        <v>131.13</v>
      </c>
      <c r="G34">
        <v>134.66999999999999</v>
      </c>
      <c r="H34">
        <v>138.30000000000001</v>
      </c>
      <c r="I34">
        <v>142.03</v>
      </c>
      <c r="J34">
        <v>145.87</v>
      </c>
      <c r="K34">
        <v>149.81</v>
      </c>
      <c r="L34">
        <v>153.86000000000001</v>
      </c>
      <c r="M34">
        <v>158.02000000000001</v>
      </c>
      <c r="N34">
        <v>162.29</v>
      </c>
      <c r="O34">
        <v>166.67</v>
      </c>
      <c r="P34">
        <v>0</v>
      </c>
      <c r="Q34" s="304">
        <v>1735</v>
      </c>
    </row>
    <row r="35" spans="2:17" hidden="1" outlineLevel="1">
      <c r="B35" t="s">
        <v>707</v>
      </c>
      <c r="C35" t="s">
        <v>676</v>
      </c>
      <c r="D35">
        <v>144.21</v>
      </c>
      <c r="E35">
        <v>148.11000000000001</v>
      </c>
      <c r="F35">
        <v>152.11000000000001</v>
      </c>
      <c r="G35">
        <v>156.22</v>
      </c>
      <c r="H35">
        <v>160.43</v>
      </c>
      <c r="I35">
        <v>164.76</v>
      </c>
      <c r="J35">
        <v>169.21</v>
      </c>
      <c r="K35">
        <v>173.78</v>
      </c>
      <c r="L35">
        <v>178.48</v>
      </c>
      <c r="M35">
        <v>183.3</v>
      </c>
      <c r="N35">
        <v>188.26</v>
      </c>
      <c r="O35">
        <v>193.34</v>
      </c>
      <c r="P35">
        <v>0</v>
      </c>
      <c r="Q35" s="304">
        <v>2012</v>
      </c>
    </row>
    <row r="36" spans="2:17" hidden="1" outlineLevel="1">
      <c r="B36" t="s">
        <v>708</v>
      </c>
      <c r="C36" t="s">
        <v>676</v>
      </c>
      <c r="D36">
        <v>186.02</v>
      </c>
      <c r="E36">
        <v>191.05</v>
      </c>
      <c r="F36">
        <v>196.21</v>
      </c>
      <c r="G36">
        <v>201.51</v>
      </c>
      <c r="H36">
        <v>206.94</v>
      </c>
      <c r="I36">
        <v>212.53</v>
      </c>
      <c r="J36">
        <v>218.27</v>
      </c>
      <c r="K36">
        <v>224.17</v>
      </c>
      <c r="L36">
        <v>230.22</v>
      </c>
      <c r="M36">
        <v>236.45</v>
      </c>
      <c r="N36">
        <v>242.84</v>
      </c>
      <c r="O36">
        <v>249.4</v>
      </c>
      <c r="P36">
        <v>0</v>
      </c>
      <c r="Q36" s="304">
        <v>2596</v>
      </c>
    </row>
    <row r="37" spans="2:17" hidden="1" outlineLevel="1">
      <c r="B37" t="s">
        <v>709</v>
      </c>
      <c r="C37" t="s">
        <v>676</v>
      </c>
      <c r="D37">
        <v>95.92</v>
      </c>
      <c r="E37">
        <v>98.51</v>
      </c>
      <c r="F37">
        <v>101.17</v>
      </c>
      <c r="G37">
        <v>103.91</v>
      </c>
      <c r="H37">
        <v>106.71</v>
      </c>
      <c r="I37">
        <v>109.59</v>
      </c>
      <c r="J37">
        <v>112.55</v>
      </c>
      <c r="K37">
        <v>115.59</v>
      </c>
      <c r="L37">
        <v>118.71</v>
      </c>
      <c r="M37">
        <v>121.92</v>
      </c>
      <c r="N37">
        <v>125.22</v>
      </c>
      <c r="O37">
        <v>128.6</v>
      </c>
      <c r="P37">
        <v>0</v>
      </c>
      <c r="Q37" s="304">
        <v>1338</v>
      </c>
    </row>
    <row r="38" spans="2:17" hidden="1" outlineLevel="1">
      <c r="B38" t="s">
        <v>710</v>
      </c>
      <c r="C38" t="s">
        <v>676</v>
      </c>
      <c r="D38">
        <v>153.85</v>
      </c>
      <c r="E38">
        <v>158.01</v>
      </c>
      <c r="F38">
        <v>162.28</v>
      </c>
      <c r="G38">
        <v>166.66</v>
      </c>
      <c r="H38">
        <v>171.16</v>
      </c>
      <c r="I38">
        <v>175.77</v>
      </c>
      <c r="J38">
        <v>180.53</v>
      </c>
      <c r="K38">
        <v>185.4</v>
      </c>
      <c r="L38">
        <v>190.41</v>
      </c>
      <c r="M38">
        <v>195.56</v>
      </c>
      <c r="N38">
        <v>200.85</v>
      </c>
      <c r="O38">
        <v>206.27</v>
      </c>
      <c r="P38">
        <v>0</v>
      </c>
      <c r="Q38" s="304">
        <v>2147</v>
      </c>
    </row>
    <row r="39" spans="2:17" hidden="1" outlineLevel="1">
      <c r="B39" t="s">
        <v>711</v>
      </c>
      <c r="C39" t="s">
        <v>676</v>
      </c>
      <c r="D39">
        <v>129.88999999999999</v>
      </c>
      <c r="E39">
        <v>133.4</v>
      </c>
      <c r="F39">
        <v>137</v>
      </c>
      <c r="G39">
        <v>140.69999999999999</v>
      </c>
      <c r="H39">
        <v>144.5</v>
      </c>
      <c r="I39">
        <v>148.38999999999999</v>
      </c>
      <c r="J39">
        <v>152.41</v>
      </c>
      <c r="K39">
        <v>156.52000000000001</v>
      </c>
      <c r="L39">
        <v>160.75</v>
      </c>
      <c r="M39">
        <v>165.1</v>
      </c>
      <c r="N39">
        <v>169.56</v>
      </c>
      <c r="O39">
        <v>174.14</v>
      </c>
      <c r="P39">
        <v>0</v>
      </c>
      <c r="Q39" s="304">
        <v>1812</v>
      </c>
    </row>
    <row r="40" spans="2:17" hidden="1" outlineLevel="1">
      <c r="B40" t="s">
        <v>712</v>
      </c>
      <c r="C40" t="s">
        <v>676</v>
      </c>
      <c r="D40">
        <v>94.42</v>
      </c>
      <c r="E40">
        <v>96.98</v>
      </c>
      <c r="F40">
        <v>99.59</v>
      </c>
      <c r="G40">
        <v>102.29</v>
      </c>
      <c r="H40">
        <v>105.04</v>
      </c>
      <c r="I40">
        <v>107.88</v>
      </c>
      <c r="J40">
        <v>110.79</v>
      </c>
      <c r="K40">
        <v>113.79</v>
      </c>
      <c r="L40">
        <v>116.86</v>
      </c>
      <c r="M40">
        <v>120.02</v>
      </c>
      <c r="N40">
        <v>123.27</v>
      </c>
      <c r="O40">
        <v>126.59</v>
      </c>
      <c r="P40">
        <v>0</v>
      </c>
      <c r="Q40" s="304">
        <v>1318</v>
      </c>
    </row>
    <row r="41" spans="2:17" hidden="1" outlineLevel="1">
      <c r="B41" t="s">
        <v>713</v>
      </c>
      <c r="C41" t="s">
        <v>676</v>
      </c>
      <c r="D41">
        <v>148.75</v>
      </c>
      <c r="E41">
        <v>152.77000000000001</v>
      </c>
      <c r="F41">
        <v>156.9</v>
      </c>
      <c r="G41">
        <v>161.13999999999999</v>
      </c>
      <c r="H41">
        <v>165.48</v>
      </c>
      <c r="I41">
        <v>169.94</v>
      </c>
      <c r="J41">
        <v>174.54</v>
      </c>
      <c r="K41">
        <v>179.25</v>
      </c>
      <c r="L41">
        <v>184.1</v>
      </c>
      <c r="M41">
        <v>189.08</v>
      </c>
      <c r="N41">
        <v>194.19</v>
      </c>
      <c r="O41">
        <v>199.43</v>
      </c>
      <c r="P41">
        <v>0</v>
      </c>
      <c r="Q41" s="304">
        <v>2076</v>
      </c>
    </row>
    <row r="42" spans="2:17" hidden="1" outlineLevel="1">
      <c r="B42" t="s">
        <v>714</v>
      </c>
      <c r="C42" t="s">
        <v>676</v>
      </c>
      <c r="D42">
        <v>85.54</v>
      </c>
      <c r="E42">
        <v>87.85</v>
      </c>
      <c r="F42">
        <v>90.22</v>
      </c>
      <c r="G42">
        <v>92.66</v>
      </c>
      <c r="H42">
        <v>95.16</v>
      </c>
      <c r="I42">
        <v>97.72</v>
      </c>
      <c r="J42">
        <v>100.36</v>
      </c>
      <c r="K42">
        <v>103.07</v>
      </c>
      <c r="L42">
        <v>105.86</v>
      </c>
      <c r="M42">
        <v>108.72</v>
      </c>
      <c r="N42">
        <v>111.66</v>
      </c>
      <c r="O42">
        <v>114.68</v>
      </c>
      <c r="P42">
        <v>0</v>
      </c>
      <c r="Q42" s="304">
        <v>1194</v>
      </c>
    </row>
    <row r="43" spans="2:17" hidden="1" outlineLevel="1">
      <c r="B43" t="s">
        <v>715</v>
      </c>
      <c r="C43" t="s">
        <v>676</v>
      </c>
      <c r="D43">
        <v>140.35</v>
      </c>
      <c r="E43">
        <v>144.15</v>
      </c>
      <c r="F43">
        <v>148.04</v>
      </c>
      <c r="G43">
        <v>152.04</v>
      </c>
      <c r="H43">
        <v>156.13999999999999</v>
      </c>
      <c r="I43">
        <v>160.35</v>
      </c>
      <c r="J43">
        <v>164.69</v>
      </c>
      <c r="K43">
        <v>169.13</v>
      </c>
      <c r="L43">
        <v>173.7</v>
      </c>
      <c r="M43">
        <v>178.4</v>
      </c>
      <c r="N43">
        <v>183.22</v>
      </c>
      <c r="O43">
        <v>188.17</v>
      </c>
      <c r="P43">
        <v>0</v>
      </c>
      <c r="Q43" s="304">
        <v>1958</v>
      </c>
    </row>
    <row r="44" spans="2:17" hidden="1" outlineLevel="1">
      <c r="B44" t="s">
        <v>716</v>
      </c>
      <c r="C44" t="s">
        <v>676</v>
      </c>
      <c r="D44">
        <v>174.35</v>
      </c>
      <c r="E44">
        <v>179.06</v>
      </c>
      <c r="F44">
        <v>183.89</v>
      </c>
      <c r="G44">
        <v>188.86</v>
      </c>
      <c r="H44">
        <v>193.95</v>
      </c>
      <c r="I44">
        <v>199.19</v>
      </c>
      <c r="J44">
        <v>204.57</v>
      </c>
      <c r="K44">
        <v>210.09</v>
      </c>
      <c r="L44">
        <v>215.77</v>
      </c>
      <c r="M44">
        <v>221.61</v>
      </c>
      <c r="N44">
        <v>227.6</v>
      </c>
      <c r="O44">
        <v>233.74</v>
      </c>
      <c r="P44">
        <v>0</v>
      </c>
      <c r="Q44" s="304">
        <v>2433</v>
      </c>
    </row>
    <row r="45" spans="2:17" hidden="1" outlineLevel="1">
      <c r="B45" t="s">
        <v>717</v>
      </c>
      <c r="C45" t="s">
        <v>676</v>
      </c>
      <c r="D45">
        <v>106.58</v>
      </c>
      <c r="E45">
        <v>109.46</v>
      </c>
      <c r="F45">
        <v>112.42</v>
      </c>
      <c r="G45">
        <v>115.46</v>
      </c>
      <c r="H45">
        <v>118.57</v>
      </c>
      <c r="I45">
        <v>121.77</v>
      </c>
      <c r="J45">
        <v>125.06</v>
      </c>
      <c r="K45">
        <v>128.44</v>
      </c>
      <c r="L45">
        <v>131.91</v>
      </c>
      <c r="M45">
        <v>135.47999999999999</v>
      </c>
      <c r="N45">
        <v>139.13999999999999</v>
      </c>
      <c r="O45">
        <v>142.88999999999999</v>
      </c>
      <c r="P45">
        <v>0</v>
      </c>
      <c r="Q45" s="304">
        <v>1487</v>
      </c>
    </row>
    <row r="46" spans="2:17" hidden="1" outlineLevel="1">
      <c r="B46" t="s">
        <v>718</v>
      </c>
      <c r="C46" t="s">
        <v>676</v>
      </c>
      <c r="D46">
        <v>163.07</v>
      </c>
      <c r="E46">
        <v>167.48</v>
      </c>
      <c r="F46">
        <v>172</v>
      </c>
      <c r="G46">
        <v>176.65</v>
      </c>
      <c r="H46">
        <v>181.42</v>
      </c>
      <c r="I46">
        <v>186.31</v>
      </c>
      <c r="J46">
        <v>191.35</v>
      </c>
      <c r="K46">
        <v>196.51</v>
      </c>
      <c r="L46">
        <v>201.82</v>
      </c>
      <c r="M46">
        <v>207.28</v>
      </c>
      <c r="N46">
        <v>212.88</v>
      </c>
      <c r="O46">
        <v>218.63</v>
      </c>
      <c r="P46">
        <v>0</v>
      </c>
      <c r="Q46" s="304">
        <v>2275</v>
      </c>
    </row>
    <row r="47" spans="2:17" hidden="1" outlineLevel="1">
      <c r="B47" t="s">
        <v>719</v>
      </c>
      <c r="C47" t="s">
        <v>676</v>
      </c>
      <c r="D47">
        <v>179.46</v>
      </c>
      <c r="E47">
        <v>184.31</v>
      </c>
      <c r="F47">
        <v>189.29</v>
      </c>
      <c r="G47">
        <v>194.4</v>
      </c>
      <c r="H47">
        <v>199.65</v>
      </c>
      <c r="I47">
        <v>205.03</v>
      </c>
      <c r="J47">
        <v>210.57</v>
      </c>
      <c r="K47">
        <v>216.26</v>
      </c>
      <c r="L47">
        <v>222.1</v>
      </c>
      <c r="M47">
        <v>228.11</v>
      </c>
      <c r="N47">
        <v>234.28</v>
      </c>
      <c r="O47">
        <v>240.6</v>
      </c>
      <c r="P47">
        <v>0</v>
      </c>
      <c r="Q47" s="304">
        <v>2504</v>
      </c>
    </row>
    <row r="48" spans="2:17" hidden="1" outlineLevel="1">
      <c r="B48" t="s">
        <v>720</v>
      </c>
      <c r="C48" t="s">
        <v>676</v>
      </c>
      <c r="D48">
        <v>105.55</v>
      </c>
      <c r="E48">
        <v>108.4</v>
      </c>
      <c r="F48">
        <v>111.33</v>
      </c>
      <c r="G48">
        <v>114.34</v>
      </c>
      <c r="H48">
        <v>117.42</v>
      </c>
      <c r="I48">
        <v>120.59</v>
      </c>
      <c r="J48">
        <v>123.85</v>
      </c>
      <c r="K48">
        <v>127.19</v>
      </c>
      <c r="L48">
        <v>130.63</v>
      </c>
      <c r="M48">
        <v>134.16</v>
      </c>
      <c r="N48">
        <v>137.79</v>
      </c>
      <c r="O48">
        <v>141.51</v>
      </c>
      <c r="P48">
        <v>0</v>
      </c>
      <c r="Q48" s="304">
        <v>1473</v>
      </c>
    </row>
    <row r="49" spans="2:17" hidden="1" outlineLevel="1">
      <c r="B49" t="s">
        <v>721</v>
      </c>
      <c r="C49" t="s">
        <v>676</v>
      </c>
      <c r="D49">
        <v>92.95</v>
      </c>
      <c r="E49">
        <v>95.47</v>
      </c>
      <c r="F49">
        <v>98.04</v>
      </c>
      <c r="G49">
        <v>100.69</v>
      </c>
      <c r="H49">
        <v>103.41</v>
      </c>
      <c r="I49">
        <v>106.2</v>
      </c>
      <c r="J49">
        <v>109.07</v>
      </c>
      <c r="K49">
        <v>112.01</v>
      </c>
      <c r="L49">
        <v>115.04</v>
      </c>
      <c r="M49">
        <v>118.15</v>
      </c>
      <c r="N49">
        <v>121.35</v>
      </c>
      <c r="O49">
        <v>124.62</v>
      </c>
      <c r="P49">
        <v>0</v>
      </c>
      <c r="Q49" s="304">
        <v>1297</v>
      </c>
    </row>
    <row r="50" spans="2:17" hidden="1" outlineLevel="1">
      <c r="B50" t="s">
        <v>722</v>
      </c>
      <c r="C50" t="s">
        <v>676</v>
      </c>
      <c r="D50">
        <v>157.21</v>
      </c>
      <c r="E50">
        <v>161.46</v>
      </c>
      <c r="F50">
        <v>165.82</v>
      </c>
      <c r="G50">
        <v>170.3</v>
      </c>
      <c r="H50">
        <v>174.89</v>
      </c>
      <c r="I50">
        <v>179.61</v>
      </c>
      <c r="J50">
        <v>184.46</v>
      </c>
      <c r="K50">
        <v>189.44</v>
      </c>
      <c r="L50">
        <v>194.57</v>
      </c>
      <c r="M50">
        <v>199.83</v>
      </c>
      <c r="N50">
        <v>205.23</v>
      </c>
      <c r="O50">
        <v>210.77</v>
      </c>
      <c r="P50">
        <v>0</v>
      </c>
      <c r="Q50" s="304">
        <v>2194</v>
      </c>
    </row>
    <row r="51" spans="2:17" hidden="1" outlineLevel="1">
      <c r="B51" t="s">
        <v>723</v>
      </c>
      <c r="C51" t="s">
        <v>676</v>
      </c>
      <c r="D51">
        <v>89.95</v>
      </c>
      <c r="E51">
        <v>92.38</v>
      </c>
      <c r="F51">
        <v>94.88</v>
      </c>
      <c r="G51">
        <v>97.44</v>
      </c>
      <c r="H51">
        <v>100.07</v>
      </c>
      <c r="I51">
        <v>102.77</v>
      </c>
      <c r="J51">
        <v>105.55</v>
      </c>
      <c r="K51">
        <v>108.4</v>
      </c>
      <c r="L51">
        <v>111.33</v>
      </c>
      <c r="M51">
        <v>114.34</v>
      </c>
      <c r="N51">
        <v>117.43</v>
      </c>
      <c r="O51">
        <v>120.6</v>
      </c>
      <c r="P51">
        <v>0</v>
      </c>
      <c r="Q51" s="304">
        <v>1255</v>
      </c>
    </row>
    <row r="52" spans="2:17" hidden="1" outlineLevel="1">
      <c r="B52" t="s">
        <v>724</v>
      </c>
      <c r="C52" t="s">
        <v>676</v>
      </c>
      <c r="D52">
        <v>89.95</v>
      </c>
      <c r="E52">
        <v>92.38</v>
      </c>
      <c r="F52">
        <v>94.88</v>
      </c>
      <c r="G52">
        <v>97.44</v>
      </c>
      <c r="H52">
        <v>100.07</v>
      </c>
      <c r="I52">
        <v>102.77</v>
      </c>
      <c r="J52">
        <v>105.55</v>
      </c>
      <c r="K52">
        <v>108.4</v>
      </c>
      <c r="L52">
        <v>111.33</v>
      </c>
      <c r="M52">
        <v>114.34</v>
      </c>
      <c r="N52">
        <v>117.43</v>
      </c>
      <c r="O52">
        <v>120.6</v>
      </c>
      <c r="P52">
        <v>0</v>
      </c>
      <c r="Q52" s="304">
        <v>1255</v>
      </c>
    </row>
    <row r="53" spans="2:17" hidden="1" outlineLevel="1">
      <c r="B53" t="s">
        <v>725</v>
      </c>
      <c r="C53" t="s">
        <v>676</v>
      </c>
      <c r="D53">
        <v>137.03</v>
      </c>
      <c r="E53">
        <v>140.72999999999999</v>
      </c>
      <c r="F53">
        <v>144.53</v>
      </c>
      <c r="G53">
        <v>148.44</v>
      </c>
      <c r="H53">
        <v>152.44</v>
      </c>
      <c r="I53">
        <v>156.55000000000001</v>
      </c>
      <c r="J53">
        <v>160.78</v>
      </c>
      <c r="K53">
        <v>165.13</v>
      </c>
      <c r="L53">
        <v>169.59</v>
      </c>
      <c r="M53">
        <v>174.18</v>
      </c>
      <c r="N53">
        <v>178.88</v>
      </c>
      <c r="O53">
        <v>183.71</v>
      </c>
      <c r="P53">
        <v>0</v>
      </c>
      <c r="Q53" s="304">
        <v>1912</v>
      </c>
    </row>
    <row r="54" spans="2:17" hidden="1" outlineLevel="1">
      <c r="B54" t="s">
        <v>726</v>
      </c>
      <c r="C54" t="s">
        <v>676</v>
      </c>
      <c r="D54">
        <v>172.37</v>
      </c>
      <c r="E54">
        <v>177.03</v>
      </c>
      <c r="F54">
        <v>181.8</v>
      </c>
      <c r="G54">
        <v>186.72</v>
      </c>
      <c r="H54">
        <v>191.75</v>
      </c>
      <c r="I54">
        <v>196.92</v>
      </c>
      <c r="J54">
        <v>202.25</v>
      </c>
      <c r="K54">
        <v>207.71</v>
      </c>
      <c r="L54">
        <v>213.33</v>
      </c>
      <c r="M54">
        <v>219.09</v>
      </c>
      <c r="N54">
        <v>225.02</v>
      </c>
      <c r="O54">
        <v>231.09</v>
      </c>
      <c r="P54">
        <v>0</v>
      </c>
      <c r="Q54" s="304">
        <v>2405</v>
      </c>
    </row>
    <row r="55" spans="2:17" hidden="1" outlineLevel="1">
      <c r="B55" t="s">
        <v>727</v>
      </c>
      <c r="C55" t="s">
        <v>676</v>
      </c>
      <c r="D55">
        <v>88.13</v>
      </c>
      <c r="E55">
        <v>90.52</v>
      </c>
      <c r="F55">
        <v>92.96</v>
      </c>
      <c r="G55">
        <v>95.47</v>
      </c>
      <c r="H55">
        <v>98.05</v>
      </c>
      <c r="I55">
        <v>100.69</v>
      </c>
      <c r="J55">
        <v>103.41</v>
      </c>
      <c r="K55">
        <v>106.21</v>
      </c>
      <c r="L55">
        <v>109.08</v>
      </c>
      <c r="M55">
        <v>112.03</v>
      </c>
      <c r="N55">
        <v>115.05</v>
      </c>
      <c r="O55">
        <v>118.16</v>
      </c>
      <c r="P55">
        <v>0</v>
      </c>
      <c r="Q55" s="304">
        <v>1230</v>
      </c>
    </row>
    <row r="56" spans="2:17" hidden="1" outlineLevel="1">
      <c r="B56" t="s">
        <v>728</v>
      </c>
      <c r="C56" t="s">
        <v>676</v>
      </c>
      <c r="D56">
        <v>142.55000000000001</v>
      </c>
      <c r="E56">
        <v>146.41</v>
      </c>
      <c r="F56">
        <v>150.36000000000001</v>
      </c>
      <c r="G56">
        <v>154.41999999999999</v>
      </c>
      <c r="H56">
        <v>158.59</v>
      </c>
      <c r="I56">
        <v>162.86000000000001</v>
      </c>
      <c r="J56">
        <v>167.27</v>
      </c>
      <c r="K56">
        <v>171.78</v>
      </c>
      <c r="L56">
        <v>176.43</v>
      </c>
      <c r="M56">
        <v>181.2</v>
      </c>
      <c r="N56">
        <v>186.1</v>
      </c>
      <c r="O56">
        <v>191.12</v>
      </c>
      <c r="P56">
        <v>0</v>
      </c>
      <c r="Q56" s="304">
        <v>1989</v>
      </c>
    </row>
    <row r="57" spans="2:17" hidden="1" outlineLevel="1">
      <c r="B57" t="s">
        <v>729</v>
      </c>
      <c r="C57" t="s">
        <v>676</v>
      </c>
      <c r="D57">
        <v>180.42</v>
      </c>
      <c r="E57">
        <v>185.3</v>
      </c>
      <c r="F57">
        <v>190.3</v>
      </c>
      <c r="G57">
        <v>195.44</v>
      </c>
      <c r="H57">
        <v>200.71</v>
      </c>
      <c r="I57">
        <v>206.13</v>
      </c>
      <c r="J57">
        <v>211.7</v>
      </c>
      <c r="K57">
        <v>217.42</v>
      </c>
      <c r="L57">
        <v>223.29</v>
      </c>
      <c r="M57">
        <v>229.33</v>
      </c>
      <c r="N57">
        <v>235.53</v>
      </c>
      <c r="O57">
        <v>241.89</v>
      </c>
      <c r="P57">
        <v>0</v>
      </c>
      <c r="Q57" s="304">
        <v>2517</v>
      </c>
    </row>
    <row r="58" spans="2:17" hidden="1" outlineLevel="1">
      <c r="B58" t="s">
        <v>730</v>
      </c>
      <c r="C58" t="s">
        <v>676</v>
      </c>
      <c r="D58">
        <v>104.78</v>
      </c>
      <c r="E58">
        <v>107.61</v>
      </c>
      <c r="F58">
        <v>110.51</v>
      </c>
      <c r="G58">
        <v>113.5</v>
      </c>
      <c r="H58">
        <v>116.56</v>
      </c>
      <c r="I58">
        <v>119.7</v>
      </c>
      <c r="J58">
        <v>122.94</v>
      </c>
      <c r="K58">
        <v>126.26</v>
      </c>
      <c r="L58">
        <v>129.66999999999999</v>
      </c>
      <c r="M58">
        <v>133.18</v>
      </c>
      <c r="N58">
        <v>136.78</v>
      </c>
      <c r="O58">
        <v>140.47</v>
      </c>
      <c r="P58">
        <v>0</v>
      </c>
      <c r="Q58" s="304">
        <v>1462</v>
      </c>
    </row>
    <row r="59" spans="2:17" hidden="1" outlineLevel="1">
      <c r="B59" t="s">
        <v>731</v>
      </c>
      <c r="C59" t="s">
        <v>676</v>
      </c>
      <c r="D59">
        <v>62.05</v>
      </c>
      <c r="E59">
        <v>63.72</v>
      </c>
      <c r="F59">
        <v>65.44</v>
      </c>
      <c r="G59">
        <v>67.209999999999994</v>
      </c>
      <c r="H59">
        <v>69.02</v>
      </c>
      <c r="I59">
        <v>70.89</v>
      </c>
      <c r="J59">
        <v>72.8</v>
      </c>
      <c r="K59">
        <v>74.77</v>
      </c>
      <c r="L59">
        <v>76.790000000000006</v>
      </c>
      <c r="M59">
        <v>78.87</v>
      </c>
      <c r="N59">
        <v>81</v>
      </c>
      <c r="O59">
        <v>83.18</v>
      </c>
      <c r="P59">
        <v>0</v>
      </c>
      <c r="Q59">
        <v>866</v>
      </c>
    </row>
    <row r="60" spans="2:17" hidden="1" outlineLevel="1">
      <c r="B60" t="s">
        <v>732</v>
      </c>
      <c r="C60" t="s">
        <v>676</v>
      </c>
      <c r="D60">
        <v>76.14</v>
      </c>
      <c r="E60">
        <v>78.19</v>
      </c>
      <c r="F60">
        <v>80.31</v>
      </c>
      <c r="G60">
        <v>82.48</v>
      </c>
      <c r="H60">
        <v>84.7</v>
      </c>
      <c r="I60">
        <v>86.98</v>
      </c>
      <c r="J60">
        <v>89.34</v>
      </c>
      <c r="K60">
        <v>91.75</v>
      </c>
      <c r="L60">
        <v>94.23</v>
      </c>
      <c r="M60">
        <v>96.78</v>
      </c>
      <c r="N60">
        <v>99.39</v>
      </c>
      <c r="O60">
        <v>102.08</v>
      </c>
      <c r="P60">
        <v>0</v>
      </c>
      <c r="Q60" s="304">
        <v>1062</v>
      </c>
    </row>
    <row r="61" spans="2:17" hidden="1" outlineLevel="1">
      <c r="B61" t="s">
        <v>733</v>
      </c>
      <c r="C61" t="s">
        <v>676</v>
      </c>
      <c r="D61">
        <v>74.010000000000005</v>
      </c>
      <c r="E61">
        <v>76.010000000000005</v>
      </c>
      <c r="F61">
        <v>78.06</v>
      </c>
      <c r="G61">
        <v>80.17</v>
      </c>
      <c r="H61">
        <v>82.33</v>
      </c>
      <c r="I61">
        <v>84.55</v>
      </c>
      <c r="J61">
        <v>86.84</v>
      </c>
      <c r="K61">
        <v>89.18</v>
      </c>
      <c r="L61">
        <v>91.59</v>
      </c>
      <c r="M61">
        <v>94.07</v>
      </c>
      <c r="N61">
        <v>96.61</v>
      </c>
      <c r="O61">
        <v>99.22</v>
      </c>
      <c r="P61">
        <v>0</v>
      </c>
      <c r="Q61" s="304">
        <v>1033</v>
      </c>
    </row>
    <row r="62" spans="2:17" hidden="1" outlineLevel="1">
      <c r="B62" t="s">
        <v>734</v>
      </c>
      <c r="C62" t="s">
        <v>676</v>
      </c>
      <c r="D62">
        <v>185.92</v>
      </c>
      <c r="E62">
        <v>190.94</v>
      </c>
      <c r="F62">
        <v>196.1</v>
      </c>
      <c r="G62">
        <v>201.4</v>
      </c>
      <c r="H62">
        <v>206.83</v>
      </c>
      <c r="I62">
        <v>212.41</v>
      </c>
      <c r="J62">
        <v>218.15</v>
      </c>
      <c r="K62">
        <v>224.04</v>
      </c>
      <c r="L62">
        <v>230.1</v>
      </c>
      <c r="M62">
        <v>236.32</v>
      </c>
      <c r="N62">
        <v>242.71</v>
      </c>
      <c r="O62">
        <v>249.26</v>
      </c>
      <c r="P62">
        <v>0</v>
      </c>
      <c r="Q62" s="304">
        <v>2594</v>
      </c>
    </row>
    <row r="63" spans="2:17" hidden="1" outlineLevel="1">
      <c r="B63" t="s">
        <v>735</v>
      </c>
      <c r="C63" t="s">
        <v>676</v>
      </c>
      <c r="D63">
        <v>124.66</v>
      </c>
      <c r="E63">
        <v>128.03</v>
      </c>
      <c r="F63">
        <v>131.49</v>
      </c>
      <c r="G63">
        <v>135.04</v>
      </c>
      <c r="H63">
        <v>138.69</v>
      </c>
      <c r="I63">
        <v>142.41999999999999</v>
      </c>
      <c r="J63">
        <v>146.28</v>
      </c>
      <c r="K63">
        <v>150.22999999999999</v>
      </c>
      <c r="L63">
        <v>154.29</v>
      </c>
      <c r="M63">
        <v>158.46</v>
      </c>
      <c r="N63">
        <v>162.74</v>
      </c>
      <c r="O63">
        <v>167.14</v>
      </c>
      <c r="P63">
        <v>0</v>
      </c>
      <c r="Q63" s="304">
        <v>1739</v>
      </c>
    </row>
    <row r="64" spans="2:17" hidden="1" outlineLevel="1">
      <c r="B64" t="s">
        <v>736</v>
      </c>
      <c r="C64" t="s">
        <v>676</v>
      </c>
      <c r="D64">
        <v>143.65</v>
      </c>
      <c r="E64">
        <v>147.54</v>
      </c>
      <c r="F64">
        <v>151.52000000000001</v>
      </c>
      <c r="G64">
        <v>155.62</v>
      </c>
      <c r="H64">
        <v>159.81</v>
      </c>
      <c r="I64">
        <v>164.12</v>
      </c>
      <c r="J64">
        <v>168.56</v>
      </c>
      <c r="K64">
        <v>173.11</v>
      </c>
      <c r="L64">
        <v>177.79</v>
      </c>
      <c r="M64">
        <v>182.6</v>
      </c>
      <c r="N64">
        <v>187.53</v>
      </c>
      <c r="O64">
        <v>192.6</v>
      </c>
      <c r="P64">
        <v>0</v>
      </c>
      <c r="Q64" s="304">
        <v>2004</v>
      </c>
    </row>
    <row r="65" spans="2:17" hidden="1" outlineLevel="1">
      <c r="B65" t="s">
        <v>737</v>
      </c>
      <c r="C65" t="s">
        <v>676</v>
      </c>
      <c r="D65">
        <v>135.66999999999999</v>
      </c>
      <c r="E65">
        <v>139.34</v>
      </c>
      <c r="F65">
        <v>143.1</v>
      </c>
      <c r="G65">
        <v>146.96</v>
      </c>
      <c r="H65">
        <v>150.93</v>
      </c>
      <c r="I65">
        <v>155</v>
      </c>
      <c r="J65">
        <v>159.19</v>
      </c>
      <c r="K65">
        <v>163.49</v>
      </c>
      <c r="L65">
        <v>167.91</v>
      </c>
      <c r="M65">
        <v>172.45</v>
      </c>
      <c r="N65">
        <v>177.11</v>
      </c>
      <c r="O65">
        <v>181.89</v>
      </c>
      <c r="P65">
        <v>0</v>
      </c>
      <c r="Q65" s="304">
        <v>1893</v>
      </c>
    </row>
    <row r="66" spans="2:17" hidden="1" outlineLevel="1">
      <c r="B66" t="s">
        <v>738</v>
      </c>
      <c r="C66" t="s">
        <v>676</v>
      </c>
      <c r="D66">
        <v>173.17</v>
      </c>
      <c r="E66">
        <v>177.85</v>
      </c>
      <c r="F66">
        <v>182.65</v>
      </c>
      <c r="G66">
        <v>187.59</v>
      </c>
      <c r="H66">
        <v>192.65</v>
      </c>
      <c r="I66">
        <v>197.85</v>
      </c>
      <c r="J66">
        <v>203.19</v>
      </c>
      <c r="K66">
        <v>208.68</v>
      </c>
      <c r="L66">
        <v>214.32</v>
      </c>
      <c r="M66">
        <v>220.12</v>
      </c>
      <c r="N66">
        <v>226.07</v>
      </c>
      <c r="O66">
        <v>232.17</v>
      </c>
      <c r="P66">
        <v>0</v>
      </c>
      <c r="Q66" s="304">
        <v>2416</v>
      </c>
    </row>
    <row r="67" spans="2:17" hidden="1" outlineLevel="1">
      <c r="B67" t="s">
        <v>739</v>
      </c>
      <c r="C67" t="s">
        <v>676</v>
      </c>
      <c r="D67">
        <v>128.03</v>
      </c>
      <c r="E67">
        <v>131.49</v>
      </c>
      <c r="F67">
        <v>135.04</v>
      </c>
      <c r="G67">
        <v>138.69</v>
      </c>
      <c r="H67">
        <v>142.43</v>
      </c>
      <c r="I67">
        <v>146.27000000000001</v>
      </c>
      <c r="J67">
        <v>150.22999999999999</v>
      </c>
      <c r="K67">
        <v>154.28</v>
      </c>
      <c r="L67">
        <v>158.44999999999999</v>
      </c>
      <c r="M67">
        <v>162.74</v>
      </c>
      <c r="N67">
        <v>167.14</v>
      </c>
      <c r="O67">
        <v>171.65</v>
      </c>
      <c r="P67">
        <v>0</v>
      </c>
      <c r="Q67" s="304">
        <v>1786</v>
      </c>
    </row>
    <row r="68" spans="2:17" hidden="1" outlineLevel="1">
      <c r="B68" t="s">
        <v>740</v>
      </c>
      <c r="C68" t="s">
        <v>676</v>
      </c>
      <c r="D68">
        <v>92.95</v>
      </c>
      <c r="E68">
        <v>95.47</v>
      </c>
      <c r="F68">
        <v>98.04</v>
      </c>
      <c r="G68">
        <v>100.69</v>
      </c>
      <c r="H68">
        <v>103.41</v>
      </c>
      <c r="I68">
        <v>106.2</v>
      </c>
      <c r="J68">
        <v>109.07</v>
      </c>
      <c r="K68">
        <v>112.01</v>
      </c>
      <c r="L68">
        <v>115.04</v>
      </c>
      <c r="M68">
        <v>118.15</v>
      </c>
      <c r="N68">
        <v>121.35</v>
      </c>
      <c r="O68">
        <v>124.62</v>
      </c>
      <c r="P68">
        <v>0</v>
      </c>
      <c r="Q68" s="304">
        <v>1297</v>
      </c>
    </row>
    <row r="69" spans="2:17" hidden="1" outlineLevel="1">
      <c r="B69" t="s">
        <v>741</v>
      </c>
      <c r="C69" t="s">
        <v>676</v>
      </c>
      <c r="D69">
        <v>92.95</v>
      </c>
      <c r="E69">
        <v>95.47</v>
      </c>
      <c r="F69">
        <v>98.04</v>
      </c>
      <c r="G69">
        <v>100.69</v>
      </c>
      <c r="H69">
        <v>103.41</v>
      </c>
      <c r="I69">
        <v>106.2</v>
      </c>
      <c r="J69">
        <v>109.07</v>
      </c>
      <c r="K69">
        <v>112.01</v>
      </c>
      <c r="L69">
        <v>115.04</v>
      </c>
      <c r="M69">
        <v>118.15</v>
      </c>
      <c r="N69">
        <v>121.35</v>
      </c>
      <c r="O69">
        <v>124.62</v>
      </c>
      <c r="P69">
        <v>0</v>
      </c>
      <c r="Q69" s="304">
        <v>1297</v>
      </c>
    </row>
    <row r="70" spans="2:17" hidden="1" outlineLevel="1">
      <c r="B70" t="s">
        <v>742</v>
      </c>
      <c r="C70" t="s">
        <v>676</v>
      </c>
      <c r="D70">
        <v>98.25</v>
      </c>
      <c r="E70">
        <v>100.91</v>
      </c>
      <c r="F70">
        <v>103.63</v>
      </c>
      <c r="G70">
        <v>106.43</v>
      </c>
      <c r="H70">
        <v>109.3</v>
      </c>
      <c r="I70">
        <v>112.25</v>
      </c>
      <c r="J70">
        <v>115.28</v>
      </c>
      <c r="K70">
        <v>118.4</v>
      </c>
      <c r="L70">
        <v>121.6</v>
      </c>
      <c r="M70">
        <v>124.89</v>
      </c>
      <c r="N70">
        <v>128.26</v>
      </c>
      <c r="O70">
        <v>131.72</v>
      </c>
      <c r="P70">
        <v>0</v>
      </c>
      <c r="Q70" s="304">
        <v>1371</v>
      </c>
    </row>
    <row r="71" spans="2:17" hidden="1" outlineLevel="1">
      <c r="B71" t="s">
        <v>743</v>
      </c>
      <c r="C71" t="s">
        <v>676</v>
      </c>
      <c r="D71">
        <v>161.84</v>
      </c>
      <c r="E71">
        <v>166.21</v>
      </c>
      <c r="F71">
        <v>170.7</v>
      </c>
      <c r="G71">
        <v>175.31</v>
      </c>
      <c r="H71">
        <v>180.04</v>
      </c>
      <c r="I71">
        <v>184.9</v>
      </c>
      <c r="J71">
        <v>189.89</v>
      </c>
      <c r="K71">
        <v>195.02</v>
      </c>
      <c r="L71">
        <v>200.29</v>
      </c>
      <c r="M71">
        <v>205.71</v>
      </c>
      <c r="N71">
        <v>211.27</v>
      </c>
      <c r="O71">
        <v>216.97</v>
      </c>
      <c r="P71">
        <v>0</v>
      </c>
      <c r="Q71" s="304">
        <v>2258</v>
      </c>
    </row>
    <row r="72" spans="2:17" hidden="1" outlineLevel="1">
      <c r="B72" t="s">
        <v>744</v>
      </c>
      <c r="C72" t="s">
        <v>676</v>
      </c>
      <c r="D72">
        <v>91.79</v>
      </c>
      <c r="E72">
        <v>94.27</v>
      </c>
      <c r="F72">
        <v>96.81</v>
      </c>
      <c r="G72">
        <v>99.43</v>
      </c>
      <c r="H72">
        <v>102.11</v>
      </c>
      <c r="I72">
        <v>104.86</v>
      </c>
      <c r="J72">
        <v>107.7</v>
      </c>
      <c r="K72">
        <v>110.61</v>
      </c>
      <c r="L72">
        <v>113.6</v>
      </c>
      <c r="M72">
        <v>116.67</v>
      </c>
      <c r="N72">
        <v>119.82</v>
      </c>
      <c r="O72">
        <v>123.06</v>
      </c>
      <c r="P72">
        <v>0</v>
      </c>
      <c r="Q72" s="304">
        <v>1281</v>
      </c>
    </row>
    <row r="73" spans="2:17" hidden="1" outlineLevel="1">
      <c r="B73" t="s">
        <v>745</v>
      </c>
      <c r="C73" t="s">
        <v>676</v>
      </c>
      <c r="D73">
        <v>111.42</v>
      </c>
      <c r="E73">
        <v>114.43</v>
      </c>
      <c r="F73">
        <v>117.52</v>
      </c>
      <c r="G73">
        <v>120.7</v>
      </c>
      <c r="H73">
        <v>123.96</v>
      </c>
      <c r="I73">
        <v>127.3</v>
      </c>
      <c r="J73">
        <v>130.74</v>
      </c>
      <c r="K73">
        <v>134.27000000000001</v>
      </c>
      <c r="L73">
        <v>137.9</v>
      </c>
      <c r="M73">
        <v>141.63</v>
      </c>
      <c r="N73">
        <v>145.46</v>
      </c>
      <c r="O73">
        <v>149.38</v>
      </c>
      <c r="P73">
        <v>0</v>
      </c>
      <c r="Q73" s="304">
        <v>1555</v>
      </c>
    </row>
    <row r="74" spans="2:17" hidden="1" outlineLevel="1">
      <c r="B74" t="s">
        <v>746</v>
      </c>
      <c r="C74" t="s">
        <v>676</v>
      </c>
      <c r="D74">
        <v>151.97</v>
      </c>
      <c r="E74">
        <v>156.08000000000001</v>
      </c>
      <c r="F74">
        <v>160.29</v>
      </c>
      <c r="G74">
        <v>164.63</v>
      </c>
      <c r="H74">
        <v>169.07</v>
      </c>
      <c r="I74">
        <v>173.63</v>
      </c>
      <c r="J74">
        <v>178.32</v>
      </c>
      <c r="K74">
        <v>183.14</v>
      </c>
      <c r="L74">
        <v>188.09</v>
      </c>
      <c r="M74">
        <v>193.17</v>
      </c>
      <c r="N74">
        <v>198.39</v>
      </c>
      <c r="O74">
        <v>203.75</v>
      </c>
      <c r="P74">
        <v>0</v>
      </c>
      <c r="Q74" s="304">
        <v>2121</v>
      </c>
    </row>
    <row r="75" spans="2:17" hidden="1" outlineLevel="1">
      <c r="B75" t="s">
        <v>747</v>
      </c>
      <c r="C75" t="s">
        <v>676</v>
      </c>
      <c r="D75">
        <v>138.77000000000001</v>
      </c>
      <c r="E75">
        <v>142.52000000000001</v>
      </c>
      <c r="F75">
        <v>146.37</v>
      </c>
      <c r="G75">
        <v>150.33000000000001</v>
      </c>
      <c r="H75">
        <v>154.38</v>
      </c>
      <c r="I75">
        <v>158.54</v>
      </c>
      <c r="J75">
        <v>162.83000000000001</v>
      </c>
      <c r="K75">
        <v>167.23</v>
      </c>
      <c r="L75">
        <v>171.75</v>
      </c>
      <c r="M75">
        <v>176.39</v>
      </c>
      <c r="N75">
        <v>181.16</v>
      </c>
      <c r="O75">
        <v>186.05</v>
      </c>
      <c r="P75">
        <v>0</v>
      </c>
      <c r="Q75" s="304">
        <v>1936</v>
      </c>
    </row>
    <row r="76" spans="2:17" hidden="1" outlineLevel="1">
      <c r="B76" t="s">
        <v>748</v>
      </c>
      <c r="C76" t="s">
        <v>676</v>
      </c>
      <c r="D76">
        <v>188.91</v>
      </c>
      <c r="E76">
        <v>194.01</v>
      </c>
      <c r="F76">
        <v>199.25</v>
      </c>
      <c r="G76">
        <v>204.64</v>
      </c>
      <c r="H76">
        <v>210.15</v>
      </c>
      <c r="I76">
        <v>215.82</v>
      </c>
      <c r="J76">
        <v>221.66</v>
      </c>
      <c r="K76">
        <v>227.64</v>
      </c>
      <c r="L76">
        <v>233.79</v>
      </c>
      <c r="M76">
        <v>240.12</v>
      </c>
      <c r="N76">
        <v>246.61</v>
      </c>
      <c r="O76">
        <v>253.26</v>
      </c>
      <c r="P76">
        <v>0</v>
      </c>
      <c r="Q76" s="304">
        <v>2636</v>
      </c>
    </row>
    <row r="77" spans="2:17" hidden="1" outlineLevel="1">
      <c r="B77" t="s">
        <v>749</v>
      </c>
      <c r="C77" t="s">
        <v>676</v>
      </c>
      <c r="D77">
        <v>116.94</v>
      </c>
      <c r="E77">
        <v>120.1</v>
      </c>
      <c r="F77">
        <v>123.34</v>
      </c>
      <c r="G77">
        <v>126.68</v>
      </c>
      <c r="H77">
        <v>130.09</v>
      </c>
      <c r="I77">
        <v>133.6</v>
      </c>
      <c r="J77">
        <v>137.22</v>
      </c>
      <c r="K77">
        <v>140.91999999999999</v>
      </c>
      <c r="L77">
        <v>144.72999999999999</v>
      </c>
      <c r="M77">
        <v>148.63999999999999</v>
      </c>
      <c r="N77">
        <v>152.66</v>
      </c>
      <c r="O77">
        <v>156.78</v>
      </c>
      <c r="P77">
        <v>0</v>
      </c>
      <c r="Q77" s="304">
        <v>1632</v>
      </c>
    </row>
    <row r="78" spans="2:17" hidden="1" outlineLevel="1">
      <c r="B78" t="s">
        <v>750</v>
      </c>
      <c r="C78" t="s">
        <v>676</v>
      </c>
      <c r="D78">
        <v>134.41</v>
      </c>
      <c r="E78">
        <v>138.04</v>
      </c>
      <c r="F78">
        <v>141.77000000000001</v>
      </c>
      <c r="G78">
        <v>145.6</v>
      </c>
      <c r="H78">
        <v>149.53</v>
      </c>
      <c r="I78">
        <v>153.56</v>
      </c>
      <c r="J78">
        <v>157.71</v>
      </c>
      <c r="K78">
        <v>161.97</v>
      </c>
      <c r="L78">
        <v>166.35</v>
      </c>
      <c r="M78">
        <v>170.85</v>
      </c>
      <c r="N78">
        <v>175.47</v>
      </c>
      <c r="O78">
        <v>180.2</v>
      </c>
      <c r="P78">
        <v>0</v>
      </c>
      <c r="Q78" s="304">
        <v>1875</v>
      </c>
    </row>
    <row r="79" spans="2:17" hidden="1" outlineLevel="1">
      <c r="B79" t="s">
        <v>751</v>
      </c>
      <c r="C79" t="s">
        <v>676</v>
      </c>
      <c r="D79">
        <v>159.01</v>
      </c>
      <c r="E79">
        <v>163.31</v>
      </c>
      <c r="F79">
        <v>167.72</v>
      </c>
      <c r="G79">
        <v>172.25</v>
      </c>
      <c r="H79">
        <v>176.9</v>
      </c>
      <c r="I79">
        <v>181.67</v>
      </c>
      <c r="J79">
        <v>186.58</v>
      </c>
      <c r="K79">
        <v>191.62</v>
      </c>
      <c r="L79">
        <v>196.8</v>
      </c>
      <c r="M79">
        <v>202.12</v>
      </c>
      <c r="N79">
        <v>207.58</v>
      </c>
      <c r="O79">
        <v>213.18</v>
      </c>
      <c r="P79">
        <v>0</v>
      </c>
      <c r="Q79" s="304">
        <v>2219</v>
      </c>
    </row>
    <row r="80" spans="2:17" hidden="1" outlineLevel="1">
      <c r="B80" t="s">
        <v>752</v>
      </c>
      <c r="C80" t="s">
        <v>676</v>
      </c>
      <c r="D80">
        <v>299.85000000000002</v>
      </c>
      <c r="E80">
        <v>307.95</v>
      </c>
      <c r="F80">
        <v>316.27</v>
      </c>
      <c r="G80">
        <v>324.82</v>
      </c>
      <c r="H80">
        <v>333.58</v>
      </c>
      <c r="I80">
        <v>342.57</v>
      </c>
      <c r="J80">
        <v>351.83</v>
      </c>
      <c r="K80">
        <v>361.33</v>
      </c>
      <c r="L80">
        <v>371.1</v>
      </c>
      <c r="M80">
        <v>381.14</v>
      </c>
      <c r="N80">
        <v>391.44</v>
      </c>
      <c r="O80">
        <v>402.01</v>
      </c>
      <c r="P80">
        <v>0</v>
      </c>
      <c r="Q80" s="304">
        <v>4184</v>
      </c>
    </row>
    <row r="81" spans="2:17" hidden="1" outlineLevel="1">
      <c r="B81" t="s">
        <v>753</v>
      </c>
      <c r="C81" t="s">
        <v>676</v>
      </c>
      <c r="D81">
        <v>239.88</v>
      </c>
      <c r="E81">
        <v>246.36</v>
      </c>
      <c r="F81">
        <v>253.01</v>
      </c>
      <c r="G81">
        <v>259.85000000000002</v>
      </c>
      <c r="H81">
        <v>266.86</v>
      </c>
      <c r="I81">
        <v>274.06</v>
      </c>
      <c r="J81">
        <v>281.47000000000003</v>
      </c>
      <c r="K81">
        <v>289.07</v>
      </c>
      <c r="L81">
        <v>296.88</v>
      </c>
      <c r="M81">
        <v>304.91000000000003</v>
      </c>
      <c r="N81">
        <v>313.14999999999998</v>
      </c>
      <c r="O81">
        <v>321.61</v>
      </c>
      <c r="P81">
        <v>0</v>
      </c>
      <c r="Q81" s="304">
        <v>3347</v>
      </c>
    </row>
    <row r="82" spans="2:17" hidden="1" outlineLevel="1">
      <c r="B82" t="s">
        <v>754</v>
      </c>
      <c r="C82" t="s">
        <v>676</v>
      </c>
      <c r="D82">
        <v>138.84</v>
      </c>
      <c r="E82">
        <v>142.59</v>
      </c>
      <c r="F82">
        <v>146.44</v>
      </c>
      <c r="G82">
        <v>150.4</v>
      </c>
      <c r="H82">
        <v>154.46</v>
      </c>
      <c r="I82">
        <v>158.62</v>
      </c>
      <c r="J82">
        <v>162.91</v>
      </c>
      <c r="K82">
        <v>167.31</v>
      </c>
      <c r="L82">
        <v>171.83</v>
      </c>
      <c r="M82">
        <v>176.48</v>
      </c>
      <c r="N82">
        <v>181.25</v>
      </c>
      <c r="O82">
        <v>186.14</v>
      </c>
      <c r="P82">
        <v>0</v>
      </c>
      <c r="Q82" s="304">
        <v>1937</v>
      </c>
    </row>
    <row r="83" spans="2:17" hidden="1" outlineLevel="1">
      <c r="B83" t="s">
        <v>755</v>
      </c>
      <c r="C83" t="s">
        <v>676</v>
      </c>
      <c r="D83">
        <v>114.78</v>
      </c>
      <c r="E83">
        <v>117.89</v>
      </c>
      <c r="F83">
        <v>121.07</v>
      </c>
      <c r="G83">
        <v>124.34</v>
      </c>
      <c r="H83">
        <v>127.7</v>
      </c>
      <c r="I83">
        <v>131.13999999999999</v>
      </c>
      <c r="J83">
        <v>134.68</v>
      </c>
      <c r="K83">
        <v>138.32</v>
      </c>
      <c r="L83">
        <v>142.06</v>
      </c>
      <c r="M83">
        <v>145.9</v>
      </c>
      <c r="N83">
        <v>149.85</v>
      </c>
      <c r="O83">
        <v>153.88999999999999</v>
      </c>
      <c r="P83">
        <v>0</v>
      </c>
      <c r="Q83" s="304">
        <v>1602</v>
      </c>
    </row>
    <row r="84" spans="2:17" hidden="1" outlineLevel="1">
      <c r="B84" t="s">
        <v>756</v>
      </c>
      <c r="C84" t="s">
        <v>676</v>
      </c>
      <c r="D84">
        <v>140.24</v>
      </c>
      <c r="E84">
        <v>144.03</v>
      </c>
      <c r="F84">
        <v>147.91999999999999</v>
      </c>
      <c r="G84">
        <v>151.91999999999999</v>
      </c>
      <c r="H84">
        <v>156.02000000000001</v>
      </c>
      <c r="I84">
        <v>160.22</v>
      </c>
      <c r="J84">
        <v>164.56</v>
      </c>
      <c r="K84">
        <v>169</v>
      </c>
      <c r="L84">
        <v>173.57</v>
      </c>
      <c r="M84">
        <v>178.26</v>
      </c>
      <c r="N84">
        <v>183.08</v>
      </c>
      <c r="O84">
        <v>188.02</v>
      </c>
      <c r="P84">
        <v>0</v>
      </c>
      <c r="Q84" s="304">
        <v>1957</v>
      </c>
    </row>
    <row r="85" spans="2:17" hidden="1" outlineLevel="1">
      <c r="B85" t="s">
        <v>757</v>
      </c>
      <c r="C85" t="s">
        <v>676</v>
      </c>
      <c r="D85">
        <v>92.95</v>
      </c>
      <c r="E85">
        <v>95.47</v>
      </c>
      <c r="F85">
        <v>98.04</v>
      </c>
      <c r="G85">
        <v>100.69</v>
      </c>
      <c r="H85">
        <v>103.41</v>
      </c>
      <c r="I85">
        <v>106.2</v>
      </c>
      <c r="J85">
        <v>109.07</v>
      </c>
      <c r="K85">
        <v>112.01</v>
      </c>
      <c r="L85">
        <v>115.04</v>
      </c>
      <c r="M85">
        <v>118.15</v>
      </c>
      <c r="N85">
        <v>121.35</v>
      </c>
      <c r="O85">
        <v>124.62</v>
      </c>
      <c r="P85">
        <v>0</v>
      </c>
      <c r="Q85" s="304">
        <v>1297</v>
      </c>
    </row>
    <row r="86" spans="2:17" hidden="1" outlineLevel="1">
      <c r="B86" t="s">
        <v>758</v>
      </c>
      <c r="C86" t="s">
        <v>676</v>
      </c>
      <c r="D86">
        <v>92.95</v>
      </c>
      <c r="E86">
        <v>95.47</v>
      </c>
      <c r="F86">
        <v>98.04</v>
      </c>
      <c r="G86">
        <v>100.69</v>
      </c>
      <c r="H86">
        <v>103.41</v>
      </c>
      <c r="I86">
        <v>106.2</v>
      </c>
      <c r="J86">
        <v>109.07</v>
      </c>
      <c r="K86">
        <v>112.01</v>
      </c>
      <c r="L86">
        <v>115.04</v>
      </c>
      <c r="M86">
        <v>118.15</v>
      </c>
      <c r="N86">
        <v>121.35</v>
      </c>
      <c r="O86">
        <v>124.62</v>
      </c>
      <c r="P86">
        <v>0</v>
      </c>
      <c r="Q86" s="304">
        <v>1297</v>
      </c>
    </row>
    <row r="87" spans="2:17" hidden="1" outlineLevel="1">
      <c r="B87" t="s">
        <v>759</v>
      </c>
      <c r="C87" t="s">
        <v>676</v>
      </c>
      <c r="D87">
        <v>152.85</v>
      </c>
      <c r="E87">
        <v>156.99</v>
      </c>
      <c r="F87">
        <v>161.22</v>
      </c>
      <c r="G87">
        <v>165.58</v>
      </c>
      <c r="H87">
        <v>170.05</v>
      </c>
      <c r="I87">
        <v>174.63</v>
      </c>
      <c r="J87">
        <v>179.35</v>
      </c>
      <c r="K87">
        <v>184.2</v>
      </c>
      <c r="L87">
        <v>189.18</v>
      </c>
      <c r="M87">
        <v>194.29</v>
      </c>
      <c r="N87">
        <v>199.54</v>
      </c>
      <c r="O87">
        <v>204.93</v>
      </c>
      <c r="P87">
        <v>0</v>
      </c>
      <c r="Q87" s="304">
        <v>2133</v>
      </c>
    </row>
    <row r="88" spans="2:17" hidden="1" outlineLevel="1">
      <c r="B88" t="s">
        <v>760</v>
      </c>
      <c r="C88" t="s">
        <v>676</v>
      </c>
      <c r="D88">
        <v>123.09</v>
      </c>
      <c r="E88">
        <v>126.42</v>
      </c>
      <c r="F88">
        <v>129.83000000000001</v>
      </c>
      <c r="G88">
        <v>133.34</v>
      </c>
      <c r="H88">
        <v>136.94</v>
      </c>
      <c r="I88">
        <v>140.63</v>
      </c>
      <c r="J88">
        <v>144.43</v>
      </c>
      <c r="K88">
        <v>148.33000000000001</v>
      </c>
      <c r="L88">
        <v>152.34</v>
      </c>
      <c r="M88">
        <v>156.46</v>
      </c>
      <c r="N88">
        <v>160.69</v>
      </c>
      <c r="O88">
        <v>165.03</v>
      </c>
      <c r="P88">
        <v>0</v>
      </c>
      <c r="Q88" s="304">
        <v>1718</v>
      </c>
    </row>
    <row r="89" spans="2:17" hidden="1" outlineLevel="1">
      <c r="B89" t="s">
        <v>761</v>
      </c>
      <c r="C89" t="s">
        <v>676</v>
      </c>
      <c r="D89">
        <v>150.84</v>
      </c>
      <c r="E89">
        <v>154.91</v>
      </c>
      <c r="F89">
        <v>159.1</v>
      </c>
      <c r="G89">
        <v>163.4</v>
      </c>
      <c r="H89">
        <v>167.8</v>
      </c>
      <c r="I89">
        <v>172.33</v>
      </c>
      <c r="J89">
        <v>176.99</v>
      </c>
      <c r="K89">
        <v>181.77</v>
      </c>
      <c r="L89">
        <v>186.68</v>
      </c>
      <c r="M89">
        <v>191.73</v>
      </c>
      <c r="N89">
        <v>196.91</v>
      </c>
      <c r="O89">
        <v>202.23</v>
      </c>
      <c r="P89">
        <v>0</v>
      </c>
      <c r="Q89" s="304">
        <v>2105</v>
      </c>
    </row>
    <row r="90" spans="2:17" hidden="1" outlineLevel="1">
      <c r="B90" t="s">
        <v>762</v>
      </c>
      <c r="C90" t="s">
        <v>676</v>
      </c>
      <c r="D90">
        <v>185.81</v>
      </c>
      <c r="E90">
        <v>190.83</v>
      </c>
      <c r="F90">
        <v>195.99</v>
      </c>
      <c r="G90">
        <v>201.28</v>
      </c>
      <c r="H90">
        <v>206.71</v>
      </c>
      <c r="I90">
        <v>212.29</v>
      </c>
      <c r="J90">
        <v>218.03</v>
      </c>
      <c r="K90">
        <v>223.91</v>
      </c>
      <c r="L90">
        <v>229.97</v>
      </c>
      <c r="M90">
        <v>236.18</v>
      </c>
      <c r="N90">
        <v>242.57</v>
      </c>
      <c r="O90">
        <v>249.12</v>
      </c>
      <c r="P90">
        <v>0</v>
      </c>
      <c r="Q90" s="304">
        <v>2593</v>
      </c>
    </row>
    <row r="91" spans="2:17" hidden="1" outlineLevel="1">
      <c r="B91" t="s">
        <v>763</v>
      </c>
      <c r="C91" t="s">
        <v>676</v>
      </c>
      <c r="D91">
        <v>92.95</v>
      </c>
      <c r="E91">
        <v>95.47</v>
      </c>
      <c r="F91">
        <v>98.04</v>
      </c>
      <c r="G91">
        <v>100.69</v>
      </c>
      <c r="H91">
        <v>103.41</v>
      </c>
      <c r="I91">
        <v>106.2</v>
      </c>
      <c r="J91">
        <v>109.07</v>
      </c>
      <c r="K91">
        <v>112.01</v>
      </c>
      <c r="L91">
        <v>115.04</v>
      </c>
      <c r="M91">
        <v>118.15</v>
      </c>
      <c r="N91">
        <v>121.35</v>
      </c>
      <c r="O91">
        <v>124.62</v>
      </c>
      <c r="P91">
        <v>0</v>
      </c>
      <c r="Q91" s="304">
        <v>1297</v>
      </c>
    </row>
    <row r="92" spans="2:17" hidden="1" outlineLevel="1">
      <c r="B92" t="s">
        <v>764</v>
      </c>
      <c r="C92" t="s">
        <v>676</v>
      </c>
      <c r="D92">
        <v>173.16</v>
      </c>
      <c r="E92">
        <v>177.84</v>
      </c>
      <c r="F92">
        <v>182.64</v>
      </c>
      <c r="G92">
        <v>187.57</v>
      </c>
      <c r="H92">
        <v>192.63</v>
      </c>
      <c r="I92">
        <v>197.83</v>
      </c>
      <c r="J92">
        <v>203.17</v>
      </c>
      <c r="K92">
        <v>208.66</v>
      </c>
      <c r="L92">
        <v>214.3</v>
      </c>
      <c r="M92">
        <v>220.1</v>
      </c>
      <c r="N92">
        <v>226.05</v>
      </c>
      <c r="O92">
        <v>232.15</v>
      </c>
      <c r="P92">
        <v>0</v>
      </c>
      <c r="Q92" s="304">
        <v>2416</v>
      </c>
    </row>
    <row r="93" spans="2:17" hidden="1" outlineLevel="1">
      <c r="B93" t="s">
        <v>765</v>
      </c>
      <c r="C93" t="s">
        <v>676</v>
      </c>
      <c r="D93">
        <v>132.91</v>
      </c>
      <c r="E93">
        <v>136.5</v>
      </c>
      <c r="F93">
        <v>140.19</v>
      </c>
      <c r="G93">
        <v>143.97999999999999</v>
      </c>
      <c r="H93">
        <v>147.86000000000001</v>
      </c>
      <c r="I93">
        <v>151.85</v>
      </c>
      <c r="J93">
        <v>155.94999999999999</v>
      </c>
      <c r="K93">
        <v>160.16</v>
      </c>
      <c r="L93">
        <v>164.49</v>
      </c>
      <c r="M93">
        <v>168.94</v>
      </c>
      <c r="N93">
        <v>173.51</v>
      </c>
      <c r="O93">
        <v>178.19</v>
      </c>
      <c r="P93">
        <v>0</v>
      </c>
      <c r="Q93" s="304">
        <v>1855</v>
      </c>
    </row>
    <row r="94" spans="2:17" hidden="1" outlineLevel="1">
      <c r="B94" t="s">
        <v>766</v>
      </c>
      <c r="C94" t="s">
        <v>676</v>
      </c>
      <c r="D94">
        <v>77.44</v>
      </c>
      <c r="E94">
        <v>79.540000000000006</v>
      </c>
      <c r="F94">
        <v>81.680000000000007</v>
      </c>
      <c r="G94">
        <v>83.89</v>
      </c>
      <c r="H94">
        <v>86.16</v>
      </c>
      <c r="I94">
        <v>88.48</v>
      </c>
      <c r="J94">
        <v>90.87</v>
      </c>
      <c r="K94">
        <v>93.32</v>
      </c>
      <c r="L94">
        <v>95.85</v>
      </c>
      <c r="M94">
        <v>98.44</v>
      </c>
      <c r="N94">
        <v>101.1</v>
      </c>
      <c r="O94">
        <v>103.83</v>
      </c>
      <c r="P94">
        <v>0</v>
      </c>
      <c r="Q94" s="304">
        <v>1081</v>
      </c>
    </row>
    <row r="95" spans="2:17" hidden="1" outlineLevel="1">
      <c r="B95" t="s">
        <v>767</v>
      </c>
      <c r="C95" t="s">
        <v>676</v>
      </c>
      <c r="D95">
        <v>119.3</v>
      </c>
      <c r="E95">
        <v>122.53</v>
      </c>
      <c r="F95">
        <v>125.84</v>
      </c>
      <c r="G95">
        <v>129.24</v>
      </c>
      <c r="H95">
        <v>132.72</v>
      </c>
      <c r="I95">
        <v>136.30000000000001</v>
      </c>
      <c r="J95">
        <v>139.99</v>
      </c>
      <c r="K95">
        <v>143.77000000000001</v>
      </c>
      <c r="L95">
        <v>147.65</v>
      </c>
      <c r="M95">
        <v>151.65</v>
      </c>
      <c r="N95">
        <v>155.75</v>
      </c>
      <c r="O95">
        <v>159.94999999999999</v>
      </c>
      <c r="P95">
        <v>0</v>
      </c>
      <c r="Q95" s="304">
        <v>1665</v>
      </c>
    </row>
    <row r="96" spans="2:17" hidden="1" outlineLevel="1">
      <c r="B96" t="s">
        <v>768</v>
      </c>
      <c r="C96" t="s">
        <v>676</v>
      </c>
      <c r="D96">
        <v>124.73</v>
      </c>
      <c r="E96">
        <v>128.1</v>
      </c>
      <c r="F96">
        <v>131.56</v>
      </c>
      <c r="G96">
        <v>135.12</v>
      </c>
      <c r="H96">
        <v>138.76</v>
      </c>
      <c r="I96">
        <v>142.5</v>
      </c>
      <c r="J96">
        <v>146.36000000000001</v>
      </c>
      <c r="K96">
        <v>150.31</v>
      </c>
      <c r="L96">
        <v>154.37</v>
      </c>
      <c r="M96">
        <v>158.54</v>
      </c>
      <c r="N96">
        <v>162.83000000000001</v>
      </c>
      <c r="O96">
        <v>167.23</v>
      </c>
      <c r="P96">
        <v>0</v>
      </c>
      <c r="Q96" s="304">
        <v>1740</v>
      </c>
    </row>
    <row r="97" spans="1:17" hidden="1" outlineLevel="1">
      <c r="B97" t="s">
        <v>769</v>
      </c>
      <c r="C97" t="s">
        <v>676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idden="1" outlineLevel="1">
      <c r="B98" t="s">
        <v>770</v>
      </c>
      <c r="C98" t="s">
        <v>676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idden="1" outlineLevel="1">
      <c r="B99" t="s">
        <v>771</v>
      </c>
      <c r="C99" t="s">
        <v>676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hidden="1" outlineLevel="1">
      <c r="B100" t="s">
        <v>772</v>
      </c>
      <c r="C100" t="s">
        <v>676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hidden="1" outlineLevel="1">
      <c r="B101" t="s">
        <v>773</v>
      </c>
      <c r="C101" t="s">
        <v>676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hidden="1" outlineLevel="1">
      <c r="B102" t="s">
        <v>774</v>
      </c>
      <c r="C102" t="s">
        <v>676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idden="1" outlineLevel="1">
      <c r="B103" t="s">
        <v>775</v>
      </c>
      <c r="C103" t="s">
        <v>676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hidden="1" outlineLevel="1">
      <c r="B104" t="s">
        <v>776</v>
      </c>
      <c r="C104" t="s">
        <v>676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idden="1" outlineLevel="1">
      <c r="B105" t="s">
        <v>777</v>
      </c>
      <c r="C105" t="s">
        <v>676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hidden="1" outlineLevel="1">
      <c r="B106" t="s">
        <v>778</v>
      </c>
      <c r="C106" t="s">
        <v>676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idden="1" outlineLevel="1">
      <c r="B107" t="s">
        <v>779</v>
      </c>
      <c r="C107" t="s">
        <v>676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hidden="1" outlineLevel="1">
      <c r="B108" t="s">
        <v>780</v>
      </c>
      <c r="C108" t="s">
        <v>676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idden="1" outlineLevel="1">
      <c r="B109" t="s">
        <v>781</v>
      </c>
      <c r="C109" t="s">
        <v>676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hidden="1" outlineLevel="1">
      <c r="B110" t="s">
        <v>782</v>
      </c>
      <c r="C110" t="s">
        <v>676</v>
      </c>
      <c r="D110">
        <v>96.39</v>
      </c>
      <c r="E110">
        <v>99</v>
      </c>
      <c r="F110">
        <v>101.67</v>
      </c>
      <c r="G110">
        <v>104.42</v>
      </c>
      <c r="H110">
        <v>107.23</v>
      </c>
      <c r="I110">
        <v>110.13</v>
      </c>
      <c r="J110">
        <v>113.1</v>
      </c>
      <c r="K110">
        <v>116.16</v>
      </c>
      <c r="L110">
        <v>119.3</v>
      </c>
      <c r="M110">
        <v>122.52</v>
      </c>
      <c r="N110">
        <v>125.83</v>
      </c>
      <c r="O110">
        <v>129.22999999999999</v>
      </c>
      <c r="P110">
        <v>0</v>
      </c>
      <c r="Q110" s="304">
        <v>1345</v>
      </c>
    </row>
    <row r="111" spans="1:17" collapsed="1">
      <c r="A111" t="s">
        <v>783</v>
      </c>
    </row>
    <row r="112" spans="1:17" hidden="1" outlineLevel="1">
      <c r="B112" t="s">
        <v>784</v>
      </c>
      <c r="C112" t="s">
        <v>676</v>
      </c>
      <c r="D112">
        <v>153.25</v>
      </c>
      <c r="E112">
        <v>157.38999999999999</v>
      </c>
      <c r="F112">
        <v>161.63999999999999</v>
      </c>
      <c r="G112">
        <v>166.01</v>
      </c>
      <c r="H112">
        <v>170.49</v>
      </c>
      <c r="I112">
        <v>175.09</v>
      </c>
      <c r="J112">
        <v>179.82</v>
      </c>
      <c r="K112">
        <v>184.68</v>
      </c>
      <c r="L112">
        <v>189.67</v>
      </c>
      <c r="M112">
        <v>194.8</v>
      </c>
      <c r="N112">
        <v>200.06</v>
      </c>
      <c r="O112">
        <v>205.46</v>
      </c>
      <c r="P112">
        <v>0</v>
      </c>
      <c r="Q112" s="304">
        <v>2138</v>
      </c>
    </row>
    <row r="113" spans="2:17" hidden="1" outlineLevel="1">
      <c r="B113" t="s">
        <v>785</v>
      </c>
      <c r="C113" t="s">
        <v>676</v>
      </c>
      <c r="D113">
        <v>92.95</v>
      </c>
      <c r="E113">
        <v>95.47</v>
      </c>
      <c r="F113">
        <v>98.04</v>
      </c>
      <c r="G113">
        <v>100.69</v>
      </c>
      <c r="H113">
        <v>103.41</v>
      </c>
      <c r="I113">
        <v>106.2</v>
      </c>
      <c r="J113">
        <v>109.07</v>
      </c>
      <c r="K113">
        <v>112.01</v>
      </c>
      <c r="L113">
        <v>115.04</v>
      </c>
      <c r="M113">
        <v>118.15</v>
      </c>
      <c r="N113">
        <v>121.35</v>
      </c>
      <c r="O113">
        <v>124.62</v>
      </c>
      <c r="P113">
        <v>0</v>
      </c>
      <c r="Q113" s="304">
        <v>1297</v>
      </c>
    </row>
    <row r="114" spans="2:17" hidden="1" outlineLevel="1">
      <c r="B114" t="s">
        <v>786</v>
      </c>
      <c r="C114" t="s">
        <v>676</v>
      </c>
      <c r="D114">
        <v>168.08</v>
      </c>
      <c r="E114">
        <v>172.62</v>
      </c>
      <c r="F114">
        <v>177.28</v>
      </c>
      <c r="G114">
        <v>182.07</v>
      </c>
      <c r="H114">
        <v>186.98</v>
      </c>
      <c r="I114">
        <v>192.02</v>
      </c>
      <c r="J114">
        <v>197.21</v>
      </c>
      <c r="K114">
        <v>202.54</v>
      </c>
      <c r="L114">
        <v>208.01</v>
      </c>
      <c r="M114">
        <v>213.64</v>
      </c>
      <c r="N114">
        <v>219.41</v>
      </c>
      <c r="O114">
        <v>225.34</v>
      </c>
      <c r="P114">
        <v>0</v>
      </c>
      <c r="Q114" s="304">
        <v>2345</v>
      </c>
    </row>
    <row r="115" spans="2:17" hidden="1" outlineLevel="1">
      <c r="B115" t="s">
        <v>787</v>
      </c>
      <c r="C115" t="s">
        <v>676</v>
      </c>
      <c r="D115">
        <v>92.95</v>
      </c>
      <c r="E115">
        <v>95.47</v>
      </c>
      <c r="F115">
        <v>98.04</v>
      </c>
      <c r="G115">
        <v>100.69</v>
      </c>
      <c r="H115">
        <v>103.41</v>
      </c>
      <c r="I115">
        <v>106.2</v>
      </c>
      <c r="J115">
        <v>109.07</v>
      </c>
      <c r="K115">
        <v>112.01</v>
      </c>
      <c r="L115">
        <v>115.04</v>
      </c>
      <c r="M115">
        <v>118.15</v>
      </c>
      <c r="N115">
        <v>121.35</v>
      </c>
      <c r="O115">
        <v>124.62</v>
      </c>
      <c r="P115">
        <v>0</v>
      </c>
      <c r="Q115" s="304">
        <v>1297</v>
      </c>
    </row>
    <row r="116" spans="2:17" hidden="1" outlineLevel="1">
      <c r="B116" t="s">
        <v>788</v>
      </c>
      <c r="C116" t="s">
        <v>676</v>
      </c>
      <c r="D116">
        <v>75.86</v>
      </c>
      <c r="E116">
        <v>77.91</v>
      </c>
      <c r="F116">
        <v>80.010000000000005</v>
      </c>
      <c r="G116">
        <v>82.17</v>
      </c>
      <c r="H116">
        <v>84.39</v>
      </c>
      <c r="I116">
        <v>86.67</v>
      </c>
      <c r="J116">
        <v>89.01</v>
      </c>
      <c r="K116">
        <v>91.41</v>
      </c>
      <c r="L116">
        <v>93.88</v>
      </c>
      <c r="M116">
        <v>96.42</v>
      </c>
      <c r="N116">
        <v>99.03</v>
      </c>
      <c r="O116">
        <v>101.7</v>
      </c>
      <c r="P116">
        <v>0</v>
      </c>
      <c r="Q116" s="304">
        <v>1058</v>
      </c>
    </row>
    <row r="117" spans="2:17" hidden="1" outlineLevel="1">
      <c r="B117" t="s">
        <v>789</v>
      </c>
      <c r="C117" t="s">
        <v>676</v>
      </c>
      <c r="D117">
        <v>213.39</v>
      </c>
      <c r="E117">
        <v>219.16</v>
      </c>
      <c r="F117">
        <v>225.07</v>
      </c>
      <c r="G117">
        <v>231.16</v>
      </c>
      <c r="H117">
        <v>237.39</v>
      </c>
      <c r="I117">
        <v>243.79</v>
      </c>
      <c r="J117">
        <v>250.38</v>
      </c>
      <c r="K117">
        <v>257.14999999999998</v>
      </c>
      <c r="L117">
        <v>264.10000000000002</v>
      </c>
      <c r="M117">
        <v>271.24</v>
      </c>
      <c r="N117">
        <v>278.57</v>
      </c>
      <c r="O117">
        <v>286.08999999999997</v>
      </c>
      <c r="P117">
        <v>0</v>
      </c>
      <c r="Q117" s="304">
        <v>2977</v>
      </c>
    </row>
    <row r="118" spans="2:17" hidden="1" outlineLevel="1">
      <c r="B118" t="s">
        <v>790</v>
      </c>
      <c r="C118" t="s">
        <v>676</v>
      </c>
      <c r="D118">
        <v>144.21</v>
      </c>
      <c r="E118">
        <v>148.11000000000001</v>
      </c>
      <c r="F118">
        <v>152.11000000000001</v>
      </c>
      <c r="G118">
        <v>156.22</v>
      </c>
      <c r="H118">
        <v>160.43</v>
      </c>
      <c r="I118">
        <v>164.76</v>
      </c>
      <c r="J118">
        <v>169.21</v>
      </c>
      <c r="K118">
        <v>173.78</v>
      </c>
      <c r="L118">
        <v>178.48</v>
      </c>
      <c r="M118">
        <v>183.3</v>
      </c>
      <c r="N118">
        <v>188.26</v>
      </c>
      <c r="O118">
        <v>193.34</v>
      </c>
      <c r="P118">
        <v>0</v>
      </c>
      <c r="Q118" s="304">
        <v>2012</v>
      </c>
    </row>
    <row r="119" spans="2:17" hidden="1" outlineLevel="1">
      <c r="B119" t="s">
        <v>791</v>
      </c>
      <c r="C119" t="s">
        <v>676</v>
      </c>
      <c r="D119">
        <v>186.02</v>
      </c>
      <c r="E119">
        <v>191.05</v>
      </c>
      <c r="F119">
        <v>196.21</v>
      </c>
      <c r="G119">
        <v>201.51</v>
      </c>
      <c r="H119">
        <v>206.94</v>
      </c>
      <c r="I119">
        <v>212.53</v>
      </c>
      <c r="J119">
        <v>218.27</v>
      </c>
      <c r="K119">
        <v>224.17</v>
      </c>
      <c r="L119">
        <v>230.22</v>
      </c>
      <c r="M119">
        <v>236.45</v>
      </c>
      <c r="N119">
        <v>242.84</v>
      </c>
      <c r="O119">
        <v>249.4</v>
      </c>
      <c r="P119">
        <v>0</v>
      </c>
      <c r="Q119" s="304">
        <v>2596</v>
      </c>
    </row>
    <row r="120" spans="2:17" hidden="1" outlineLevel="1">
      <c r="B120" t="s">
        <v>792</v>
      </c>
      <c r="C120" t="s">
        <v>676</v>
      </c>
      <c r="D120">
        <v>153.85</v>
      </c>
      <c r="E120">
        <v>158.01</v>
      </c>
      <c r="F120">
        <v>162.28</v>
      </c>
      <c r="G120">
        <v>166.66</v>
      </c>
      <c r="H120">
        <v>171.16</v>
      </c>
      <c r="I120">
        <v>175.77</v>
      </c>
      <c r="J120">
        <v>180.53</v>
      </c>
      <c r="K120">
        <v>185.4</v>
      </c>
      <c r="L120">
        <v>190.41</v>
      </c>
      <c r="M120">
        <v>195.56</v>
      </c>
      <c r="N120">
        <v>200.85</v>
      </c>
      <c r="O120">
        <v>206.27</v>
      </c>
      <c r="P120">
        <v>0</v>
      </c>
      <c r="Q120" s="304">
        <v>2147</v>
      </c>
    </row>
    <row r="121" spans="2:17" hidden="1" outlineLevel="1">
      <c r="B121" t="s">
        <v>793</v>
      </c>
      <c r="C121" t="s">
        <v>676</v>
      </c>
      <c r="D121">
        <v>129.88999999999999</v>
      </c>
      <c r="E121">
        <v>133.4</v>
      </c>
      <c r="F121">
        <v>137</v>
      </c>
      <c r="G121">
        <v>140.69999999999999</v>
      </c>
      <c r="H121">
        <v>144.5</v>
      </c>
      <c r="I121">
        <v>148.38999999999999</v>
      </c>
      <c r="J121">
        <v>152.41</v>
      </c>
      <c r="K121">
        <v>156.52000000000001</v>
      </c>
      <c r="L121">
        <v>160.75</v>
      </c>
      <c r="M121">
        <v>165.1</v>
      </c>
      <c r="N121">
        <v>169.56</v>
      </c>
      <c r="O121">
        <v>174.14</v>
      </c>
      <c r="P121">
        <v>0</v>
      </c>
      <c r="Q121" s="304">
        <v>1812</v>
      </c>
    </row>
    <row r="122" spans="2:17" hidden="1" outlineLevel="1">
      <c r="B122" t="s">
        <v>794</v>
      </c>
      <c r="C122" t="s">
        <v>676</v>
      </c>
      <c r="D122">
        <v>94.42</v>
      </c>
      <c r="E122">
        <v>96.98</v>
      </c>
      <c r="F122">
        <v>99.59</v>
      </c>
      <c r="G122">
        <v>102.29</v>
      </c>
      <c r="H122">
        <v>105.04</v>
      </c>
      <c r="I122">
        <v>107.88</v>
      </c>
      <c r="J122">
        <v>110.79</v>
      </c>
      <c r="K122">
        <v>113.79</v>
      </c>
      <c r="L122">
        <v>116.86</v>
      </c>
      <c r="M122">
        <v>120.02</v>
      </c>
      <c r="N122">
        <v>123.27</v>
      </c>
      <c r="O122">
        <v>126.59</v>
      </c>
      <c r="P122">
        <v>0</v>
      </c>
      <c r="Q122" s="304">
        <v>1318</v>
      </c>
    </row>
    <row r="123" spans="2:17" hidden="1" outlineLevel="1">
      <c r="B123" t="s">
        <v>795</v>
      </c>
      <c r="C123" t="s">
        <v>676</v>
      </c>
      <c r="D123">
        <v>157.21</v>
      </c>
      <c r="E123">
        <v>161.46</v>
      </c>
      <c r="F123">
        <v>165.82</v>
      </c>
      <c r="G123">
        <v>170.3</v>
      </c>
      <c r="H123">
        <v>174.89</v>
      </c>
      <c r="I123">
        <v>179.61</v>
      </c>
      <c r="J123">
        <v>184.46</v>
      </c>
      <c r="K123">
        <v>189.44</v>
      </c>
      <c r="L123">
        <v>194.57</v>
      </c>
      <c r="M123">
        <v>199.83</v>
      </c>
      <c r="N123">
        <v>205.23</v>
      </c>
      <c r="O123">
        <v>210.77</v>
      </c>
      <c r="P123">
        <v>0</v>
      </c>
      <c r="Q123" s="304">
        <v>2194</v>
      </c>
    </row>
    <row r="124" spans="2:17" hidden="1" outlineLevel="1">
      <c r="B124" t="s">
        <v>796</v>
      </c>
      <c r="C124" t="s">
        <v>676</v>
      </c>
      <c r="D124">
        <v>88.13</v>
      </c>
      <c r="E124">
        <v>90.52</v>
      </c>
      <c r="F124">
        <v>92.96</v>
      </c>
      <c r="G124">
        <v>95.47</v>
      </c>
      <c r="H124">
        <v>98.05</v>
      </c>
      <c r="I124">
        <v>100.69</v>
      </c>
      <c r="J124">
        <v>103.41</v>
      </c>
      <c r="K124">
        <v>106.21</v>
      </c>
      <c r="L124">
        <v>109.08</v>
      </c>
      <c r="M124">
        <v>112.03</v>
      </c>
      <c r="N124">
        <v>115.05</v>
      </c>
      <c r="O124">
        <v>118.16</v>
      </c>
      <c r="P124">
        <v>0</v>
      </c>
      <c r="Q124" s="304">
        <v>1230</v>
      </c>
    </row>
    <row r="125" spans="2:17" hidden="1" outlineLevel="1">
      <c r="B125" t="s">
        <v>797</v>
      </c>
      <c r="C125" t="s">
        <v>676</v>
      </c>
      <c r="D125">
        <v>142.55000000000001</v>
      </c>
      <c r="E125">
        <v>146.41</v>
      </c>
      <c r="F125">
        <v>150.36000000000001</v>
      </c>
      <c r="G125">
        <v>154.41999999999999</v>
      </c>
      <c r="H125">
        <v>158.59</v>
      </c>
      <c r="I125">
        <v>162.86000000000001</v>
      </c>
      <c r="J125">
        <v>167.27</v>
      </c>
      <c r="K125">
        <v>171.78</v>
      </c>
      <c r="L125">
        <v>176.43</v>
      </c>
      <c r="M125">
        <v>181.2</v>
      </c>
      <c r="N125">
        <v>186.1</v>
      </c>
      <c r="O125">
        <v>191.12</v>
      </c>
      <c r="P125">
        <v>0</v>
      </c>
      <c r="Q125" s="304">
        <v>1989</v>
      </c>
    </row>
    <row r="126" spans="2:17" hidden="1" outlineLevel="1">
      <c r="B126" t="s">
        <v>798</v>
      </c>
      <c r="C126" t="s">
        <v>676</v>
      </c>
      <c r="D126">
        <v>180.42</v>
      </c>
      <c r="E126">
        <v>185.3</v>
      </c>
      <c r="F126">
        <v>190.3</v>
      </c>
      <c r="G126">
        <v>195.44</v>
      </c>
      <c r="H126">
        <v>200.71</v>
      </c>
      <c r="I126">
        <v>206.13</v>
      </c>
      <c r="J126">
        <v>211.7</v>
      </c>
      <c r="K126">
        <v>217.42</v>
      </c>
      <c r="L126">
        <v>223.29</v>
      </c>
      <c r="M126">
        <v>229.33</v>
      </c>
      <c r="N126">
        <v>235.53</v>
      </c>
      <c r="O126">
        <v>241.89</v>
      </c>
      <c r="P126">
        <v>0</v>
      </c>
      <c r="Q126" s="304">
        <v>2517</v>
      </c>
    </row>
    <row r="127" spans="2:17" hidden="1" outlineLevel="1">
      <c r="B127" t="s">
        <v>799</v>
      </c>
      <c r="C127" t="s">
        <v>676</v>
      </c>
      <c r="D127">
        <v>92.95</v>
      </c>
      <c r="E127">
        <v>95.47</v>
      </c>
      <c r="F127">
        <v>98.04</v>
      </c>
      <c r="G127">
        <v>100.69</v>
      </c>
      <c r="H127">
        <v>103.41</v>
      </c>
      <c r="I127">
        <v>106.2</v>
      </c>
      <c r="J127">
        <v>109.07</v>
      </c>
      <c r="K127">
        <v>112.01</v>
      </c>
      <c r="L127">
        <v>115.04</v>
      </c>
      <c r="M127">
        <v>118.15</v>
      </c>
      <c r="N127">
        <v>121.35</v>
      </c>
      <c r="O127">
        <v>124.62</v>
      </c>
      <c r="P127">
        <v>0</v>
      </c>
      <c r="Q127" s="304">
        <v>1297</v>
      </c>
    </row>
    <row r="128" spans="2:17" hidden="1" outlineLevel="1">
      <c r="B128" t="s">
        <v>800</v>
      </c>
      <c r="C128" t="s">
        <v>676</v>
      </c>
      <c r="D128">
        <v>92.95</v>
      </c>
      <c r="E128">
        <v>95.47</v>
      </c>
      <c r="F128">
        <v>98.04</v>
      </c>
      <c r="G128">
        <v>100.69</v>
      </c>
      <c r="H128">
        <v>103.41</v>
      </c>
      <c r="I128">
        <v>106.2</v>
      </c>
      <c r="J128">
        <v>109.07</v>
      </c>
      <c r="K128">
        <v>112.01</v>
      </c>
      <c r="L128">
        <v>115.04</v>
      </c>
      <c r="M128">
        <v>118.15</v>
      </c>
      <c r="N128">
        <v>121.35</v>
      </c>
      <c r="O128">
        <v>124.62</v>
      </c>
      <c r="P128">
        <v>0</v>
      </c>
      <c r="Q128" s="304">
        <v>1297</v>
      </c>
    </row>
    <row r="129" spans="2:17" hidden="1" outlineLevel="1">
      <c r="B129" t="s">
        <v>801</v>
      </c>
      <c r="C129" t="s">
        <v>676</v>
      </c>
      <c r="D129">
        <v>159.01</v>
      </c>
      <c r="E129">
        <v>163.31</v>
      </c>
      <c r="F129">
        <v>167.72</v>
      </c>
      <c r="G129">
        <v>172.25</v>
      </c>
      <c r="H129">
        <v>176.9</v>
      </c>
      <c r="I129">
        <v>181.67</v>
      </c>
      <c r="J129">
        <v>186.58</v>
      </c>
      <c r="K129">
        <v>191.62</v>
      </c>
      <c r="L129">
        <v>196.8</v>
      </c>
      <c r="M129">
        <v>202.12</v>
      </c>
      <c r="N129">
        <v>207.58</v>
      </c>
      <c r="O129">
        <v>213.18</v>
      </c>
      <c r="P129">
        <v>0</v>
      </c>
      <c r="Q129" s="304">
        <v>2219</v>
      </c>
    </row>
    <row r="130" spans="2:17" hidden="1" outlineLevel="1">
      <c r="B130" t="s">
        <v>802</v>
      </c>
      <c r="C130" t="s">
        <v>676</v>
      </c>
      <c r="D130">
        <v>299.85000000000002</v>
      </c>
      <c r="E130">
        <v>307.95</v>
      </c>
      <c r="F130">
        <v>316.27</v>
      </c>
      <c r="G130">
        <v>324.82</v>
      </c>
      <c r="H130">
        <v>333.58</v>
      </c>
      <c r="I130">
        <v>342.57</v>
      </c>
      <c r="J130">
        <v>351.83</v>
      </c>
      <c r="K130">
        <v>361.33</v>
      </c>
      <c r="L130">
        <v>371.1</v>
      </c>
      <c r="M130">
        <v>381.14</v>
      </c>
      <c r="N130">
        <v>391.44</v>
      </c>
      <c r="O130">
        <v>402.01</v>
      </c>
      <c r="P130">
        <v>0</v>
      </c>
      <c r="Q130" s="304">
        <v>4184</v>
      </c>
    </row>
    <row r="131" spans="2:17" hidden="1" outlineLevel="1">
      <c r="B131" t="s">
        <v>803</v>
      </c>
      <c r="C131" t="s">
        <v>676</v>
      </c>
      <c r="D131">
        <v>239.88</v>
      </c>
      <c r="E131">
        <v>246.36</v>
      </c>
      <c r="F131">
        <v>253.01</v>
      </c>
      <c r="G131">
        <v>259.85000000000002</v>
      </c>
      <c r="H131">
        <v>266.86</v>
      </c>
      <c r="I131">
        <v>274.06</v>
      </c>
      <c r="J131">
        <v>281.47000000000003</v>
      </c>
      <c r="K131">
        <v>289.07</v>
      </c>
      <c r="L131">
        <v>296.88</v>
      </c>
      <c r="M131">
        <v>304.91000000000003</v>
      </c>
      <c r="N131">
        <v>313.14999999999998</v>
      </c>
      <c r="O131">
        <v>321.61</v>
      </c>
      <c r="P131">
        <v>0</v>
      </c>
      <c r="Q131" s="304">
        <v>3347</v>
      </c>
    </row>
    <row r="132" spans="2:17" hidden="1" outlineLevel="1">
      <c r="B132" t="s">
        <v>804</v>
      </c>
      <c r="C132" t="s">
        <v>676</v>
      </c>
      <c r="D132">
        <v>140.24</v>
      </c>
      <c r="E132">
        <v>144.03</v>
      </c>
      <c r="F132">
        <v>147.91999999999999</v>
      </c>
      <c r="G132">
        <v>151.91999999999999</v>
      </c>
      <c r="H132">
        <v>156.02000000000001</v>
      </c>
      <c r="I132">
        <v>160.22</v>
      </c>
      <c r="J132">
        <v>164.56</v>
      </c>
      <c r="K132">
        <v>169</v>
      </c>
      <c r="L132">
        <v>173.57</v>
      </c>
      <c r="M132">
        <v>178.26</v>
      </c>
      <c r="N132">
        <v>183.08</v>
      </c>
      <c r="O132">
        <v>188.02</v>
      </c>
      <c r="P132">
        <v>0</v>
      </c>
      <c r="Q132" s="304">
        <v>1957</v>
      </c>
    </row>
    <row r="133" spans="2:17" hidden="1" outlineLevel="1">
      <c r="B133" t="s">
        <v>805</v>
      </c>
      <c r="C133" t="s">
        <v>676</v>
      </c>
      <c r="D133">
        <v>92.95</v>
      </c>
      <c r="E133">
        <v>95.47</v>
      </c>
      <c r="F133">
        <v>98.04</v>
      </c>
      <c r="G133">
        <v>100.69</v>
      </c>
      <c r="H133">
        <v>103.41</v>
      </c>
      <c r="I133">
        <v>106.2</v>
      </c>
      <c r="J133">
        <v>109.07</v>
      </c>
      <c r="K133">
        <v>112.01</v>
      </c>
      <c r="L133">
        <v>115.04</v>
      </c>
      <c r="M133">
        <v>118.15</v>
      </c>
      <c r="N133">
        <v>121.35</v>
      </c>
      <c r="O133">
        <v>124.62</v>
      </c>
      <c r="P133">
        <v>0</v>
      </c>
      <c r="Q133" s="304">
        <v>1297</v>
      </c>
    </row>
    <row r="134" spans="2:17" hidden="1" outlineLevel="1">
      <c r="B134" t="s">
        <v>806</v>
      </c>
      <c r="C134" t="s">
        <v>676</v>
      </c>
      <c r="D134">
        <v>92.95</v>
      </c>
      <c r="E134">
        <v>95.47</v>
      </c>
      <c r="F134">
        <v>98.04</v>
      </c>
      <c r="G134">
        <v>100.69</v>
      </c>
      <c r="H134">
        <v>103.41</v>
      </c>
      <c r="I134">
        <v>106.2</v>
      </c>
      <c r="J134">
        <v>109.07</v>
      </c>
      <c r="K134">
        <v>112.01</v>
      </c>
      <c r="L134">
        <v>115.04</v>
      </c>
      <c r="M134">
        <v>118.15</v>
      </c>
      <c r="N134">
        <v>121.35</v>
      </c>
      <c r="O134">
        <v>124.62</v>
      </c>
      <c r="P134">
        <v>0</v>
      </c>
      <c r="Q134" s="304">
        <v>1297</v>
      </c>
    </row>
    <row r="135" spans="2:17" hidden="1" outlineLevel="1">
      <c r="B135" t="s">
        <v>807</v>
      </c>
      <c r="C135" t="s">
        <v>676</v>
      </c>
      <c r="D135">
        <v>150.84</v>
      </c>
      <c r="E135">
        <v>154.91</v>
      </c>
      <c r="F135">
        <v>159.1</v>
      </c>
      <c r="G135">
        <v>163.4</v>
      </c>
      <c r="H135">
        <v>167.8</v>
      </c>
      <c r="I135">
        <v>172.33</v>
      </c>
      <c r="J135">
        <v>176.99</v>
      </c>
      <c r="K135">
        <v>181.77</v>
      </c>
      <c r="L135">
        <v>186.68</v>
      </c>
      <c r="M135">
        <v>191.73</v>
      </c>
      <c r="N135">
        <v>196.91</v>
      </c>
      <c r="O135">
        <v>202.23</v>
      </c>
      <c r="P135">
        <v>0</v>
      </c>
      <c r="Q135" s="304">
        <v>2105</v>
      </c>
    </row>
    <row r="136" spans="2:17" hidden="1" outlineLevel="1">
      <c r="B136" t="s">
        <v>808</v>
      </c>
      <c r="C136" t="s">
        <v>676</v>
      </c>
      <c r="D136">
        <v>185.81</v>
      </c>
      <c r="E136">
        <v>190.83</v>
      </c>
      <c r="F136">
        <v>195.99</v>
      </c>
      <c r="G136">
        <v>201.28</v>
      </c>
      <c r="H136">
        <v>206.71</v>
      </c>
      <c r="I136">
        <v>212.29</v>
      </c>
      <c r="J136">
        <v>218.03</v>
      </c>
      <c r="K136">
        <v>223.91</v>
      </c>
      <c r="L136">
        <v>229.97</v>
      </c>
      <c r="M136">
        <v>236.18</v>
      </c>
      <c r="N136">
        <v>242.57</v>
      </c>
      <c r="O136">
        <v>249.12</v>
      </c>
      <c r="P136">
        <v>0</v>
      </c>
      <c r="Q136" s="304">
        <v>2593</v>
      </c>
    </row>
    <row r="137" spans="2:17" hidden="1" outlineLevel="1">
      <c r="B137" t="s">
        <v>809</v>
      </c>
      <c r="C137" t="s">
        <v>676</v>
      </c>
      <c r="D137">
        <v>92.95</v>
      </c>
      <c r="E137">
        <v>95.47</v>
      </c>
      <c r="F137">
        <v>98.04</v>
      </c>
      <c r="G137">
        <v>100.69</v>
      </c>
      <c r="H137">
        <v>103.41</v>
      </c>
      <c r="I137">
        <v>106.2</v>
      </c>
      <c r="J137">
        <v>109.07</v>
      </c>
      <c r="K137">
        <v>112.01</v>
      </c>
      <c r="L137">
        <v>115.04</v>
      </c>
      <c r="M137">
        <v>118.15</v>
      </c>
      <c r="N137">
        <v>121.35</v>
      </c>
      <c r="O137">
        <v>124.62</v>
      </c>
      <c r="P137">
        <v>0</v>
      </c>
      <c r="Q137" s="304">
        <v>1297</v>
      </c>
    </row>
    <row r="138" spans="2:17" hidden="1" outlineLevel="1">
      <c r="B138" t="s">
        <v>810</v>
      </c>
      <c r="C138" t="s">
        <v>676</v>
      </c>
      <c r="D138">
        <v>173.16</v>
      </c>
      <c r="E138">
        <v>177.84</v>
      </c>
      <c r="F138">
        <v>182.64</v>
      </c>
      <c r="G138">
        <v>187.57</v>
      </c>
      <c r="H138">
        <v>192.63</v>
      </c>
      <c r="I138">
        <v>197.83</v>
      </c>
      <c r="J138">
        <v>203.17</v>
      </c>
      <c r="K138">
        <v>208.66</v>
      </c>
      <c r="L138">
        <v>214.3</v>
      </c>
      <c r="M138">
        <v>220.1</v>
      </c>
      <c r="N138">
        <v>226.05</v>
      </c>
      <c r="O138">
        <v>232.15</v>
      </c>
      <c r="P138">
        <v>0</v>
      </c>
      <c r="Q138" s="304">
        <v>2416</v>
      </c>
    </row>
    <row r="139" spans="2:17" hidden="1" outlineLevel="1">
      <c r="B139" t="s">
        <v>811</v>
      </c>
      <c r="C139" t="s">
        <v>676</v>
      </c>
      <c r="D139">
        <v>119.3</v>
      </c>
      <c r="E139">
        <v>122.53</v>
      </c>
      <c r="F139">
        <v>125.84</v>
      </c>
      <c r="G139">
        <v>129.24</v>
      </c>
      <c r="H139">
        <v>132.72</v>
      </c>
      <c r="I139">
        <v>136.30000000000001</v>
      </c>
      <c r="J139">
        <v>139.99</v>
      </c>
      <c r="K139">
        <v>143.77000000000001</v>
      </c>
      <c r="L139">
        <v>147.65</v>
      </c>
      <c r="M139">
        <v>151.65</v>
      </c>
      <c r="N139">
        <v>155.75</v>
      </c>
      <c r="O139">
        <v>159.94999999999999</v>
      </c>
      <c r="P139">
        <v>0</v>
      </c>
      <c r="Q139" s="304">
        <v>1665</v>
      </c>
    </row>
    <row r="140" spans="2:17" hidden="1" outlineLevel="1">
      <c r="B140" t="s">
        <v>812</v>
      </c>
      <c r="C140" t="s">
        <v>676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2:17" hidden="1" outlineLevel="1">
      <c r="B141" t="s">
        <v>813</v>
      </c>
      <c r="C141" t="s">
        <v>676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2:17" hidden="1" outlineLevel="1">
      <c r="B142" t="s">
        <v>814</v>
      </c>
      <c r="C142" t="s">
        <v>676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2:17" hidden="1" outlineLevel="1">
      <c r="B143" t="s">
        <v>815</v>
      </c>
      <c r="C143" t="s">
        <v>676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2:17" hidden="1" outlineLevel="1">
      <c r="B144" t="s">
        <v>816</v>
      </c>
      <c r="C144" t="s">
        <v>676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idden="1" outlineLevel="1">
      <c r="B145" t="s">
        <v>817</v>
      </c>
      <c r="C145" t="s">
        <v>676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idden="1" outlineLevel="1">
      <c r="B146" t="s">
        <v>818</v>
      </c>
      <c r="C146" t="s">
        <v>676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hidden="1" outlineLevel="1">
      <c r="B147" t="s">
        <v>819</v>
      </c>
      <c r="C147" t="s">
        <v>676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collapsed="1">
      <c r="A148" t="s">
        <v>820</v>
      </c>
    </row>
    <row r="149" spans="1:17" hidden="1" outlineLevel="1">
      <c r="B149" t="s">
        <v>821</v>
      </c>
      <c r="C149" t="s">
        <v>676</v>
      </c>
      <c r="D149">
        <v>97.17</v>
      </c>
      <c r="E149">
        <v>99.79</v>
      </c>
      <c r="F149">
        <v>102.49</v>
      </c>
      <c r="G149">
        <v>105.26</v>
      </c>
      <c r="H149">
        <v>108.1</v>
      </c>
      <c r="I149">
        <v>111.01</v>
      </c>
      <c r="J149">
        <v>114.01</v>
      </c>
      <c r="K149">
        <v>117.09</v>
      </c>
      <c r="L149">
        <v>120.26</v>
      </c>
      <c r="M149">
        <v>123.51</v>
      </c>
      <c r="N149">
        <v>126.85</v>
      </c>
      <c r="O149">
        <v>130.27000000000001</v>
      </c>
      <c r="P149">
        <v>0</v>
      </c>
      <c r="Q149" s="304">
        <v>1356</v>
      </c>
    </row>
    <row r="150" spans="1:17" hidden="1" outlineLevel="1">
      <c r="B150" t="s">
        <v>822</v>
      </c>
      <c r="C150" t="s">
        <v>676</v>
      </c>
      <c r="D150">
        <v>59.73</v>
      </c>
      <c r="E150">
        <v>61.35</v>
      </c>
      <c r="F150">
        <v>63</v>
      </c>
      <c r="G150">
        <v>64.7</v>
      </c>
      <c r="H150">
        <v>66.45</v>
      </c>
      <c r="I150">
        <v>68.239999999999995</v>
      </c>
      <c r="J150">
        <v>70.09</v>
      </c>
      <c r="K150">
        <v>71.98</v>
      </c>
      <c r="L150">
        <v>73.92</v>
      </c>
      <c r="M150">
        <v>75.92</v>
      </c>
      <c r="N150">
        <v>77.98</v>
      </c>
      <c r="O150">
        <v>80.08</v>
      </c>
      <c r="P150">
        <v>0</v>
      </c>
      <c r="Q150">
        <v>833</v>
      </c>
    </row>
    <row r="151" spans="1:17" hidden="1" outlineLevel="1">
      <c r="B151" t="s">
        <v>823</v>
      </c>
      <c r="C151" t="s">
        <v>676</v>
      </c>
      <c r="D151">
        <v>91.13</v>
      </c>
      <c r="E151">
        <v>93.59</v>
      </c>
      <c r="F151">
        <v>96.12</v>
      </c>
      <c r="G151">
        <v>98.72</v>
      </c>
      <c r="H151">
        <v>101.38</v>
      </c>
      <c r="I151">
        <v>104.12</v>
      </c>
      <c r="J151">
        <v>106.93</v>
      </c>
      <c r="K151">
        <v>109.82</v>
      </c>
      <c r="L151">
        <v>112.79</v>
      </c>
      <c r="M151">
        <v>115.84</v>
      </c>
      <c r="N151">
        <v>118.97</v>
      </c>
      <c r="O151">
        <v>122.18</v>
      </c>
      <c r="P151">
        <v>0</v>
      </c>
      <c r="Q151" s="304">
        <v>1272</v>
      </c>
    </row>
    <row r="152" spans="1:17" hidden="1" outlineLevel="1">
      <c r="B152" t="s">
        <v>824</v>
      </c>
      <c r="C152" t="s">
        <v>676</v>
      </c>
      <c r="D152">
        <v>59.55</v>
      </c>
      <c r="E152">
        <v>61.16</v>
      </c>
      <c r="F152">
        <v>62.81</v>
      </c>
      <c r="G152">
        <v>64.5</v>
      </c>
      <c r="H152">
        <v>66.239999999999995</v>
      </c>
      <c r="I152">
        <v>68.03</v>
      </c>
      <c r="J152">
        <v>69.87</v>
      </c>
      <c r="K152">
        <v>71.760000000000005</v>
      </c>
      <c r="L152">
        <v>73.7</v>
      </c>
      <c r="M152">
        <v>75.69</v>
      </c>
      <c r="N152">
        <v>77.73</v>
      </c>
      <c r="O152">
        <v>79.83</v>
      </c>
      <c r="P152">
        <v>0</v>
      </c>
      <c r="Q152">
        <v>831</v>
      </c>
    </row>
    <row r="153" spans="1:17" hidden="1" outlineLevel="1">
      <c r="B153" t="s">
        <v>825</v>
      </c>
      <c r="C153" t="s">
        <v>676</v>
      </c>
      <c r="D153">
        <v>53.52</v>
      </c>
      <c r="E153">
        <v>54.96</v>
      </c>
      <c r="F153">
        <v>56.45</v>
      </c>
      <c r="G153">
        <v>57.97</v>
      </c>
      <c r="H153">
        <v>59.53</v>
      </c>
      <c r="I153">
        <v>61.14</v>
      </c>
      <c r="J153">
        <v>62.79</v>
      </c>
      <c r="K153">
        <v>64.489999999999995</v>
      </c>
      <c r="L153">
        <v>66.23</v>
      </c>
      <c r="M153">
        <v>68.02</v>
      </c>
      <c r="N153">
        <v>69.86</v>
      </c>
      <c r="O153">
        <v>71.75</v>
      </c>
      <c r="P153">
        <v>0</v>
      </c>
      <c r="Q153">
        <v>747</v>
      </c>
    </row>
    <row r="154" spans="1:17" hidden="1" outlineLevel="1">
      <c r="B154" t="s">
        <v>826</v>
      </c>
      <c r="C154" t="s">
        <v>676</v>
      </c>
      <c r="D154">
        <v>39.26</v>
      </c>
      <c r="E154">
        <v>40.32</v>
      </c>
      <c r="F154">
        <v>41.41</v>
      </c>
      <c r="G154">
        <v>42.53</v>
      </c>
      <c r="H154">
        <v>43.68</v>
      </c>
      <c r="I154">
        <v>44.85</v>
      </c>
      <c r="J154">
        <v>46.07</v>
      </c>
      <c r="K154">
        <v>47.31</v>
      </c>
      <c r="L154">
        <v>48.59</v>
      </c>
      <c r="M154">
        <v>49.9</v>
      </c>
      <c r="N154">
        <v>51.25</v>
      </c>
      <c r="O154">
        <v>52.64</v>
      </c>
      <c r="P154">
        <v>0</v>
      </c>
      <c r="Q154">
        <v>548</v>
      </c>
    </row>
    <row r="155" spans="1:17" hidden="1" outlineLevel="1">
      <c r="B155" t="s">
        <v>827</v>
      </c>
      <c r="C155" t="s">
        <v>676</v>
      </c>
      <c r="D155">
        <v>109.44</v>
      </c>
      <c r="E155">
        <v>112.4</v>
      </c>
      <c r="F155">
        <v>115.44</v>
      </c>
      <c r="G155">
        <v>118.56</v>
      </c>
      <c r="H155">
        <v>121.75</v>
      </c>
      <c r="I155">
        <v>125.04</v>
      </c>
      <c r="J155">
        <v>128.41999999999999</v>
      </c>
      <c r="K155">
        <v>131.88999999999999</v>
      </c>
      <c r="L155">
        <v>135.44999999999999</v>
      </c>
      <c r="M155">
        <v>139.11000000000001</v>
      </c>
      <c r="N155">
        <v>142.87</v>
      </c>
      <c r="O155">
        <v>146.72999999999999</v>
      </c>
      <c r="P155">
        <v>0</v>
      </c>
      <c r="Q155" s="304">
        <v>1527</v>
      </c>
    </row>
    <row r="156" spans="1:17" hidden="1" outlineLevel="1">
      <c r="B156" t="s">
        <v>828</v>
      </c>
      <c r="C156" t="s">
        <v>676</v>
      </c>
      <c r="D156">
        <v>53.35</v>
      </c>
      <c r="E156">
        <v>54.79</v>
      </c>
      <c r="F156">
        <v>56.27</v>
      </c>
      <c r="G156">
        <v>57.79</v>
      </c>
      <c r="H156">
        <v>59.35</v>
      </c>
      <c r="I156">
        <v>60.95</v>
      </c>
      <c r="J156">
        <v>62.6</v>
      </c>
      <c r="K156">
        <v>64.290000000000006</v>
      </c>
      <c r="L156">
        <v>66.03</v>
      </c>
      <c r="M156">
        <v>67.81</v>
      </c>
      <c r="N156">
        <v>69.64</v>
      </c>
      <c r="O156">
        <v>71.52</v>
      </c>
      <c r="P156">
        <v>0</v>
      </c>
      <c r="Q156">
        <v>744</v>
      </c>
    </row>
    <row r="157" spans="1:17" hidden="1" outlineLevel="1">
      <c r="B157" t="s">
        <v>829</v>
      </c>
      <c r="C157" t="s">
        <v>676</v>
      </c>
      <c r="D157">
        <v>69.78</v>
      </c>
      <c r="E157">
        <v>71.66</v>
      </c>
      <c r="F157">
        <v>73.599999999999994</v>
      </c>
      <c r="G157">
        <v>75.59</v>
      </c>
      <c r="H157">
        <v>77.63</v>
      </c>
      <c r="I157">
        <v>79.72</v>
      </c>
      <c r="J157">
        <v>81.87</v>
      </c>
      <c r="K157">
        <v>84.08</v>
      </c>
      <c r="L157">
        <v>86.36</v>
      </c>
      <c r="M157">
        <v>88.69</v>
      </c>
      <c r="N157">
        <v>91.09</v>
      </c>
      <c r="O157">
        <v>93.55</v>
      </c>
      <c r="P157">
        <v>0</v>
      </c>
      <c r="Q157">
        <v>974</v>
      </c>
    </row>
    <row r="158" spans="1:17" hidden="1" outlineLevel="1">
      <c r="B158" t="s">
        <v>830</v>
      </c>
      <c r="C158" t="s">
        <v>676</v>
      </c>
      <c r="D158">
        <v>102.27</v>
      </c>
      <c r="E158">
        <v>105.04</v>
      </c>
      <c r="F158">
        <v>107.87</v>
      </c>
      <c r="G158">
        <v>110.79</v>
      </c>
      <c r="H158">
        <v>113.78</v>
      </c>
      <c r="I158">
        <v>116.85</v>
      </c>
      <c r="J158">
        <v>120.01</v>
      </c>
      <c r="K158">
        <v>123.25</v>
      </c>
      <c r="L158">
        <v>126.58</v>
      </c>
      <c r="M158">
        <v>130</v>
      </c>
      <c r="N158">
        <v>133.51</v>
      </c>
      <c r="O158">
        <v>137.12</v>
      </c>
      <c r="P158">
        <v>0</v>
      </c>
      <c r="Q158" s="304">
        <v>1427</v>
      </c>
    </row>
    <row r="159" spans="1:17" hidden="1" outlineLevel="1">
      <c r="B159" t="s">
        <v>831</v>
      </c>
      <c r="C159" t="s">
        <v>676</v>
      </c>
      <c r="D159">
        <v>47.92</v>
      </c>
      <c r="E159">
        <v>49.22</v>
      </c>
      <c r="F159">
        <v>50.55</v>
      </c>
      <c r="G159">
        <v>51.91</v>
      </c>
      <c r="H159">
        <v>53.31</v>
      </c>
      <c r="I159">
        <v>54.75</v>
      </c>
      <c r="J159">
        <v>56.23</v>
      </c>
      <c r="K159">
        <v>57.75</v>
      </c>
      <c r="L159">
        <v>59.31</v>
      </c>
      <c r="M159">
        <v>60.91</v>
      </c>
      <c r="N159">
        <v>62.56</v>
      </c>
      <c r="O159">
        <v>64.25</v>
      </c>
      <c r="P159">
        <v>0</v>
      </c>
      <c r="Q159">
        <v>669</v>
      </c>
    </row>
    <row r="160" spans="1:17" hidden="1" outlineLevel="1">
      <c r="B160" t="s">
        <v>832</v>
      </c>
      <c r="C160" t="s">
        <v>676</v>
      </c>
      <c r="D160">
        <v>74.349999999999994</v>
      </c>
      <c r="E160">
        <v>76.36</v>
      </c>
      <c r="F160">
        <v>78.42</v>
      </c>
      <c r="G160">
        <v>80.540000000000006</v>
      </c>
      <c r="H160">
        <v>82.71</v>
      </c>
      <c r="I160">
        <v>84.94</v>
      </c>
      <c r="J160">
        <v>87.24</v>
      </c>
      <c r="K160">
        <v>89.6</v>
      </c>
      <c r="L160">
        <v>92.02</v>
      </c>
      <c r="M160">
        <v>94.51</v>
      </c>
      <c r="N160">
        <v>97.06</v>
      </c>
      <c r="O160">
        <v>99.68</v>
      </c>
      <c r="P160">
        <v>0</v>
      </c>
      <c r="Q160" s="304">
        <v>1037</v>
      </c>
    </row>
    <row r="161" spans="1:17" hidden="1" outlineLevel="1">
      <c r="B161" t="s">
        <v>833</v>
      </c>
      <c r="C161" t="s">
        <v>676</v>
      </c>
      <c r="D161">
        <v>117.13</v>
      </c>
      <c r="E161">
        <v>120.29</v>
      </c>
      <c r="F161">
        <v>123.54</v>
      </c>
      <c r="G161">
        <v>126.88</v>
      </c>
      <c r="H161">
        <v>130.30000000000001</v>
      </c>
      <c r="I161">
        <v>133.81</v>
      </c>
      <c r="J161">
        <v>137.43</v>
      </c>
      <c r="K161">
        <v>141.13999999999999</v>
      </c>
      <c r="L161">
        <v>144.96</v>
      </c>
      <c r="M161">
        <v>148.88</v>
      </c>
      <c r="N161">
        <v>152.9</v>
      </c>
      <c r="O161">
        <v>157.03</v>
      </c>
      <c r="P161">
        <v>0</v>
      </c>
      <c r="Q161" s="304">
        <v>1634</v>
      </c>
    </row>
    <row r="162" spans="1:17" hidden="1" outlineLevel="1">
      <c r="B162" t="s">
        <v>834</v>
      </c>
      <c r="C162" t="s">
        <v>676</v>
      </c>
      <c r="D162">
        <v>71.709999999999994</v>
      </c>
      <c r="E162">
        <v>73.64</v>
      </c>
      <c r="F162">
        <v>75.63</v>
      </c>
      <c r="G162">
        <v>77.680000000000007</v>
      </c>
      <c r="H162">
        <v>79.77</v>
      </c>
      <c r="I162">
        <v>81.92</v>
      </c>
      <c r="J162">
        <v>84.14</v>
      </c>
      <c r="K162">
        <v>86.41</v>
      </c>
      <c r="L162">
        <v>88.74</v>
      </c>
      <c r="M162">
        <v>91.14</v>
      </c>
      <c r="N162">
        <v>93.61</v>
      </c>
      <c r="O162">
        <v>96.13</v>
      </c>
      <c r="P162">
        <v>0</v>
      </c>
      <c r="Q162" s="304">
        <v>1001</v>
      </c>
    </row>
    <row r="163" spans="1:17" hidden="1" outlineLevel="1">
      <c r="B163" t="s">
        <v>835</v>
      </c>
      <c r="C163" t="s">
        <v>676</v>
      </c>
      <c r="D163">
        <v>71.7</v>
      </c>
      <c r="E163">
        <v>73.64</v>
      </c>
      <c r="F163">
        <v>75.63</v>
      </c>
      <c r="G163">
        <v>77.67</v>
      </c>
      <c r="H163">
        <v>79.77</v>
      </c>
      <c r="I163">
        <v>81.92</v>
      </c>
      <c r="J163">
        <v>84.13</v>
      </c>
      <c r="K163">
        <v>86.4</v>
      </c>
      <c r="L163">
        <v>88.74</v>
      </c>
      <c r="M163">
        <v>91.14</v>
      </c>
      <c r="N163">
        <v>93.6</v>
      </c>
      <c r="O163">
        <v>96.13</v>
      </c>
      <c r="P163">
        <v>0</v>
      </c>
      <c r="Q163" s="304">
        <v>1000</v>
      </c>
    </row>
    <row r="164" spans="1:17" hidden="1" outlineLevel="1">
      <c r="B164" t="s">
        <v>836</v>
      </c>
      <c r="C164" t="s">
        <v>676</v>
      </c>
      <c r="D164">
        <v>62.84</v>
      </c>
      <c r="E164">
        <v>64.540000000000006</v>
      </c>
      <c r="F164">
        <v>66.28</v>
      </c>
      <c r="G164">
        <v>68.069999999999993</v>
      </c>
      <c r="H164">
        <v>69.91</v>
      </c>
      <c r="I164">
        <v>71.790000000000006</v>
      </c>
      <c r="J164">
        <v>73.73</v>
      </c>
      <c r="K164">
        <v>75.72</v>
      </c>
      <c r="L164">
        <v>77.77</v>
      </c>
      <c r="M164">
        <v>79.87</v>
      </c>
      <c r="N164">
        <v>82.03</v>
      </c>
      <c r="O164">
        <v>84.25</v>
      </c>
      <c r="P164">
        <v>0</v>
      </c>
      <c r="Q164">
        <v>877</v>
      </c>
    </row>
    <row r="165" spans="1:17" hidden="1" outlineLevel="1">
      <c r="B165" t="s">
        <v>837</v>
      </c>
      <c r="C165" t="s">
        <v>676</v>
      </c>
      <c r="D165">
        <v>65.239999999999995</v>
      </c>
      <c r="E165">
        <v>67</v>
      </c>
      <c r="F165">
        <v>68.81</v>
      </c>
      <c r="G165">
        <v>70.67</v>
      </c>
      <c r="H165">
        <v>72.569999999999993</v>
      </c>
      <c r="I165">
        <v>74.53</v>
      </c>
      <c r="J165">
        <v>76.55</v>
      </c>
      <c r="K165">
        <v>78.61</v>
      </c>
      <c r="L165">
        <v>80.739999999999995</v>
      </c>
      <c r="M165">
        <v>82.92</v>
      </c>
      <c r="N165">
        <v>85.16</v>
      </c>
      <c r="O165">
        <v>87.46</v>
      </c>
      <c r="P165">
        <v>0</v>
      </c>
      <c r="Q165">
        <v>910</v>
      </c>
    </row>
    <row r="166" spans="1:17" hidden="1" outlineLevel="1">
      <c r="B166" t="s">
        <v>838</v>
      </c>
      <c r="C166" t="s">
        <v>676</v>
      </c>
      <c r="D166">
        <v>69.13</v>
      </c>
      <c r="E166">
        <v>71</v>
      </c>
      <c r="F166">
        <v>72.92</v>
      </c>
      <c r="G166">
        <v>74.89</v>
      </c>
      <c r="H166">
        <v>76.91</v>
      </c>
      <c r="I166">
        <v>78.98</v>
      </c>
      <c r="J166">
        <v>81.12</v>
      </c>
      <c r="K166">
        <v>83.31</v>
      </c>
      <c r="L166">
        <v>85.56</v>
      </c>
      <c r="M166">
        <v>87.87</v>
      </c>
      <c r="N166">
        <v>90.25</v>
      </c>
      <c r="O166">
        <v>92.69</v>
      </c>
      <c r="P166">
        <v>0</v>
      </c>
      <c r="Q166">
        <v>965</v>
      </c>
    </row>
    <row r="167" spans="1:17" hidden="1" outlineLevel="1">
      <c r="B167" t="s">
        <v>839</v>
      </c>
      <c r="C167" t="s">
        <v>676</v>
      </c>
      <c r="D167">
        <v>106.83</v>
      </c>
      <c r="E167">
        <v>109.71</v>
      </c>
      <c r="F167">
        <v>112.67</v>
      </c>
      <c r="G167">
        <v>115.72</v>
      </c>
      <c r="H167">
        <v>118.84</v>
      </c>
      <c r="I167">
        <v>122.05</v>
      </c>
      <c r="J167">
        <v>125.35</v>
      </c>
      <c r="K167">
        <v>128.72999999999999</v>
      </c>
      <c r="L167">
        <v>132.21</v>
      </c>
      <c r="M167">
        <v>135.78</v>
      </c>
      <c r="N167">
        <v>139.44999999999999</v>
      </c>
      <c r="O167">
        <v>143.22</v>
      </c>
      <c r="P167">
        <v>0</v>
      </c>
      <c r="Q167" s="304">
        <v>1491</v>
      </c>
    </row>
    <row r="168" spans="1:17" hidden="1" outlineLevel="1">
      <c r="B168" t="s">
        <v>840</v>
      </c>
      <c r="C168" t="s">
        <v>676</v>
      </c>
      <c r="D168">
        <v>90.38</v>
      </c>
      <c r="E168">
        <v>92.82</v>
      </c>
      <c r="F168">
        <v>95.33</v>
      </c>
      <c r="G168">
        <v>97.91</v>
      </c>
      <c r="H168">
        <v>100.55</v>
      </c>
      <c r="I168">
        <v>103.26</v>
      </c>
      <c r="J168">
        <v>106.05</v>
      </c>
      <c r="K168">
        <v>108.91</v>
      </c>
      <c r="L168">
        <v>111.86</v>
      </c>
      <c r="M168">
        <v>114.88</v>
      </c>
      <c r="N168">
        <v>117.99</v>
      </c>
      <c r="O168">
        <v>121.17</v>
      </c>
      <c r="P168">
        <v>0</v>
      </c>
      <c r="Q168" s="304">
        <v>1261</v>
      </c>
    </row>
    <row r="169" spans="1:17" hidden="1" outlineLevel="1">
      <c r="B169" t="s">
        <v>841</v>
      </c>
      <c r="C169" t="s">
        <v>676</v>
      </c>
      <c r="D169">
        <v>84.01</v>
      </c>
      <c r="E169">
        <v>86.28</v>
      </c>
      <c r="F169">
        <v>88.61</v>
      </c>
      <c r="G169">
        <v>91.01</v>
      </c>
      <c r="H169">
        <v>93.46</v>
      </c>
      <c r="I169">
        <v>95.98</v>
      </c>
      <c r="J169">
        <v>98.58</v>
      </c>
      <c r="K169">
        <v>101.24</v>
      </c>
      <c r="L169">
        <v>103.98</v>
      </c>
      <c r="M169">
        <v>106.79</v>
      </c>
      <c r="N169">
        <v>109.67</v>
      </c>
      <c r="O169">
        <v>112.64</v>
      </c>
      <c r="P169">
        <v>0</v>
      </c>
      <c r="Q169" s="304">
        <v>1172</v>
      </c>
    </row>
    <row r="170" spans="1:17" hidden="1" outlineLevel="1">
      <c r="B170" t="s">
        <v>842</v>
      </c>
      <c r="C170" t="s">
        <v>676</v>
      </c>
      <c r="D170">
        <v>82.65</v>
      </c>
      <c r="E170">
        <v>84.88</v>
      </c>
      <c r="F170">
        <v>87.17</v>
      </c>
      <c r="G170">
        <v>89.53</v>
      </c>
      <c r="H170">
        <v>91.94</v>
      </c>
      <c r="I170">
        <v>94.42</v>
      </c>
      <c r="J170">
        <v>96.97</v>
      </c>
      <c r="K170">
        <v>99.59</v>
      </c>
      <c r="L170">
        <v>102.29</v>
      </c>
      <c r="M170">
        <v>105.05</v>
      </c>
      <c r="N170">
        <v>107.89</v>
      </c>
      <c r="O170">
        <v>110.8</v>
      </c>
      <c r="P170">
        <v>0</v>
      </c>
      <c r="Q170" s="304">
        <v>1153</v>
      </c>
    </row>
    <row r="171" spans="1:17" hidden="1" outlineLevel="1">
      <c r="B171" t="s">
        <v>843</v>
      </c>
      <c r="C171" t="s">
        <v>676</v>
      </c>
      <c r="D171">
        <v>82.22</v>
      </c>
      <c r="E171">
        <v>84.44</v>
      </c>
      <c r="F171">
        <v>86.72</v>
      </c>
      <c r="G171">
        <v>89.06</v>
      </c>
      <c r="H171">
        <v>91.47</v>
      </c>
      <c r="I171">
        <v>93.93</v>
      </c>
      <c r="J171">
        <v>96.47</v>
      </c>
      <c r="K171">
        <v>99.08</v>
      </c>
      <c r="L171">
        <v>101.75</v>
      </c>
      <c r="M171">
        <v>104.51</v>
      </c>
      <c r="N171">
        <v>107.33</v>
      </c>
      <c r="O171">
        <v>110.23</v>
      </c>
      <c r="P171">
        <v>0</v>
      </c>
      <c r="Q171" s="304">
        <v>1147</v>
      </c>
    </row>
    <row r="172" spans="1:17" hidden="1" outlineLevel="1">
      <c r="B172" t="s">
        <v>844</v>
      </c>
      <c r="C172" t="s">
        <v>676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idden="1" outlineLevel="1">
      <c r="B173" t="s">
        <v>845</v>
      </c>
      <c r="C173" t="s">
        <v>676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hidden="1" outlineLevel="1">
      <c r="B174" t="s">
        <v>846</v>
      </c>
      <c r="C174" t="s">
        <v>676</v>
      </c>
      <c r="D174">
        <v>75.900000000000006</v>
      </c>
      <c r="E174">
        <v>77.95</v>
      </c>
      <c r="F174">
        <v>80.05</v>
      </c>
      <c r="G174">
        <v>82.22</v>
      </c>
      <c r="H174">
        <v>84.44</v>
      </c>
      <c r="I174">
        <v>86.71</v>
      </c>
      <c r="J174">
        <v>89.06</v>
      </c>
      <c r="K174">
        <v>91.46</v>
      </c>
      <c r="L174">
        <v>93.93</v>
      </c>
      <c r="M174">
        <v>96.47</v>
      </c>
      <c r="N174">
        <v>99.08</v>
      </c>
      <c r="O174">
        <v>101.76</v>
      </c>
      <c r="P174">
        <v>0</v>
      </c>
      <c r="Q174" s="304">
        <v>1059</v>
      </c>
    </row>
    <row r="175" spans="1:17" collapsed="1">
      <c r="A175" t="s">
        <v>847</v>
      </c>
    </row>
    <row r="176" spans="1:17" hidden="1" outlineLevel="1">
      <c r="B176" t="s">
        <v>848</v>
      </c>
      <c r="C176" t="s">
        <v>676</v>
      </c>
      <c r="D176">
        <v>82.19</v>
      </c>
      <c r="E176">
        <v>84.42</v>
      </c>
      <c r="F176">
        <v>86.69</v>
      </c>
      <c r="G176">
        <v>89.04</v>
      </c>
      <c r="H176">
        <v>91.44</v>
      </c>
      <c r="I176">
        <v>93.9</v>
      </c>
      <c r="J176">
        <v>96.44</v>
      </c>
      <c r="K176">
        <v>99.05</v>
      </c>
      <c r="L176">
        <v>101.73</v>
      </c>
      <c r="M176">
        <v>104.48</v>
      </c>
      <c r="N176">
        <v>107.3</v>
      </c>
      <c r="O176">
        <v>110.2</v>
      </c>
      <c r="P176">
        <v>0</v>
      </c>
      <c r="Q176" s="304">
        <v>1147</v>
      </c>
    </row>
    <row r="177" spans="2:17" hidden="1" outlineLevel="1">
      <c r="B177" t="s">
        <v>849</v>
      </c>
      <c r="C177" t="s">
        <v>676</v>
      </c>
      <c r="D177">
        <v>148.62</v>
      </c>
      <c r="E177">
        <v>152.63999999999999</v>
      </c>
      <c r="F177">
        <v>156.76</v>
      </c>
      <c r="G177">
        <v>161</v>
      </c>
      <c r="H177">
        <v>165.34</v>
      </c>
      <c r="I177">
        <v>169.8</v>
      </c>
      <c r="J177">
        <v>174.39</v>
      </c>
      <c r="K177">
        <v>179.1</v>
      </c>
      <c r="L177">
        <v>183.94</v>
      </c>
      <c r="M177">
        <v>188.91</v>
      </c>
      <c r="N177">
        <v>194.02</v>
      </c>
      <c r="O177">
        <v>199.26</v>
      </c>
      <c r="P177">
        <v>0</v>
      </c>
      <c r="Q177" s="304">
        <v>2074</v>
      </c>
    </row>
    <row r="178" spans="2:17" hidden="1" outlineLevel="1">
      <c r="B178" t="s">
        <v>850</v>
      </c>
      <c r="C178" t="s">
        <v>676</v>
      </c>
      <c r="D178">
        <v>82.19</v>
      </c>
      <c r="E178">
        <v>84.42</v>
      </c>
      <c r="F178">
        <v>86.69</v>
      </c>
      <c r="G178">
        <v>89.04</v>
      </c>
      <c r="H178">
        <v>91.44</v>
      </c>
      <c r="I178">
        <v>93.9</v>
      </c>
      <c r="J178">
        <v>96.44</v>
      </c>
      <c r="K178">
        <v>99.05</v>
      </c>
      <c r="L178">
        <v>101.73</v>
      </c>
      <c r="M178">
        <v>104.48</v>
      </c>
      <c r="N178">
        <v>107.3</v>
      </c>
      <c r="O178">
        <v>110.2</v>
      </c>
      <c r="P178">
        <v>0</v>
      </c>
      <c r="Q178" s="304">
        <v>1147</v>
      </c>
    </row>
    <row r="179" spans="2:17" hidden="1" outlineLevel="1">
      <c r="B179" t="s">
        <v>851</v>
      </c>
      <c r="C179" t="s">
        <v>676</v>
      </c>
      <c r="D179">
        <v>109.12</v>
      </c>
      <c r="E179">
        <v>112.07</v>
      </c>
      <c r="F179">
        <v>115.09</v>
      </c>
      <c r="G179">
        <v>118.2</v>
      </c>
      <c r="H179">
        <v>121.39</v>
      </c>
      <c r="I179">
        <v>124.67</v>
      </c>
      <c r="J179">
        <v>128.04</v>
      </c>
      <c r="K179">
        <v>131.49</v>
      </c>
      <c r="L179">
        <v>135.05000000000001</v>
      </c>
      <c r="M179">
        <v>138.69999999999999</v>
      </c>
      <c r="N179">
        <v>142.44999999999999</v>
      </c>
      <c r="O179">
        <v>146.29</v>
      </c>
      <c r="P179">
        <v>0</v>
      </c>
      <c r="Q179" s="304">
        <v>1523</v>
      </c>
    </row>
    <row r="180" spans="2:17" hidden="1" outlineLevel="1">
      <c r="B180" t="s">
        <v>852</v>
      </c>
      <c r="C180" t="s">
        <v>676</v>
      </c>
      <c r="D180">
        <v>67.08</v>
      </c>
      <c r="E180">
        <v>68.89</v>
      </c>
      <c r="F180">
        <v>70.75</v>
      </c>
      <c r="G180">
        <v>72.66</v>
      </c>
      <c r="H180">
        <v>74.62</v>
      </c>
      <c r="I180">
        <v>76.63</v>
      </c>
      <c r="J180">
        <v>78.709999999999994</v>
      </c>
      <c r="K180">
        <v>80.83</v>
      </c>
      <c r="L180">
        <v>83.02</v>
      </c>
      <c r="M180">
        <v>85.26</v>
      </c>
      <c r="N180">
        <v>87.57</v>
      </c>
      <c r="O180">
        <v>89.93</v>
      </c>
      <c r="P180">
        <v>0</v>
      </c>
      <c r="Q180">
        <v>936</v>
      </c>
    </row>
    <row r="181" spans="2:17" hidden="1" outlineLevel="1">
      <c r="B181" t="s">
        <v>853</v>
      </c>
      <c r="C181" t="s">
        <v>676</v>
      </c>
      <c r="D181">
        <v>124.22</v>
      </c>
      <c r="E181">
        <v>127.58</v>
      </c>
      <c r="F181">
        <v>131.02000000000001</v>
      </c>
      <c r="G181">
        <v>134.56</v>
      </c>
      <c r="H181">
        <v>138.19</v>
      </c>
      <c r="I181">
        <v>141.91999999999999</v>
      </c>
      <c r="J181">
        <v>145.75</v>
      </c>
      <c r="K181">
        <v>149.69</v>
      </c>
      <c r="L181">
        <v>153.74</v>
      </c>
      <c r="M181">
        <v>157.88999999999999</v>
      </c>
      <c r="N181">
        <v>162.16</v>
      </c>
      <c r="O181">
        <v>166.54</v>
      </c>
      <c r="P181">
        <v>0</v>
      </c>
      <c r="Q181" s="304">
        <v>1733</v>
      </c>
    </row>
    <row r="182" spans="2:17" hidden="1" outlineLevel="1">
      <c r="B182" t="s">
        <v>854</v>
      </c>
      <c r="C182" t="s">
        <v>676</v>
      </c>
      <c r="D182">
        <v>124.39</v>
      </c>
      <c r="E182">
        <v>127.75</v>
      </c>
      <c r="F182">
        <v>131.19999999999999</v>
      </c>
      <c r="G182">
        <v>134.75</v>
      </c>
      <c r="H182">
        <v>138.38</v>
      </c>
      <c r="I182">
        <v>142.11000000000001</v>
      </c>
      <c r="J182">
        <v>145.94999999999999</v>
      </c>
      <c r="K182">
        <v>149.88999999999999</v>
      </c>
      <c r="L182">
        <v>153.94999999999999</v>
      </c>
      <c r="M182">
        <v>158.11000000000001</v>
      </c>
      <c r="N182">
        <v>162.38</v>
      </c>
      <c r="O182">
        <v>166.77</v>
      </c>
      <c r="P182">
        <v>0</v>
      </c>
      <c r="Q182" s="304">
        <v>1736</v>
      </c>
    </row>
    <row r="183" spans="2:17" hidden="1" outlineLevel="1">
      <c r="B183" t="s">
        <v>855</v>
      </c>
      <c r="C183" t="s">
        <v>676</v>
      </c>
      <c r="D183">
        <v>175.01</v>
      </c>
      <c r="E183">
        <v>179.74</v>
      </c>
      <c r="F183">
        <v>184.59</v>
      </c>
      <c r="G183">
        <v>189.58</v>
      </c>
      <c r="H183">
        <v>194.69</v>
      </c>
      <c r="I183">
        <v>199.94</v>
      </c>
      <c r="J183">
        <v>205.35</v>
      </c>
      <c r="K183">
        <v>210.89</v>
      </c>
      <c r="L183">
        <v>216.59</v>
      </c>
      <c r="M183">
        <v>222.45</v>
      </c>
      <c r="N183">
        <v>228.46</v>
      </c>
      <c r="O183">
        <v>234.63</v>
      </c>
      <c r="P183">
        <v>0</v>
      </c>
      <c r="Q183" s="304">
        <v>2442</v>
      </c>
    </row>
    <row r="184" spans="2:17" hidden="1" outlineLevel="1">
      <c r="B184" t="s">
        <v>856</v>
      </c>
      <c r="C184" t="s">
        <v>676</v>
      </c>
      <c r="D184">
        <v>60.1</v>
      </c>
      <c r="E184">
        <v>61.72</v>
      </c>
      <c r="F184">
        <v>63.39</v>
      </c>
      <c r="G184">
        <v>65.099999999999994</v>
      </c>
      <c r="H184">
        <v>66.86</v>
      </c>
      <c r="I184">
        <v>68.66</v>
      </c>
      <c r="J184">
        <v>70.52</v>
      </c>
      <c r="K184">
        <v>72.42</v>
      </c>
      <c r="L184">
        <v>74.38</v>
      </c>
      <c r="M184">
        <v>76.39</v>
      </c>
      <c r="N184">
        <v>78.45</v>
      </c>
      <c r="O184">
        <v>80.569999999999993</v>
      </c>
      <c r="P184">
        <v>0</v>
      </c>
      <c r="Q184">
        <v>839</v>
      </c>
    </row>
    <row r="185" spans="2:17" hidden="1" outlineLevel="1">
      <c r="B185" t="s">
        <v>857</v>
      </c>
      <c r="C185" t="s">
        <v>676</v>
      </c>
      <c r="D185">
        <v>122.68</v>
      </c>
      <c r="E185">
        <v>126</v>
      </c>
      <c r="F185">
        <v>129.4</v>
      </c>
      <c r="G185">
        <v>132.9</v>
      </c>
      <c r="H185">
        <v>136.47999999999999</v>
      </c>
      <c r="I185">
        <v>140.16</v>
      </c>
      <c r="J185">
        <v>143.94999999999999</v>
      </c>
      <c r="K185">
        <v>147.84</v>
      </c>
      <c r="L185">
        <v>151.83000000000001</v>
      </c>
      <c r="M185">
        <v>155.94</v>
      </c>
      <c r="N185">
        <v>160.15</v>
      </c>
      <c r="O185">
        <v>164.48</v>
      </c>
      <c r="P185">
        <v>0</v>
      </c>
      <c r="Q185" s="304">
        <v>1712</v>
      </c>
    </row>
    <row r="186" spans="2:17" hidden="1" outlineLevel="1">
      <c r="B186" t="s">
        <v>858</v>
      </c>
      <c r="C186" t="s">
        <v>676</v>
      </c>
      <c r="D186">
        <v>115.84</v>
      </c>
      <c r="E186">
        <v>118.97</v>
      </c>
      <c r="F186">
        <v>122.18</v>
      </c>
      <c r="G186">
        <v>125.49</v>
      </c>
      <c r="H186">
        <v>128.87</v>
      </c>
      <c r="I186">
        <v>132.35</v>
      </c>
      <c r="J186">
        <v>135.91999999999999</v>
      </c>
      <c r="K186">
        <v>139.59</v>
      </c>
      <c r="L186">
        <v>143.37</v>
      </c>
      <c r="M186">
        <v>147.24</v>
      </c>
      <c r="N186">
        <v>151.22</v>
      </c>
      <c r="O186">
        <v>155.31</v>
      </c>
      <c r="P186">
        <v>0</v>
      </c>
      <c r="Q186" s="304">
        <v>1616</v>
      </c>
    </row>
    <row r="187" spans="2:17" hidden="1" outlineLevel="1">
      <c r="B187" t="s">
        <v>859</v>
      </c>
      <c r="C187" t="s">
        <v>676</v>
      </c>
      <c r="D187">
        <v>113.12</v>
      </c>
      <c r="E187">
        <v>116.17</v>
      </c>
      <c r="F187">
        <v>119.31</v>
      </c>
      <c r="G187">
        <v>122.53</v>
      </c>
      <c r="H187">
        <v>125.84</v>
      </c>
      <c r="I187">
        <v>129.22999999999999</v>
      </c>
      <c r="J187">
        <v>132.72999999999999</v>
      </c>
      <c r="K187">
        <v>136.31</v>
      </c>
      <c r="L187">
        <v>139.99</v>
      </c>
      <c r="M187">
        <v>143.78</v>
      </c>
      <c r="N187">
        <v>147.66999999999999</v>
      </c>
      <c r="O187">
        <v>151.65</v>
      </c>
      <c r="P187">
        <v>0</v>
      </c>
      <c r="Q187" s="304">
        <v>1578</v>
      </c>
    </row>
    <row r="188" spans="2:17" hidden="1" outlineLevel="1">
      <c r="B188" t="s">
        <v>860</v>
      </c>
      <c r="C188" t="s">
        <v>676</v>
      </c>
      <c r="D188">
        <v>127.99</v>
      </c>
      <c r="E188">
        <v>131.44999999999999</v>
      </c>
      <c r="F188">
        <v>135</v>
      </c>
      <c r="G188">
        <v>138.65</v>
      </c>
      <c r="H188">
        <v>142.38999999999999</v>
      </c>
      <c r="I188">
        <v>146.22999999999999</v>
      </c>
      <c r="J188">
        <v>150.18</v>
      </c>
      <c r="K188">
        <v>154.24</v>
      </c>
      <c r="L188">
        <v>158.41</v>
      </c>
      <c r="M188">
        <v>162.69</v>
      </c>
      <c r="N188">
        <v>167.09</v>
      </c>
      <c r="O188">
        <v>171.6</v>
      </c>
      <c r="P188">
        <v>0</v>
      </c>
      <c r="Q188" s="304">
        <v>1786</v>
      </c>
    </row>
    <row r="189" spans="2:17" hidden="1" outlineLevel="1">
      <c r="B189" t="s">
        <v>861</v>
      </c>
      <c r="C189" t="s">
        <v>676</v>
      </c>
      <c r="D189">
        <v>175.8</v>
      </c>
      <c r="E189">
        <v>180.56</v>
      </c>
      <c r="F189">
        <v>185.43</v>
      </c>
      <c r="G189">
        <v>190.44</v>
      </c>
      <c r="H189">
        <v>195.58</v>
      </c>
      <c r="I189">
        <v>200.85</v>
      </c>
      <c r="J189">
        <v>206.28</v>
      </c>
      <c r="K189">
        <v>211.85</v>
      </c>
      <c r="L189">
        <v>217.58</v>
      </c>
      <c r="M189">
        <v>223.46</v>
      </c>
      <c r="N189">
        <v>229.5</v>
      </c>
      <c r="O189">
        <v>235.7</v>
      </c>
      <c r="P189">
        <v>0</v>
      </c>
      <c r="Q189" s="304">
        <v>2453</v>
      </c>
    </row>
    <row r="190" spans="2:17" hidden="1" outlineLevel="1">
      <c r="B190" t="s">
        <v>862</v>
      </c>
      <c r="C190" t="s">
        <v>676</v>
      </c>
      <c r="D190">
        <v>134.87</v>
      </c>
      <c r="E190">
        <v>138.52000000000001</v>
      </c>
      <c r="F190">
        <v>142.25</v>
      </c>
      <c r="G190">
        <v>146.1</v>
      </c>
      <c r="H190">
        <v>150.04</v>
      </c>
      <c r="I190">
        <v>154.09</v>
      </c>
      <c r="J190">
        <v>158.25</v>
      </c>
      <c r="K190">
        <v>162.53</v>
      </c>
      <c r="L190">
        <v>166.92</v>
      </c>
      <c r="M190">
        <v>171.43</v>
      </c>
      <c r="N190">
        <v>176.07</v>
      </c>
      <c r="O190">
        <v>180.82</v>
      </c>
      <c r="P190">
        <v>0</v>
      </c>
      <c r="Q190" s="304">
        <v>1882</v>
      </c>
    </row>
    <row r="191" spans="2:17" hidden="1" outlineLevel="1">
      <c r="B191" t="s">
        <v>863</v>
      </c>
      <c r="C191" t="s">
        <v>676</v>
      </c>
      <c r="D191">
        <v>131.03</v>
      </c>
      <c r="E191">
        <v>134.57</v>
      </c>
      <c r="F191">
        <v>138.19999999999999</v>
      </c>
      <c r="G191">
        <v>141.94</v>
      </c>
      <c r="H191">
        <v>145.77000000000001</v>
      </c>
      <c r="I191">
        <v>149.69999999999999</v>
      </c>
      <c r="J191">
        <v>153.74</v>
      </c>
      <c r="K191">
        <v>157.9</v>
      </c>
      <c r="L191">
        <v>162.16</v>
      </c>
      <c r="M191">
        <v>166.55</v>
      </c>
      <c r="N191">
        <v>171.05</v>
      </c>
      <c r="O191">
        <v>175.67</v>
      </c>
      <c r="P191">
        <v>0</v>
      </c>
      <c r="Q191" s="304">
        <v>1828</v>
      </c>
    </row>
    <row r="192" spans="2:17" hidden="1" outlineLevel="1">
      <c r="B192" t="s">
        <v>864</v>
      </c>
      <c r="C192" t="s">
        <v>676</v>
      </c>
      <c r="D192">
        <v>159.91</v>
      </c>
      <c r="E192">
        <v>164.23</v>
      </c>
      <c r="F192">
        <v>168.67</v>
      </c>
      <c r="G192">
        <v>173.23</v>
      </c>
      <c r="H192">
        <v>177.9</v>
      </c>
      <c r="I192">
        <v>182.69</v>
      </c>
      <c r="J192">
        <v>187.63</v>
      </c>
      <c r="K192">
        <v>192.7</v>
      </c>
      <c r="L192">
        <v>197.91</v>
      </c>
      <c r="M192">
        <v>203.26</v>
      </c>
      <c r="N192">
        <v>208.76</v>
      </c>
      <c r="O192">
        <v>214.39</v>
      </c>
      <c r="P192">
        <v>0</v>
      </c>
      <c r="Q192" s="304">
        <v>2231</v>
      </c>
    </row>
    <row r="193" spans="2:17" hidden="1" outlineLevel="1">
      <c r="B193" t="s">
        <v>865</v>
      </c>
      <c r="C193" t="s">
        <v>676</v>
      </c>
      <c r="D193">
        <v>122.91</v>
      </c>
      <c r="E193">
        <v>126.23</v>
      </c>
      <c r="F193">
        <v>129.63</v>
      </c>
      <c r="G193">
        <v>133.13999999999999</v>
      </c>
      <c r="H193">
        <v>136.72999999999999</v>
      </c>
      <c r="I193">
        <v>140.41999999999999</v>
      </c>
      <c r="J193">
        <v>144.21</v>
      </c>
      <c r="K193">
        <v>148.11000000000001</v>
      </c>
      <c r="L193">
        <v>152.11000000000001</v>
      </c>
      <c r="M193">
        <v>156.22</v>
      </c>
      <c r="N193">
        <v>160.44999999999999</v>
      </c>
      <c r="O193">
        <v>164.78</v>
      </c>
      <c r="P193">
        <v>0</v>
      </c>
      <c r="Q193" s="304">
        <v>1715</v>
      </c>
    </row>
    <row r="194" spans="2:17" hidden="1" outlineLevel="1">
      <c r="B194" t="s">
        <v>866</v>
      </c>
      <c r="C194" t="s">
        <v>676</v>
      </c>
      <c r="D194">
        <v>122.91</v>
      </c>
      <c r="E194">
        <v>126.23</v>
      </c>
      <c r="F194">
        <v>129.63</v>
      </c>
      <c r="G194">
        <v>133.13999999999999</v>
      </c>
      <c r="H194">
        <v>136.72999999999999</v>
      </c>
      <c r="I194">
        <v>140.41999999999999</v>
      </c>
      <c r="J194">
        <v>144.21</v>
      </c>
      <c r="K194">
        <v>148.11000000000001</v>
      </c>
      <c r="L194">
        <v>152.11000000000001</v>
      </c>
      <c r="M194">
        <v>156.22</v>
      </c>
      <c r="N194">
        <v>160.44999999999999</v>
      </c>
      <c r="O194">
        <v>164.78</v>
      </c>
      <c r="P194">
        <v>0</v>
      </c>
      <c r="Q194" s="304">
        <v>1715</v>
      </c>
    </row>
    <row r="195" spans="2:17" hidden="1" outlineLevel="1">
      <c r="B195" t="s">
        <v>867</v>
      </c>
      <c r="C195" t="s">
        <v>676</v>
      </c>
      <c r="D195">
        <v>124.37</v>
      </c>
      <c r="E195">
        <v>127.74</v>
      </c>
      <c r="F195">
        <v>131.18</v>
      </c>
      <c r="G195">
        <v>134.72999999999999</v>
      </c>
      <c r="H195">
        <v>138.36000000000001</v>
      </c>
      <c r="I195">
        <v>142.09</v>
      </c>
      <c r="J195">
        <v>145.94</v>
      </c>
      <c r="K195">
        <v>149.88</v>
      </c>
      <c r="L195">
        <v>153.93</v>
      </c>
      <c r="M195">
        <v>158.09</v>
      </c>
      <c r="N195">
        <v>162.36000000000001</v>
      </c>
      <c r="O195">
        <v>166.75</v>
      </c>
      <c r="P195">
        <v>0</v>
      </c>
      <c r="Q195" s="304">
        <v>1735</v>
      </c>
    </row>
    <row r="196" spans="2:17" hidden="1" outlineLevel="1">
      <c r="B196" t="s">
        <v>868</v>
      </c>
      <c r="C196" t="s">
        <v>676</v>
      </c>
      <c r="D196">
        <v>155.77000000000001</v>
      </c>
      <c r="E196">
        <v>159.99</v>
      </c>
      <c r="F196">
        <v>164.3</v>
      </c>
      <c r="G196">
        <v>168.75</v>
      </c>
      <c r="H196">
        <v>173.3</v>
      </c>
      <c r="I196">
        <v>177.97</v>
      </c>
      <c r="J196">
        <v>182.78</v>
      </c>
      <c r="K196">
        <v>187.72</v>
      </c>
      <c r="L196">
        <v>192.79</v>
      </c>
      <c r="M196">
        <v>198</v>
      </c>
      <c r="N196">
        <v>203.36</v>
      </c>
      <c r="O196">
        <v>208.85</v>
      </c>
      <c r="P196">
        <v>0</v>
      </c>
      <c r="Q196" s="304">
        <v>2174</v>
      </c>
    </row>
    <row r="197" spans="2:17" hidden="1" outlineLevel="1">
      <c r="B197" t="s">
        <v>869</v>
      </c>
      <c r="C197" t="s">
        <v>676</v>
      </c>
      <c r="D197">
        <v>96.07</v>
      </c>
      <c r="E197">
        <v>98.67</v>
      </c>
      <c r="F197">
        <v>101.33</v>
      </c>
      <c r="G197">
        <v>104.07</v>
      </c>
      <c r="H197">
        <v>106.88</v>
      </c>
      <c r="I197">
        <v>109.76</v>
      </c>
      <c r="J197">
        <v>112.73</v>
      </c>
      <c r="K197">
        <v>115.77</v>
      </c>
      <c r="L197">
        <v>118.9</v>
      </c>
      <c r="M197">
        <v>122.12</v>
      </c>
      <c r="N197">
        <v>125.42</v>
      </c>
      <c r="O197">
        <v>128.80000000000001</v>
      </c>
      <c r="P197">
        <v>0</v>
      </c>
      <c r="Q197" s="304">
        <v>1341</v>
      </c>
    </row>
    <row r="198" spans="2:17" hidden="1" outlineLevel="1">
      <c r="B198" t="s">
        <v>870</v>
      </c>
      <c r="C198" t="s">
        <v>676</v>
      </c>
      <c r="D198">
        <v>67.14</v>
      </c>
      <c r="E198">
        <v>68.959999999999994</v>
      </c>
      <c r="F198">
        <v>70.819999999999993</v>
      </c>
      <c r="G198">
        <v>72.73</v>
      </c>
      <c r="H198">
        <v>74.69</v>
      </c>
      <c r="I198">
        <v>76.709999999999994</v>
      </c>
      <c r="J198">
        <v>78.78</v>
      </c>
      <c r="K198">
        <v>80.91</v>
      </c>
      <c r="L198">
        <v>83.1</v>
      </c>
      <c r="M198">
        <v>85.34</v>
      </c>
      <c r="N198">
        <v>87.65</v>
      </c>
      <c r="O198">
        <v>90.02</v>
      </c>
      <c r="P198">
        <v>0</v>
      </c>
      <c r="Q198">
        <v>937</v>
      </c>
    </row>
    <row r="199" spans="2:17" hidden="1" outlineLevel="1">
      <c r="B199" t="s">
        <v>871</v>
      </c>
      <c r="C199" t="s">
        <v>676</v>
      </c>
      <c r="D199">
        <v>188.69</v>
      </c>
      <c r="E199">
        <v>193.79</v>
      </c>
      <c r="F199">
        <v>199.02</v>
      </c>
      <c r="G199">
        <v>204.4</v>
      </c>
      <c r="H199">
        <v>209.91</v>
      </c>
      <c r="I199">
        <v>215.57</v>
      </c>
      <c r="J199">
        <v>221.4</v>
      </c>
      <c r="K199">
        <v>227.38</v>
      </c>
      <c r="L199">
        <v>233.53</v>
      </c>
      <c r="M199">
        <v>239.84</v>
      </c>
      <c r="N199">
        <v>246.33</v>
      </c>
      <c r="O199">
        <v>252.98</v>
      </c>
      <c r="P199">
        <v>0</v>
      </c>
      <c r="Q199" s="304">
        <v>2633</v>
      </c>
    </row>
    <row r="200" spans="2:17" hidden="1" outlineLevel="1">
      <c r="B200" t="s">
        <v>872</v>
      </c>
      <c r="C200" t="s">
        <v>676</v>
      </c>
      <c r="D200">
        <v>127.52</v>
      </c>
      <c r="E200">
        <v>130.96</v>
      </c>
      <c r="F200">
        <v>134.5</v>
      </c>
      <c r="G200">
        <v>138.13999999999999</v>
      </c>
      <c r="H200">
        <v>141.86000000000001</v>
      </c>
      <c r="I200">
        <v>145.69</v>
      </c>
      <c r="J200">
        <v>149.62</v>
      </c>
      <c r="K200">
        <v>153.66</v>
      </c>
      <c r="L200">
        <v>157.82</v>
      </c>
      <c r="M200">
        <v>162.09</v>
      </c>
      <c r="N200">
        <v>166.47</v>
      </c>
      <c r="O200">
        <v>170.96</v>
      </c>
      <c r="P200">
        <v>0</v>
      </c>
      <c r="Q200" s="304">
        <v>1779</v>
      </c>
    </row>
    <row r="201" spans="2:17" hidden="1" outlineLevel="1">
      <c r="B201" t="s">
        <v>873</v>
      </c>
      <c r="C201" t="s">
        <v>676</v>
      </c>
      <c r="D201">
        <v>164.49</v>
      </c>
      <c r="E201">
        <v>168.94</v>
      </c>
      <c r="F201">
        <v>173.5</v>
      </c>
      <c r="G201">
        <v>178.19</v>
      </c>
      <c r="H201">
        <v>182.99</v>
      </c>
      <c r="I201">
        <v>187.93</v>
      </c>
      <c r="J201">
        <v>193.01</v>
      </c>
      <c r="K201">
        <v>198.22</v>
      </c>
      <c r="L201">
        <v>203.58</v>
      </c>
      <c r="M201">
        <v>209.08</v>
      </c>
      <c r="N201">
        <v>214.73</v>
      </c>
      <c r="O201">
        <v>220.53</v>
      </c>
      <c r="P201">
        <v>0</v>
      </c>
      <c r="Q201" s="304">
        <v>2295</v>
      </c>
    </row>
    <row r="202" spans="2:17" hidden="1" outlineLevel="1">
      <c r="B202" t="s">
        <v>874</v>
      </c>
      <c r="C202" t="s">
        <v>676</v>
      </c>
      <c r="D202">
        <v>84.82</v>
      </c>
      <c r="E202">
        <v>87.11</v>
      </c>
      <c r="F202">
        <v>89.46</v>
      </c>
      <c r="G202">
        <v>91.88</v>
      </c>
      <c r="H202">
        <v>94.36</v>
      </c>
      <c r="I202">
        <v>96.9</v>
      </c>
      <c r="J202">
        <v>99.52</v>
      </c>
      <c r="K202">
        <v>102.21</v>
      </c>
      <c r="L202">
        <v>104.97</v>
      </c>
      <c r="M202">
        <v>107.81</v>
      </c>
      <c r="N202">
        <v>110.72</v>
      </c>
      <c r="O202">
        <v>113.71</v>
      </c>
      <c r="P202">
        <v>0</v>
      </c>
      <c r="Q202" s="304">
        <v>1183</v>
      </c>
    </row>
    <row r="203" spans="2:17" hidden="1" outlineLevel="1">
      <c r="B203" t="s">
        <v>875</v>
      </c>
      <c r="C203" t="s">
        <v>676</v>
      </c>
      <c r="D203">
        <v>136.04</v>
      </c>
      <c r="E203">
        <v>139.72</v>
      </c>
      <c r="F203">
        <v>143.49</v>
      </c>
      <c r="G203">
        <v>147.37</v>
      </c>
      <c r="H203">
        <v>151.35</v>
      </c>
      <c r="I203">
        <v>155.43</v>
      </c>
      <c r="J203">
        <v>159.63</v>
      </c>
      <c r="K203">
        <v>163.94</v>
      </c>
      <c r="L203">
        <v>168.37</v>
      </c>
      <c r="M203">
        <v>172.93</v>
      </c>
      <c r="N203">
        <v>177.6</v>
      </c>
      <c r="O203">
        <v>182.39</v>
      </c>
      <c r="P203">
        <v>0</v>
      </c>
      <c r="Q203" s="304">
        <v>1898</v>
      </c>
    </row>
    <row r="204" spans="2:17" hidden="1" outlineLevel="1">
      <c r="B204" t="s">
        <v>876</v>
      </c>
      <c r="C204" t="s">
        <v>676</v>
      </c>
      <c r="D204">
        <v>114.85</v>
      </c>
      <c r="E204">
        <v>117.96</v>
      </c>
      <c r="F204">
        <v>121.14</v>
      </c>
      <c r="G204">
        <v>124.42</v>
      </c>
      <c r="H204">
        <v>127.77</v>
      </c>
      <c r="I204">
        <v>131.22</v>
      </c>
      <c r="J204">
        <v>134.77000000000001</v>
      </c>
      <c r="K204">
        <v>138.4</v>
      </c>
      <c r="L204">
        <v>142.15</v>
      </c>
      <c r="M204">
        <v>145.99</v>
      </c>
      <c r="N204">
        <v>149.94</v>
      </c>
      <c r="O204">
        <v>153.97999999999999</v>
      </c>
      <c r="P204">
        <v>0</v>
      </c>
      <c r="Q204" s="304">
        <v>1603</v>
      </c>
    </row>
    <row r="205" spans="2:17" hidden="1" outlineLevel="1">
      <c r="B205" t="s">
        <v>877</v>
      </c>
      <c r="C205" t="s">
        <v>676</v>
      </c>
      <c r="D205">
        <v>113.28</v>
      </c>
      <c r="E205">
        <v>116.34</v>
      </c>
      <c r="F205">
        <v>119.48</v>
      </c>
      <c r="G205">
        <v>122.71</v>
      </c>
      <c r="H205">
        <v>126.02</v>
      </c>
      <c r="I205">
        <v>129.41999999999999</v>
      </c>
      <c r="J205">
        <v>132.91999999999999</v>
      </c>
      <c r="K205">
        <v>136.51</v>
      </c>
      <c r="L205">
        <v>140.19999999999999</v>
      </c>
      <c r="M205">
        <v>143.99</v>
      </c>
      <c r="N205">
        <v>147.88</v>
      </c>
      <c r="O205">
        <v>151.88</v>
      </c>
      <c r="P205">
        <v>0</v>
      </c>
      <c r="Q205" s="304">
        <v>1581</v>
      </c>
    </row>
    <row r="206" spans="2:17" hidden="1" outlineLevel="1">
      <c r="B206" t="s">
        <v>878</v>
      </c>
      <c r="C206" t="s">
        <v>676</v>
      </c>
      <c r="D206">
        <v>83.5</v>
      </c>
      <c r="E206">
        <v>85.75</v>
      </c>
      <c r="F206">
        <v>88.07</v>
      </c>
      <c r="G206">
        <v>90.45</v>
      </c>
      <c r="H206">
        <v>92.89</v>
      </c>
      <c r="I206">
        <v>95.39</v>
      </c>
      <c r="J206">
        <v>97.97</v>
      </c>
      <c r="K206">
        <v>100.62</v>
      </c>
      <c r="L206">
        <v>103.34</v>
      </c>
      <c r="M206">
        <v>106.13</v>
      </c>
      <c r="N206">
        <v>109</v>
      </c>
      <c r="O206">
        <v>111.94</v>
      </c>
      <c r="P206">
        <v>0</v>
      </c>
      <c r="Q206" s="304">
        <v>1165</v>
      </c>
    </row>
    <row r="207" spans="2:17" hidden="1" outlineLevel="1">
      <c r="B207" t="s">
        <v>879</v>
      </c>
      <c r="C207" t="s">
        <v>676</v>
      </c>
      <c r="D207">
        <v>131.53</v>
      </c>
      <c r="E207">
        <v>135.09</v>
      </c>
      <c r="F207">
        <v>138.74</v>
      </c>
      <c r="G207">
        <v>142.49</v>
      </c>
      <c r="H207">
        <v>146.33000000000001</v>
      </c>
      <c r="I207">
        <v>150.27000000000001</v>
      </c>
      <c r="J207">
        <v>154.34</v>
      </c>
      <c r="K207">
        <v>158.5</v>
      </c>
      <c r="L207">
        <v>162.79</v>
      </c>
      <c r="M207">
        <v>167.19</v>
      </c>
      <c r="N207">
        <v>171.71</v>
      </c>
      <c r="O207">
        <v>176.35</v>
      </c>
      <c r="P207">
        <v>0</v>
      </c>
      <c r="Q207" s="304">
        <v>1835</v>
      </c>
    </row>
    <row r="208" spans="2:17" hidden="1" outlineLevel="1">
      <c r="B208" t="s">
        <v>880</v>
      </c>
      <c r="C208" t="s">
        <v>676</v>
      </c>
      <c r="D208">
        <v>124.11</v>
      </c>
      <c r="E208">
        <v>127.46</v>
      </c>
      <c r="F208">
        <v>130.9</v>
      </c>
      <c r="G208">
        <v>134.44</v>
      </c>
      <c r="H208">
        <v>138.07</v>
      </c>
      <c r="I208">
        <v>141.79</v>
      </c>
      <c r="J208">
        <v>145.62</v>
      </c>
      <c r="K208">
        <v>149.56</v>
      </c>
      <c r="L208">
        <v>153.6</v>
      </c>
      <c r="M208">
        <v>157.75</v>
      </c>
      <c r="N208">
        <v>162.02000000000001</v>
      </c>
      <c r="O208">
        <v>166.39</v>
      </c>
      <c r="P208">
        <v>0</v>
      </c>
      <c r="Q208" s="304">
        <v>1732</v>
      </c>
    </row>
    <row r="209" spans="2:17" hidden="1" outlineLevel="1">
      <c r="B209" t="s">
        <v>881</v>
      </c>
      <c r="C209" t="s">
        <v>676</v>
      </c>
      <c r="D209">
        <v>154.16999999999999</v>
      </c>
      <c r="E209">
        <v>158.33000000000001</v>
      </c>
      <c r="F209">
        <v>162.61000000000001</v>
      </c>
      <c r="G209">
        <v>167</v>
      </c>
      <c r="H209">
        <v>171.51</v>
      </c>
      <c r="I209">
        <v>176.13</v>
      </c>
      <c r="J209">
        <v>180.89</v>
      </c>
      <c r="K209">
        <v>185.78</v>
      </c>
      <c r="L209">
        <v>190.8</v>
      </c>
      <c r="M209">
        <v>195.96</v>
      </c>
      <c r="N209">
        <v>201.25</v>
      </c>
      <c r="O209">
        <v>206.69</v>
      </c>
      <c r="P209">
        <v>0</v>
      </c>
      <c r="Q209" s="304">
        <v>2151</v>
      </c>
    </row>
    <row r="210" spans="2:17" hidden="1" outlineLevel="1">
      <c r="B210" t="s">
        <v>882</v>
      </c>
      <c r="C210" t="s">
        <v>676</v>
      </c>
      <c r="D210">
        <v>144.19999999999999</v>
      </c>
      <c r="E210">
        <v>148.1</v>
      </c>
      <c r="F210">
        <v>152.09</v>
      </c>
      <c r="G210">
        <v>156.21</v>
      </c>
      <c r="H210">
        <v>160.41999999999999</v>
      </c>
      <c r="I210">
        <v>164.74</v>
      </c>
      <c r="J210">
        <v>169.2</v>
      </c>
      <c r="K210">
        <v>173.77</v>
      </c>
      <c r="L210">
        <v>178.46</v>
      </c>
      <c r="M210">
        <v>183.29</v>
      </c>
      <c r="N210">
        <v>188.24</v>
      </c>
      <c r="O210">
        <v>193.33</v>
      </c>
      <c r="P210">
        <v>0</v>
      </c>
      <c r="Q210" s="304">
        <v>2012</v>
      </c>
    </row>
    <row r="211" spans="2:17" hidden="1" outlineLevel="1">
      <c r="B211" t="s">
        <v>883</v>
      </c>
      <c r="C211" t="s">
        <v>676</v>
      </c>
      <c r="D211">
        <v>158.69</v>
      </c>
      <c r="E211">
        <v>162.97999999999999</v>
      </c>
      <c r="F211">
        <v>167.38</v>
      </c>
      <c r="G211">
        <v>171.9</v>
      </c>
      <c r="H211">
        <v>176.54</v>
      </c>
      <c r="I211">
        <v>181.3</v>
      </c>
      <c r="J211">
        <v>186.2</v>
      </c>
      <c r="K211">
        <v>191.23</v>
      </c>
      <c r="L211">
        <v>196.4</v>
      </c>
      <c r="M211">
        <v>201.71</v>
      </c>
      <c r="N211">
        <v>207.16</v>
      </c>
      <c r="O211">
        <v>212.75</v>
      </c>
      <c r="P211">
        <v>0</v>
      </c>
      <c r="Q211" s="304">
        <v>2214</v>
      </c>
    </row>
    <row r="212" spans="2:17" hidden="1" outlineLevel="1">
      <c r="B212" t="s">
        <v>884</v>
      </c>
      <c r="C212" t="s">
        <v>676</v>
      </c>
      <c r="D212">
        <v>79.540000000000006</v>
      </c>
      <c r="E212">
        <v>81.69</v>
      </c>
      <c r="F212">
        <v>83.9</v>
      </c>
      <c r="G212">
        <v>86.16</v>
      </c>
      <c r="H212">
        <v>88.49</v>
      </c>
      <c r="I212">
        <v>90.87</v>
      </c>
      <c r="J212">
        <v>93.33</v>
      </c>
      <c r="K212">
        <v>95.85</v>
      </c>
      <c r="L212">
        <v>98.44</v>
      </c>
      <c r="M212">
        <v>101.1</v>
      </c>
      <c r="N212">
        <v>103.84</v>
      </c>
      <c r="O212">
        <v>106.64</v>
      </c>
      <c r="P212">
        <v>0</v>
      </c>
      <c r="Q212" s="304">
        <v>1110</v>
      </c>
    </row>
    <row r="213" spans="2:17" hidden="1" outlineLevel="1">
      <c r="B213" t="s">
        <v>885</v>
      </c>
      <c r="C213" t="s">
        <v>676</v>
      </c>
      <c r="D213">
        <v>79.540000000000006</v>
      </c>
      <c r="E213">
        <v>81.69</v>
      </c>
      <c r="F213">
        <v>83.9</v>
      </c>
      <c r="G213">
        <v>86.16</v>
      </c>
      <c r="H213">
        <v>88.49</v>
      </c>
      <c r="I213">
        <v>90.87</v>
      </c>
      <c r="J213">
        <v>93.33</v>
      </c>
      <c r="K213">
        <v>95.85</v>
      </c>
      <c r="L213">
        <v>98.44</v>
      </c>
      <c r="M213">
        <v>101.1</v>
      </c>
      <c r="N213">
        <v>103.84</v>
      </c>
      <c r="O213">
        <v>106.64</v>
      </c>
      <c r="P213">
        <v>0</v>
      </c>
      <c r="Q213" s="304">
        <v>1110</v>
      </c>
    </row>
    <row r="214" spans="2:17" hidden="1" outlineLevel="1">
      <c r="B214" t="s">
        <v>886</v>
      </c>
      <c r="C214" t="s">
        <v>676</v>
      </c>
      <c r="D214">
        <v>73.260000000000005</v>
      </c>
      <c r="E214">
        <v>75.239999999999995</v>
      </c>
      <c r="F214">
        <v>77.27</v>
      </c>
      <c r="G214">
        <v>79.36</v>
      </c>
      <c r="H214">
        <v>81.5</v>
      </c>
      <c r="I214">
        <v>83.7</v>
      </c>
      <c r="J214">
        <v>85.96</v>
      </c>
      <c r="K214">
        <v>88.28</v>
      </c>
      <c r="L214">
        <v>90.67</v>
      </c>
      <c r="M214">
        <v>93.12</v>
      </c>
      <c r="N214">
        <v>95.64</v>
      </c>
      <c r="O214">
        <v>98.22</v>
      </c>
      <c r="P214">
        <v>0</v>
      </c>
      <c r="Q214" s="304">
        <v>1022</v>
      </c>
    </row>
    <row r="215" spans="2:17" hidden="1" outlineLevel="1">
      <c r="B215" t="s">
        <v>887</v>
      </c>
      <c r="C215" t="s">
        <v>676</v>
      </c>
      <c r="D215">
        <v>121.17</v>
      </c>
      <c r="E215">
        <v>124.44</v>
      </c>
      <c r="F215">
        <v>127.8</v>
      </c>
      <c r="G215">
        <v>131.26</v>
      </c>
      <c r="H215">
        <v>134.80000000000001</v>
      </c>
      <c r="I215">
        <v>138.43</v>
      </c>
      <c r="J215">
        <v>142.16999999999999</v>
      </c>
      <c r="K215">
        <v>146.01</v>
      </c>
      <c r="L215">
        <v>149.96</v>
      </c>
      <c r="M215">
        <v>154.02000000000001</v>
      </c>
      <c r="N215">
        <v>158.18</v>
      </c>
      <c r="O215">
        <v>162.44999999999999</v>
      </c>
      <c r="P215">
        <v>0</v>
      </c>
      <c r="Q215" s="304">
        <v>1691</v>
      </c>
    </row>
    <row r="216" spans="2:17" hidden="1" outlineLevel="1">
      <c r="B216" t="s">
        <v>888</v>
      </c>
      <c r="C216" t="s">
        <v>676</v>
      </c>
      <c r="D216">
        <v>152.41999999999999</v>
      </c>
      <c r="E216">
        <v>156.54</v>
      </c>
      <c r="F216">
        <v>160.76</v>
      </c>
      <c r="G216">
        <v>165.11</v>
      </c>
      <c r="H216">
        <v>169.56</v>
      </c>
      <c r="I216">
        <v>174.13</v>
      </c>
      <c r="J216">
        <v>178.84</v>
      </c>
      <c r="K216">
        <v>183.67</v>
      </c>
      <c r="L216">
        <v>188.63</v>
      </c>
      <c r="M216">
        <v>193.73</v>
      </c>
      <c r="N216">
        <v>198.97</v>
      </c>
      <c r="O216">
        <v>204.34</v>
      </c>
      <c r="P216">
        <v>0</v>
      </c>
      <c r="Q216" s="304">
        <v>2127</v>
      </c>
    </row>
    <row r="217" spans="2:17" hidden="1" outlineLevel="1">
      <c r="B217" t="s">
        <v>889</v>
      </c>
      <c r="C217" t="s">
        <v>676</v>
      </c>
      <c r="D217">
        <v>126.05</v>
      </c>
      <c r="E217">
        <v>129.46</v>
      </c>
      <c r="F217">
        <v>132.96</v>
      </c>
      <c r="G217">
        <v>136.55000000000001</v>
      </c>
      <c r="H217">
        <v>140.22999999999999</v>
      </c>
      <c r="I217">
        <v>144.01</v>
      </c>
      <c r="J217">
        <v>147.91</v>
      </c>
      <c r="K217">
        <v>151.9</v>
      </c>
      <c r="L217">
        <v>156.01</v>
      </c>
      <c r="M217">
        <v>160.22999999999999</v>
      </c>
      <c r="N217">
        <v>164.56</v>
      </c>
      <c r="O217">
        <v>169</v>
      </c>
      <c r="P217">
        <v>0</v>
      </c>
      <c r="Q217" s="304">
        <v>1759</v>
      </c>
    </row>
    <row r="218" spans="2:17" hidden="1" outlineLevel="1">
      <c r="B218" t="s">
        <v>890</v>
      </c>
      <c r="C218" t="s">
        <v>676</v>
      </c>
      <c r="D218">
        <v>159.54</v>
      </c>
      <c r="E218">
        <v>163.85</v>
      </c>
      <c r="F218">
        <v>168.27</v>
      </c>
      <c r="G218">
        <v>172.82</v>
      </c>
      <c r="H218">
        <v>177.48</v>
      </c>
      <c r="I218">
        <v>182.27</v>
      </c>
      <c r="J218">
        <v>187.2</v>
      </c>
      <c r="K218">
        <v>192.25</v>
      </c>
      <c r="L218">
        <v>197.45</v>
      </c>
      <c r="M218">
        <v>202.79</v>
      </c>
      <c r="N218">
        <v>208.27</v>
      </c>
      <c r="O218">
        <v>213.89</v>
      </c>
      <c r="P218">
        <v>0</v>
      </c>
      <c r="Q218" s="304">
        <v>2226</v>
      </c>
    </row>
    <row r="219" spans="2:17" hidden="1" outlineLevel="1">
      <c r="B219" t="s">
        <v>891</v>
      </c>
      <c r="C219" t="s">
        <v>676</v>
      </c>
      <c r="D219">
        <v>92.65</v>
      </c>
      <c r="E219">
        <v>95.15</v>
      </c>
      <c r="F219">
        <v>97.72</v>
      </c>
      <c r="G219">
        <v>100.36</v>
      </c>
      <c r="H219">
        <v>103.07</v>
      </c>
      <c r="I219">
        <v>105.85</v>
      </c>
      <c r="J219">
        <v>108.71</v>
      </c>
      <c r="K219">
        <v>111.65</v>
      </c>
      <c r="L219">
        <v>114.66</v>
      </c>
      <c r="M219">
        <v>117.77</v>
      </c>
      <c r="N219">
        <v>120.95</v>
      </c>
      <c r="O219">
        <v>124.21</v>
      </c>
      <c r="P219">
        <v>0</v>
      </c>
      <c r="Q219" s="304">
        <v>1293</v>
      </c>
    </row>
    <row r="220" spans="2:17" hidden="1" outlineLevel="1">
      <c r="B220" t="s">
        <v>892</v>
      </c>
      <c r="C220" t="s">
        <v>676</v>
      </c>
      <c r="D220">
        <v>54.86</v>
      </c>
      <c r="E220">
        <v>56.35</v>
      </c>
      <c r="F220">
        <v>57.87</v>
      </c>
      <c r="G220">
        <v>59.43</v>
      </c>
      <c r="H220">
        <v>61.03</v>
      </c>
      <c r="I220">
        <v>62.68</v>
      </c>
      <c r="J220">
        <v>64.38</v>
      </c>
      <c r="K220">
        <v>66.11</v>
      </c>
      <c r="L220">
        <v>67.900000000000006</v>
      </c>
      <c r="M220">
        <v>69.739999999999995</v>
      </c>
      <c r="N220">
        <v>71.62</v>
      </c>
      <c r="O220">
        <v>73.56</v>
      </c>
      <c r="P220">
        <v>0</v>
      </c>
      <c r="Q220">
        <v>766</v>
      </c>
    </row>
    <row r="221" spans="2:17" hidden="1" outlineLevel="1">
      <c r="B221" t="s">
        <v>893</v>
      </c>
      <c r="C221" t="s">
        <v>676</v>
      </c>
      <c r="D221">
        <v>164.4</v>
      </c>
      <c r="E221">
        <v>168.84</v>
      </c>
      <c r="F221">
        <v>173.4</v>
      </c>
      <c r="G221">
        <v>178.09</v>
      </c>
      <c r="H221">
        <v>182.89</v>
      </c>
      <c r="I221">
        <v>187.82</v>
      </c>
      <c r="J221">
        <v>192.9</v>
      </c>
      <c r="K221">
        <v>198.11</v>
      </c>
      <c r="L221">
        <v>203.46</v>
      </c>
      <c r="M221">
        <v>208.96</v>
      </c>
      <c r="N221">
        <v>214.61</v>
      </c>
      <c r="O221">
        <v>220.41</v>
      </c>
      <c r="P221">
        <v>0</v>
      </c>
      <c r="Q221" s="304">
        <v>2294</v>
      </c>
    </row>
    <row r="222" spans="2:17" hidden="1" outlineLevel="1">
      <c r="B222" t="s">
        <v>894</v>
      </c>
      <c r="C222" t="s">
        <v>676</v>
      </c>
      <c r="D222">
        <v>127.03</v>
      </c>
      <c r="E222">
        <v>130.46</v>
      </c>
      <c r="F222">
        <v>133.97999999999999</v>
      </c>
      <c r="G222">
        <v>137.6</v>
      </c>
      <c r="H222">
        <v>141.31</v>
      </c>
      <c r="I222">
        <v>145.12</v>
      </c>
      <c r="J222">
        <v>149.05000000000001</v>
      </c>
      <c r="K222">
        <v>153.07</v>
      </c>
      <c r="L222">
        <v>157.21</v>
      </c>
      <c r="M222">
        <v>161.46</v>
      </c>
      <c r="N222">
        <v>165.83</v>
      </c>
      <c r="O222">
        <v>170.3</v>
      </c>
      <c r="P222">
        <v>0</v>
      </c>
      <c r="Q222" s="304">
        <v>1772</v>
      </c>
    </row>
    <row r="223" spans="2:17" hidden="1" outlineLevel="1">
      <c r="B223" t="s">
        <v>895</v>
      </c>
      <c r="C223" t="s">
        <v>676</v>
      </c>
      <c r="D223">
        <v>119.96</v>
      </c>
      <c r="E223">
        <v>123.21</v>
      </c>
      <c r="F223">
        <v>126.53</v>
      </c>
      <c r="G223">
        <v>129.94999999999999</v>
      </c>
      <c r="H223">
        <v>133.46</v>
      </c>
      <c r="I223">
        <v>137.06</v>
      </c>
      <c r="J223">
        <v>140.76</v>
      </c>
      <c r="K223">
        <v>144.56</v>
      </c>
      <c r="L223">
        <v>148.47</v>
      </c>
      <c r="M223">
        <v>152.49</v>
      </c>
      <c r="N223">
        <v>156.61000000000001</v>
      </c>
      <c r="O223">
        <v>160.84</v>
      </c>
      <c r="P223">
        <v>0</v>
      </c>
      <c r="Q223" s="304">
        <v>1674</v>
      </c>
    </row>
    <row r="224" spans="2:17" hidden="1" outlineLevel="1">
      <c r="B224" t="s">
        <v>896</v>
      </c>
      <c r="C224" t="s">
        <v>676</v>
      </c>
      <c r="D224">
        <v>127.92</v>
      </c>
      <c r="E224">
        <v>131.38</v>
      </c>
      <c r="F224">
        <v>134.93</v>
      </c>
      <c r="G224">
        <v>138.58000000000001</v>
      </c>
      <c r="H224">
        <v>142.31</v>
      </c>
      <c r="I224">
        <v>146.15</v>
      </c>
      <c r="J224">
        <v>150.1</v>
      </c>
      <c r="K224">
        <v>154.16</v>
      </c>
      <c r="L224">
        <v>158.32</v>
      </c>
      <c r="M224">
        <v>162.6</v>
      </c>
      <c r="N224">
        <v>167</v>
      </c>
      <c r="O224">
        <v>171.51</v>
      </c>
      <c r="P224">
        <v>0</v>
      </c>
      <c r="Q224" s="304">
        <v>1785</v>
      </c>
    </row>
    <row r="225" spans="2:17" hidden="1" outlineLevel="1">
      <c r="B225" t="s">
        <v>897</v>
      </c>
      <c r="C225" t="s">
        <v>676</v>
      </c>
      <c r="D225">
        <v>82.19</v>
      </c>
      <c r="E225">
        <v>84.42</v>
      </c>
      <c r="F225">
        <v>86.69</v>
      </c>
      <c r="G225">
        <v>89.04</v>
      </c>
      <c r="H225">
        <v>91.44</v>
      </c>
      <c r="I225">
        <v>93.9</v>
      </c>
      <c r="J225">
        <v>96.44</v>
      </c>
      <c r="K225">
        <v>99.05</v>
      </c>
      <c r="L225">
        <v>101.73</v>
      </c>
      <c r="M225">
        <v>104.48</v>
      </c>
      <c r="N225">
        <v>107.3</v>
      </c>
      <c r="O225">
        <v>110.2</v>
      </c>
      <c r="P225">
        <v>0</v>
      </c>
      <c r="Q225" s="304">
        <v>1147</v>
      </c>
    </row>
    <row r="226" spans="2:17" hidden="1" outlineLevel="1">
      <c r="B226" t="s">
        <v>898</v>
      </c>
      <c r="C226" t="s">
        <v>676</v>
      </c>
      <c r="D226">
        <v>82.19</v>
      </c>
      <c r="E226">
        <v>84.42</v>
      </c>
      <c r="F226">
        <v>86.69</v>
      </c>
      <c r="G226">
        <v>89.04</v>
      </c>
      <c r="H226">
        <v>91.44</v>
      </c>
      <c r="I226">
        <v>93.9</v>
      </c>
      <c r="J226">
        <v>96.44</v>
      </c>
      <c r="K226">
        <v>99.05</v>
      </c>
      <c r="L226">
        <v>101.73</v>
      </c>
      <c r="M226">
        <v>104.48</v>
      </c>
      <c r="N226">
        <v>107.3</v>
      </c>
      <c r="O226">
        <v>110.2</v>
      </c>
      <c r="P226">
        <v>0</v>
      </c>
      <c r="Q226" s="304">
        <v>1147</v>
      </c>
    </row>
    <row r="227" spans="2:17" hidden="1" outlineLevel="1">
      <c r="B227" t="s">
        <v>899</v>
      </c>
      <c r="C227" t="s">
        <v>676</v>
      </c>
      <c r="D227">
        <v>86.88</v>
      </c>
      <c r="E227">
        <v>89.23</v>
      </c>
      <c r="F227">
        <v>91.64</v>
      </c>
      <c r="G227">
        <v>94.11</v>
      </c>
      <c r="H227">
        <v>96.65</v>
      </c>
      <c r="I227">
        <v>99.26</v>
      </c>
      <c r="J227">
        <v>101.94</v>
      </c>
      <c r="K227">
        <v>104.69</v>
      </c>
      <c r="L227">
        <v>107.52</v>
      </c>
      <c r="M227">
        <v>110.43</v>
      </c>
      <c r="N227">
        <v>113.42</v>
      </c>
      <c r="O227">
        <v>116.48</v>
      </c>
      <c r="P227">
        <v>0</v>
      </c>
      <c r="Q227" s="304">
        <v>1212</v>
      </c>
    </row>
    <row r="228" spans="2:17" hidden="1" outlineLevel="1">
      <c r="B228" t="s">
        <v>900</v>
      </c>
      <c r="C228" t="s">
        <v>676</v>
      </c>
      <c r="D228">
        <v>152.27000000000001</v>
      </c>
      <c r="E228">
        <v>156.38</v>
      </c>
      <c r="F228">
        <v>160.6</v>
      </c>
      <c r="G228">
        <v>164.95</v>
      </c>
      <c r="H228">
        <v>169.39</v>
      </c>
      <c r="I228">
        <v>173.96</v>
      </c>
      <c r="J228">
        <v>178.66</v>
      </c>
      <c r="K228">
        <v>183.49</v>
      </c>
      <c r="L228">
        <v>188.45</v>
      </c>
      <c r="M228">
        <v>193.54</v>
      </c>
      <c r="N228">
        <v>198.78</v>
      </c>
      <c r="O228">
        <v>204.14</v>
      </c>
      <c r="P228">
        <v>0</v>
      </c>
      <c r="Q228" s="304">
        <v>2125</v>
      </c>
    </row>
    <row r="229" spans="2:17" hidden="1" outlineLevel="1">
      <c r="B229" t="s">
        <v>901</v>
      </c>
      <c r="C229" t="s">
        <v>676</v>
      </c>
      <c r="D229">
        <v>143.1</v>
      </c>
      <c r="E229">
        <v>146.97</v>
      </c>
      <c r="F229">
        <v>150.94</v>
      </c>
      <c r="G229">
        <v>155.02000000000001</v>
      </c>
      <c r="H229">
        <v>159.19999999999999</v>
      </c>
      <c r="I229">
        <v>163.49</v>
      </c>
      <c r="J229">
        <v>167.91</v>
      </c>
      <c r="K229">
        <v>172.45</v>
      </c>
      <c r="L229">
        <v>177.11</v>
      </c>
      <c r="M229">
        <v>181.9</v>
      </c>
      <c r="N229">
        <v>186.82</v>
      </c>
      <c r="O229">
        <v>191.86</v>
      </c>
      <c r="P229">
        <v>0</v>
      </c>
      <c r="Q229" s="304">
        <v>1997</v>
      </c>
    </row>
    <row r="230" spans="2:17" hidden="1" outlineLevel="1">
      <c r="B230" t="s">
        <v>902</v>
      </c>
      <c r="C230" t="s">
        <v>676</v>
      </c>
      <c r="D230">
        <v>81.16</v>
      </c>
      <c r="E230">
        <v>83.36</v>
      </c>
      <c r="F230">
        <v>85.61</v>
      </c>
      <c r="G230">
        <v>87.92</v>
      </c>
      <c r="H230">
        <v>90.29</v>
      </c>
      <c r="I230">
        <v>92.73</v>
      </c>
      <c r="J230">
        <v>95.23</v>
      </c>
      <c r="K230">
        <v>97.8</v>
      </c>
      <c r="L230">
        <v>100.45</v>
      </c>
      <c r="M230">
        <v>103.16</v>
      </c>
      <c r="N230">
        <v>105.95</v>
      </c>
      <c r="O230">
        <v>108.81</v>
      </c>
      <c r="P230">
        <v>0</v>
      </c>
      <c r="Q230" s="304">
        <v>1132</v>
      </c>
    </row>
    <row r="231" spans="2:17" hidden="1" outlineLevel="1">
      <c r="B231" t="s">
        <v>903</v>
      </c>
      <c r="C231" t="s">
        <v>676</v>
      </c>
      <c r="D231">
        <v>98.53</v>
      </c>
      <c r="E231">
        <v>101.19</v>
      </c>
      <c r="F231">
        <v>103.92</v>
      </c>
      <c r="G231">
        <v>106.73</v>
      </c>
      <c r="H231">
        <v>109.61</v>
      </c>
      <c r="I231">
        <v>112.56</v>
      </c>
      <c r="J231">
        <v>115.61</v>
      </c>
      <c r="K231">
        <v>118.73</v>
      </c>
      <c r="L231">
        <v>121.94</v>
      </c>
      <c r="M231">
        <v>125.24</v>
      </c>
      <c r="N231">
        <v>128.62</v>
      </c>
      <c r="O231">
        <v>132.09</v>
      </c>
      <c r="P231">
        <v>0</v>
      </c>
      <c r="Q231" s="304">
        <v>1375</v>
      </c>
    </row>
    <row r="232" spans="2:17" hidden="1" outlineLevel="1">
      <c r="B232" t="s">
        <v>904</v>
      </c>
      <c r="C232" t="s">
        <v>676</v>
      </c>
      <c r="D232">
        <v>134.38</v>
      </c>
      <c r="E232">
        <v>138.02000000000001</v>
      </c>
      <c r="F232">
        <v>141.74</v>
      </c>
      <c r="G232">
        <v>145.57</v>
      </c>
      <c r="H232">
        <v>149.5</v>
      </c>
      <c r="I232">
        <v>153.53</v>
      </c>
      <c r="J232">
        <v>157.68</v>
      </c>
      <c r="K232">
        <v>161.94</v>
      </c>
      <c r="L232">
        <v>166.32</v>
      </c>
      <c r="M232">
        <v>170.81</v>
      </c>
      <c r="N232">
        <v>175.43</v>
      </c>
      <c r="O232">
        <v>180.17</v>
      </c>
      <c r="P232">
        <v>0</v>
      </c>
      <c r="Q232" s="304">
        <v>1875</v>
      </c>
    </row>
    <row r="233" spans="2:17" hidden="1" outlineLevel="1">
      <c r="B233" t="s">
        <v>905</v>
      </c>
      <c r="C233" t="s">
        <v>676</v>
      </c>
      <c r="D233">
        <v>122.71</v>
      </c>
      <c r="E233">
        <v>126.02</v>
      </c>
      <c r="F233">
        <v>129.43</v>
      </c>
      <c r="G233">
        <v>132.93</v>
      </c>
      <c r="H233">
        <v>136.51</v>
      </c>
      <c r="I233">
        <v>140.19</v>
      </c>
      <c r="J233">
        <v>143.97999999999999</v>
      </c>
      <c r="K233">
        <v>147.87</v>
      </c>
      <c r="L233">
        <v>151.87</v>
      </c>
      <c r="M233">
        <v>155.97</v>
      </c>
      <c r="N233">
        <v>160.19</v>
      </c>
      <c r="O233">
        <v>164.51</v>
      </c>
      <c r="P233">
        <v>0</v>
      </c>
      <c r="Q233" s="304">
        <v>1712</v>
      </c>
    </row>
    <row r="234" spans="2:17" hidden="1" outlineLevel="1">
      <c r="B234" t="s">
        <v>906</v>
      </c>
      <c r="C234" t="s">
        <v>676</v>
      </c>
      <c r="D234">
        <v>167.04</v>
      </c>
      <c r="E234">
        <v>171.56</v>
      </c>
      <c r="F234">
        <v>176.19</v>
      </c>
      <c r="G234">
        <v>180.95</v>
      </c>
      <c r="H234">
        <v>185.83</v>
      </c>
      <c r="I234">
        <v>190.84</v>
      </c>
      <c r="J234">
        <v>196</v>
      </c>
      <c r="K234">
        <v>201.29</v>
      </c>
      <c r="L234">
        <v>206.73</v>
      </c>
      <c r="M234">
        <v>212.32</v>
      </c>
      <c r="N234">
        <v>218.06</v>
      </c>
      <c r="O234">
        <v>223.95</v>
      </c>
      <c r="P234">
        <v>0</v>
      </c>
      <c r="Q234" s="304">
        <v>2331</v>
      </c>
    </row>
    <row r="235" spans="2:17" hidden="1" outlineLevel="1">
      <c r="B235" t="s">
        <v>907</v>
      </c>
      <c r="C235" t="s">
        <v>676</v>
      </c>
      <c r="D235">
        <v>103.41</v>
      </c>
      <c r="E235">
        <v>106.2</v>
      </c>
      <c r="F235">
        <v>109.07</v>
      </c>
      <c r="G235">
        <v>112.02</v>
      </c>
      <c r="H235">
        <v>115.04</v>
      </c>
      <c r="I235">
        <v>118.14</v>
      </c>
      <c r="J235">
        <v>121.33</v>
      </c>
      <c r="K235">
        <v>124.61</v>
      </c>
      <c r="L235">
        <v>127.98</v>
      </c>
      <c r="M235">
        <v>131.44</v>
      </c>
      <c r="N235">
        <v>134.99</v>
      </c>
      <c r="O235">
        <v>138.63999999999999</v>
      </c>
      <c r="P235">
        <v>0</v>
      </c>
      <c r="Q235" s="304">
        <v>1443</v>
      </c>
    </row>
    <row r="236" spans="2:17" hidden="1" outlineLevel="1">
      <c r="B236" t="s">
        <v>908</v>
      </c>
      <c r="C236" t="s">
        <v>676</v>
      </c>
      <c r="D236">
        <v>118.85</v>
      </c>
      <c r="E236">
        <v>122.07</v>
      </c>
      <c r="F236">
        <v>125.36</v>
      </c>
      <c r="G236">
        <v>128.75</v>
      </c>
      <c r="H236">
        <v>132.22</v>
      </c>
      <c r="I236">
        <v>135.79</v>
      </c>
      <c r="J236">
        <v>139.46</v>
      </c>
      <c r="K236">
        <v>143.22</v>
      </c>
      <c r="L236">
        <v>147.09</v>
      </c>
      <c r="M236">
        <v>151.07</v>
      </c>
      <c r="N236">
        <v>155.16</v>
      </c>
      <c r="O236">
        <v>159.34</v>
      </c>
      <c r="P236">
        <v>0</v>
      </c>
      <c r="Q236" s="304">
        <v>1658</v>
      </c>
    </row>
    <row r="237" spans="2:17" hidden="1" outlineLevel="1">
      <c r="B237" t="s">
        <v>909</v>
      </c>
      <c r="C237" t="s">
        <v>676</v>
      </c>
      <c r="D237">
        <v>140.61000000000001</v>
      </c>
      <c r="E237">
        <v>144.41</v>
      </c>
      <c r="F237">
        <v>148.30000000000001</v>
      </c>
      <c r="G237">
        <v>152.31</v>
      </c>
      <c r="H237">
        <v>156.41999999999999</v>
      </c>
      <c r="I237">
        <v>160.63999999999999</v>
      </c>
      <c r="J237">
        <v>164.98</v>
      </c>
      <c r="K237">
        <v>169.44</v>
      </c>
      <c r="L237">
        <v>174.02</v>
      </c>
      <c r="M237">
        <v>178.72</v>
      </c>
      <c r="N237">
        <v>183.55</v>
      </c>
      <c r="O237">
        <v>188.51</v>
      </c>
      <c r="P237">
        <v>0</v>
      </c>
      <c r="Q237" s="304">
        <v>1962</v>
      </c>
    </row>
    <row r="238" spans="2:17" hidden="1" outlineLevel="1">
      <c r="B238" t="s">
        <v>910</v>
      </c>
      <c r="C238" t="s">
        <v>676</v>
      </c>
      <c r="D238">
        <v>265.14</v>
      </c>
      <c r="E238">
        <v>272.31</v>
      </c>
      <c r="F238">
        <v>279.66000000000003</v>
      </c>
      <c r="G238">
        <v>287.22000000000003</v>
      </c>
      <c r="H238">
        <v>294.95999999999998</v>
      </c>
      <c r="I238">
        <v>302.92</v>
      </c>
      <c r="J238">
        <v>311.11</v>
      </c>
      <c r="K238">
        <v>319.51</v>
      </c>
      <c r="L238">
        <v>328.15</v>
      </c>
      <c r="M238">
        <v>337.02</v>
      </c>
      <c r="N238">
        <v>346.13</v>
      </c>
      <c r="O238">
        <v>355.48</v>
      </c>
      <c r="P238">
        <v>0</v>
      </c>
      <c r="Q238" s="304">
        <v>3700</v>
      </c>
    </row>
    <row r="239" spans="2:17" hidden="1" outlineLevel="1">
      <c r="B239" t="s">
        <v>911</v>
      </c>
      <c r="C239" t="s">
        <v>676</v>
      </c>
      <c r="D239">
        <v>212.11</v>
      </c>
      <c r="E239">
        <v>217.85</v>
      </c>
      <c r="F239">
        <v>223.73</v>
      </c>
      <c r="G239">
        <v>229.78</v>
      </c>
      <c r="H239">
        <v>235.97</v>
      </c>
      <c r="I239">
        <v>242.34</v>
      </c>
      <c r="J239">
        <v>248.89</v>
      </c>
      <c r="K239">
        <v>255.61</v>
      </c>
      <c r="L239">
        <v>262.52</v>
      </c>
      <c r="M239">
        <v>269.62</v>
      </c>
      <c r="N239">
        <v>276.89999999999998</v>
      </c>
      <c r="O239">
        <v>284.38</v>
      </c>
      <c r="P239">
        <v>0</v>
      </c>
      <c r="Q239" s="304">
        <v>2960</v>
      </c>
    </row>
    <row r="240" spans="2:17" hidden="1" outlineLevel="1">
      <c r="B240" t="s">
        <v>912</v>
      </c>
      <c r="C240" t="s">
        <v>676</v>
      </c>
      <c r="D240">
        <v>122.77</v>
      </c>
      <c r="E240">
        <v>126.09</v>
      </c>
      <c r="F240">
        <v>129.49</v>
      </c>
      <c r="G240">
        <v>132.99</v>
      </c>
      <c r="H240">
        <v>136.58000000000001</v>
      </c>
      <c r="I240">
        <v>140.26</v>
      </c>
      <c r="J240">
        <v>144.06</v>
      </c>
      <c r="K240">
        <v>147.94</v>
      </c>
      <c r="L240">
        <v>151.94</v>
      </c>
      <c r="M240">
        <v>156.05000000000001</v>
      </c>
      <c r="N240">
        <v>160.27000000000001</v>
      </c>
      <c r="O240">
        <v>164.6</v>
      </c>
      <c r="P240">
        <v>0</v>
      </c>
      <c r="Q240" s="304">
        <v>1713</v>
      </c>
    </row>
    <row r="241" spans="2:17" hidden="1" outlineLevel="1">
      <c r="B241" t="s">
        <v>913</v>
      </c>
      <c r="C241" t="s">
        <v>676</v>
      </c>
      <c r="D241">
        <v>101.5</v>
      </c>
      <c r="E241">
        <v>104.24</v>
      </c>
      <c r="F241">
        <v>107.06</v>
      </c>
      <c r="G241">
        <v>109.95</v>
      </c>
      <c r="H241">
        <v>112.91</v>
      </c>
      <c r="I241">
        <v>115.96</v>
      </c>
      <c r="J241">
        <v>119.09</v>
      </c>
      <c r="K241">
        <v>122.31</v>
      </c>
      <c r="L241">
        <v>125.62</v>
      </c>
      <c r="M241">
        <v>129.01</v>
      </c>
      <c r="N241">
        <v>132.5</v>
      </c>
      <c r="O241">
        <v>136.08000000000001</v>
      </c>
      <c r="P241">
        <v>0</v>
      </c>
      <c r="Q241" s="304">
        <v>1416</v>
      </c>
    </row>
    <row r="242" spans="2:17" hidden="1" outlineLevel="1">
      <c r="B242" t="s">
        <v>914</v>
      </c>
      <c r="C242" t="s">
        <v>676</v>
      </c>
      <c r="D242">
        <v>124.01</v>
      </c>
      <c r="E242">
        <v>127.36</v>
      </c>
      <c r="F242">
        <v>130.80000000000001</v>
      </c>
      <c r="G242">
        <v>134.34</v>
      </c>
      <c r="H242">
        <v>137.96</v>
      </c>
      <c r="I242">
        <v>141.68</v>
      </c>
      <c r="J242">
        <v>145.51</v>
      </c>
      <c r="K242">
        <v>149.44</v>
      </c>
      <c r="L242">
        <v>153.47999999999999</v>
      </c>
      <c r="M242">
        <v>157.63</v>
      </c>
      <c r="N242">
        <v>161.88999999999999</v>
      </c>
      <c r="O242">
        <v>166.26</v>
      </c>
      <c r="P242">
        <v>0</v>
      </c>
      <c r="Q242" s="304">
        <v>1730</v>
      </c>
    </row>
    <row r="243" spans="2:17" hidden="1" outlineLevel="1">
      <c r="B243" t="s">
        <v>915</v>
      </c>
      <c r="C243" t="s">
        <v>676</v>
      </c>
      <c r="D243">
        <v>82.19</v>
      </c>
      <c r="E243">
        <v>84.42</v>
      </c>
      <c r="F243">
        <v>86.69</v>
      </c>
      <c r="G243">
        <v>89.04</v>
      </c>
      <c r="H243">
        <v>91.44</v>
      </c>
      <c r="I243">
        <v>93.9</v>
      </c>
      <c r="J243">
        <v>96.44</v>
      </c>
      <c r="K243">
        <v>99.05</v>
      </c>
      <c r="L243">
        <v>101.73</v>
      </c>
      <c r="M243">
        <v>104.48</v>
      </c>
      <c r="N243">
        <v>107.3</v>
      </c>
      <c r="O243">
        <v>110.2</v>
      </c>
      <c r="P243">
        <v>0</v>
      </c>
      <c r="Q243" s="304">
        <v>1147</v>
      </c>
    </row>
    <row r="244" spans="2:17" hidden="1" outlineLevel="1">
      <c r="B244" t="s">
        <v>916</v>
      </c>
      <c r="C244" t="s">
        <v>676</v>
      </c>
      <c r="D244">
        <v>146.72999999999999</v>
      </c>
      <c r="E244">
        <v>150.69999999999999</v>
      </c>
      <c r="F244">
        <v>154.76</v>
      </c>
      <c r="G244">
        <v>158.94999999999999</v>
      </c>
      <c r="H244">
        <v>163.22999999999999</v>
      </c>
      <c r="I244">
        <v>167.63</v>
      </c>
      <c r="J244">
        <v>172.17</v>
      </c>
      <c r="K244">
        <v>176.82</v>
      </c>
      <c r="L244">
        <v>181.6</v>
      </c>
      <c r="M244">
        <v>186.51</v>
      </c>
      <c r="N244">
        <v>191.55</v>
      </c>
      <c r="O244">
        <v>196.72</v>
      </c>
      <c r="P244">
        <v>0</v>
      </c>
      <c r="Q244" s="304">
        <v>2047</v>
      </c>
    </row>
    <row r="245" spans="2:17" hidden="1" outlineLevel="1">
      <c r="B245" t="s">
        <v>917</v>
      </c>
      <c r="C245" t="s">
        <v>676</v>
      </c>
      <c r="D245">
        <v>82.19</v>
      </c>
      <c r="E245">
        <v>84.42</v>
      </c>
      <c r="F245">
        <v>86.69</v>
      </c>
      <c r="G245">
        <v>89.04</v>
      </c>
      <c r="H245">
        <v>91.44</v>
      </c>
      <c r="I245">
        <v>93.9</v>
      </c>
      <c r="J245">
        <v>96.44</v>
      </c>
      <c r="K245">
        <v>99.05</v>
      </c>
      <c r="L245">
        <v>101.73</v>
      </c>
      <c r="M245">
        <v>104.48</v>
      </c>
      <c r="N245">
        <v>107.3</v>
      </c>
      <c r="O245">
        <v>110.2</v>
      </c>
      <c r="P245">
        <v>0</v>
      </c>
      <c r="Q245" s="304">
        <v>1147</v>
      </c>
    </row>
    <row r="246" spans="2:17" hidden="1" outlineLevel="1">
      <c r="B246" t="s">
        <v>918</v>
      </c>
      <c r="C246" t="s">
        <v>676</v>
      </c>
      <c r="D246">
        <v>92.44</v>
      </c>
      <c r="E246">
        <v>94.94</v>
      </c>
      <c r="F246">
        <v>97.51</v>
      </c>
      <c r="G246">
        <v>100.14</v>
      </c>
      <c r="H246">
        <v>102.84</v>
      </c>
      <c r="I246">
        <v>105.61</v>
      </c>
      <c r="J246">
        <v>108.47</v>
      </c>
      <c r="K246">
        <v>111.4</v>
      </c>
      <c r="L246">
        <v>114.41</v>
      </c>
      <c r="M246">
        <v>117.5</v>
      </c>
      <c r="N246">
        <v>120.68</v>
      </c>
      <c r="O246">
        <v>123.94</v>
      </c>
      <c r="P246">
        <v>0</v>
      </c>
      <c r="Q246" s="304">
        <v>1290</v>
      </c>
    </row>
    <row r="247" spans="2:17" hidden="1" outlineLevel="1">
      <c r="B247" t="s">
        <v>919</v>
      </c>
      <c r="C247" t="s">
        <v>676</v>
      </c>
      <c r="D247">
        <v>133.38</v>
      </c>
      <c r="E247">
        <v>136.97999999999999</v>
      </c>
      <c r="F247">
        <v>140.68</v>
      </c>
      <c r="G247">
        <v>144.47999999999999</v>
      </c>
      <c r="H247">
        <v>148.38</v>
      </c>
      <c r="I247">
        <v>152.38</v>
      </c>
      <c r="J247">
        <v>156.5</v>
      </c>
      <c r="K247">
        <v>160.72999999999999</v>
      </c>
      <c r="L247">
        <v>165.07</v>
      </c>
      <c r="M247">
        <v>169.54</v>
      </c>
      <c r="N247">
        <v>174.12</v>
      </c>
      <c r="O247">
        <v>178.82</v>
      </c>
      <c r="P247">
        <v>0</v>
      </c>
      <c r="Q247" s="304">
        <v>1861</v>
      </c>
    </row>
    <row r="248" spans="2:17" hidden="1" outlineLevel="1">
      <c r="B248" t="s">
        <v>920</v>
      </c>
      <c r="C248" t="s">
        <v>676</v>
      </c>
      <c r="D248">
        <v>164.3</v>
      </c>
      <c r="E248">
        <v>168.75</v>
      </c>
      <c r="F248">
        <v>173.3</v>
      </c>
      <c r="G248">
        <v>177.99</v>
      </c>
      <c r="H248">
        <v>182.78</v>
      </c>
      <c r="I248">
        <v>187.71</v>
      </c>
      <c r="J248">
        <v>192.79</v>
      </c>
      <c r="K248">
        <v>197.99</v>
      </c>
      <c r="L248">
        <v>203.35</v>
      </c>
      <c r="M248">
        <v>208.85</v>
      </c>
      <c r="N248">
        <v>214.49</v>
      </c>
      <c r="O248">
        <v>220.28</v>
      </c>
      <c r="P248">
        <v>0</v>
      </c>
      <c r="Q248" s="304">
        <v>2293</v>
      </c>
    </row>
    <row r="249" spans="2:17" hidden="1" outlineLevel="1">
      <c r="B249" t="s">
        <v>921</v>
      </c>
      <c r="C249" t="s">
        <v>676</v>
      </c>
      <c r="D249">
        <v>105.5</v>
      </c>
      <c r="E249">
        <v>108.35</v>
      </c>
      <c r="F249">
        <v>111.27</v>
      </c>
      <c r="G249">
        <v>114.28</v>
      </c>
      <c r="H249">
        <v>117.36</v>
      </c>
      <c r="I249">
        <v>120.53</v>
      </c>
      <c r="J249">
        <v>123.78</v>
      </c>
      <c r="K249">
        <v>127.13</v>
      </c>
      <c r="L249">
        <v>130.56</v>
      </c>
      <c r="M249">
        <v>134.09</v>
      </c>
      <c r="N249">
        <v>137.72</v>
      </c>
      <c r="O249">
        <v>141.44</v>
      </c>
      <c r="P249">
        <v>0</v>
      </c>
      <c r="Q249" s="304">
        <v>1472</v>
      </c>
    </row>
    <row r="250" spans="2:17" hidden="1" outlineLevel="1">
      <c r="B250" t="s">
        <v>922</v>
      </c>
      <c r="C250" t="s">
        <v>676</v>
      </c>
      <c r="D250">
        <v>110.29</v>
      </c>
      <c r="E250">
        <v>113.27</v>
      </c>
      <c r="F250">
        <v>116.33</v>
      </c>
      <c r="G250">
        <v>119.48</v>
      </c>
      <c r="H250">
        <v>122.7</v>
      </c>
      <c r="I250">
        <v>126.01</v>
      </c>
      <c r="J250">
        <v>129.41</v>
      </c>
      <c r="K250">
        <v>132.91</v>
      </c>
      <c r="L250">
        <v>136.5</v>
      </c>
      <c r="M250">
        <v>140.19</v>
      </c>
      <c r="N250">
        <v>143.97999999999999</v>
      </c>
      <c r="O250">
        <v>147.87</v>
      </c>
      <c r="P250">
        <v>0</v>
      </c>
      <c r="Q250" s="304">
        <v>1539</v>
      </c>
    </row>
    <row r="251" spans="2:17" hidden="1" outlineLevel="1">
      <c r="B251" t="s">
        <v>923</v>
      </c>
      <c r="C251" t="s">
        <v>676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2:17" hidden="1" outlineLevel="1">
      <c r="B252" t="s">
        <v>924</v>
      </c>
      <c r="C252" t="s">
        <v>676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2:17" hidden="1" outlineLevel="1">
      <c r="B253" t="s">
        <v>925</v>
      </c>
      <c r="C253" t="s">
        <v>676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2:17" hidden="1" outlineLevel="1">
      <c r="B254" t="s">
        <v>926</v>
      </c>
      <c r="C254" t="s">
        <v>676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2:17" hidden="1" outlineLevel="1">
      <c r="B255" t="s">
        <v>927</v>
      </c>
      <c r="C255" t="s">
        <v>676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2:17" hidden="1" outlineLevel="1">
      <c r="B256" t="s">
        <v>928</v>
      </c>
      <c r="C256" t="s">
        <v>676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hidden="1" outlineLevel="1">
      <c r="B257" t="s">
        <v>929</v>
      </c>
      <c r="C257" t="s">
        <v>676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idden="1" outlineLevel="1">
      <c r="B258" t="s">
        <v>930</v>
      </c>
      <c r="C258" t="s">
        <v>676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idden="1" outlineLevel="1">
      <c r="B259" t="s">
        <v>931</v>
      </c>
      <c r="C259" t="s">
        <v>676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hidden="1" outlineLevel="1">
      <c r="B260" t="s">
        <v>932</v>
      </c>
      <c r="C260" t="s">
        <v>676</v>
      </c>
      <c r="D260">
        <v>85.23</v>
      </c>
      <c r="E260">
        <v>87.54</v>
      </c>
      <c r="F260">
        <v>89.9</v>
      </c>
      <c r="G260">
        <v>92.33</v>
      </c>
      <c r="H260">
        <v>94.82</v>
      </c>
      <c r="I260">
        <v>97.38</v>
      </c>
      <c r="J260">
        <v>100.01</v>
      </c>
      <c r="K260">
        <v>102.71</v>
      </c>
      <c r="L260">
        <v>105.49</v>
      </c>
      <c r="M260">
        <v>108.34</v>
      </c>
      <c r="N260">
        <v>111.27</v>
      </c>
      <c r="O260">
        <v>114.27</v>
      </c>
      <c r="P260">
        <v>0</v>
      </c>
      <c r="Q260" s="304">
        <v>1189</v>
      </c>
    </row>
    <row r="261" spans="1:17" collapsed="1">
      <c r="A261" t="s">
        <v>933</v>
      </c>
    </row>
    <row r="262" spans="1:17" hidden="1" outlineLevel="1">
      <c r="B262" t="s">
        <v>934</v>
      </c>
      <c r="C262" t="s">
        <v>676</v>
      </c>
      <c r="D262">
        <v>85.49</v>
      </c>
      <c r="E262">
        <v>87.8</v>
      </c>
      <c r="F262">
        <v>90.17</v>
      </c>
      <c r="G262">
        <v>92.61</v>
      </c>
      <c r="H262">
        <v>95.1</v>
      </c>
      <c r="I262">
        <v>97.67</v>
      </c>
      <c r="J262">
        <v>100.31</v>
      </c>
      <c r="K262">
        <v>103.02</v>
      </c>
      <c r="L262">
        <v>105.8</v>
      </c>
      <c r="M262">
        <v>108.66</v>
      </c>
      <c r="N262">
        <v>111.6</v>
      </c>
      <c r="O262">
        <v>114.61</v>
      </c>
      <c r="P262">
        <v>0</v>
      </c>
      <c r="Q262" s="304">
        <v>1193</v>
      </c>
    </row>
    <row r="263" spans="1:17" hidden="1" outlineLevel="1">
      <c r="B263" t="s">
        <v>935</v>
      </c>
      <c r="C263" t="s">
        <v>676</v>
      </c>
      <c r="D263">
        <v>85.49</v>
      </c>
      <c r="E263">
        <v>87.8</v>
      </c>
      <c r="F263">
        <v>90.17</v>
      </c>
      <c r="G263">
        <v>92.61</v>
      </c>
      <c r="H263">
        <v>95.1</v>
      </c>
      <c r="I263">
        <v>97.67</v>
      </c>
      <c r="J263">
        <v>100.31</v>
      </c>
      <c r="K263">
        <v>103.02</v>
      </c>
      <c r="L263">
        <v>105.8</v>
      </c>
      <c r="M263">
        <v>108.66</v>
      </c>
      <c r="N263">
        <v>111.6</v>
      </c>
      <c r="O263">
        <v>114.61</v>
      </c>
      <c r="P263">
        <v>0</v>
      </c>
      <c r="Q263" s="304">
        <v>1193</v>
      </c>
    </row>
    <row r="264" spans="1:17" hidden="1" outlineLevel="1">
      <c r="B264" t="s">
        <v>936</v>
      </c>
      <c r="C264" t="s">
        <v>676</v>
      </c>
      <c r="D264">
        <v>69.77</v>
      </c>
      <c r="E264">
        <v>71.650000000000006</v>
      </c>
      <c r="F264">
        <v>73.59</v>
      </c>
      <c r="G264">
        <v>75.569999999999993</v>
      </c>
      <c r="H264">
        <v>77.61</v>
      </c>
      <c r="I264">
        <v>79.709999999999994</v>
      </c>
      <c r="J264">
        <v>81.86</v>
      </c>
      <c r="K264">
        <v>84.07</v>
      </c>
      <c r="L264">
        <v>86.34</v>
      </c>
      <c r="M264">
        <v>88.68</v>
      </c>
      <c r="N264">
        <v>91.08</v>
      </c>
      <c r="O264">
        <v>93.53</v>
      </c>
      <c r="P264">
        <v>0</v>
      </c>
      <c r="Q264">
        <v>973</v>
      </c>
    </row>
    <row r="265" spans="1:17" hidden="1" outlineLevel="1">
      <c r="B265" t="s">
        <v>937</v>
      </c>
      <c r="C265" t="s">
        <v>676</v>
      </c>
      <c r="D265">
        <v>119.46</v>
      </c>
      <c r="E265">
        <v>122.69</v>
      </c>
      <c r="F265">
        <v>126</v>
      </c>
      <c r="G265">
        <v>129.4</v>
      </c>
      <c r="H265">
        <v>132.88999999999999</v>
      </c>
      <c r="I265">
        <v>136.47999999999999</v>
      </c>
      <c r="J265">
        <v>140.16999999999999</v>
      </c>
      <c r="K265">
        <v>143.94999999999999</v>
      </c>
      <c r="L265">
        <v>147.84</v>
      </c>
      <c r="M265">
        <v>151.84</v>
      </c>
      <c r="N265">
        <v>155.94</v>
      </c>
      <c r="O265">
        <v>160.15</v>
      </c>
      <c r="P265">
        <v>0</v>
      </c>
      <c r="Q265" s="304">
        <v>1667</v>
      </c>
    </row>
    <row r="266" spans="1:17" hidden="1" outlineLevel="1">
      <c r="B266" t="s">
        <v>938</v>
      </c>
      <c r="C266" t="s">
        <v>676</v>
      </c>
      <c r="D266">
        <v>86.84</v>
      </c>
      <c r="E266">
        <v>89.19</v>
      </c>
      <c r="F266">
        <v>91.6</v>
      </c>
      <c r="G266">
        <v>94.07</v>
      </c>
      <c r="H266">
        <v>96.61</v>
      </c>
      <c r="I266">
        <v>99.21</v>
      </c>
      <c r="J266">
        <v>101.9</v>
      </c>
      <c r="K266">
        <v>104.65</v>
      </c>
      <c r="L266">
        <v>107.48</v>
      </c>
      <c r="M266">
        <v>110.38</v>
      </c>
      <c r="N266">
        <v>113.37</v>
      </c>
      <c r="O266">
        <v>116.43</v>
      </c>
      <c r="P266">
        <v>0</v>
      </c>
      <c r="Q266" s="304">
        <v>1212</v>
      </c>
    </row>
    <row r="267" spans="1:17" hidden="1" outlineLevel="1">
      <c r="B267" t="s">
        <v>939</v>
      </c>
      <c r="C267" t="s">
        <v>676</v>
      </c>
      <c r="D267">
        <v>133.05000000000001</v>
      </c>
      <c r="E267">
        <v>136.65</v>
      </c>
      <c r="F267">
        <v>140.34</v>
      </c>
      <c r="G267">
        <v>144.13</v>
      </c>
      <c r="H267">
        <v>148.02000000000001</v>
      </c>
      <c r="I267">
        <v>152.01</v>
      </c>
      <c r="J267">
        <v>156.12</v>
      </c>
      <c r="K267">
        <v>160.33000000000001</v>
      </c>
      <c r="L267">
        <v>164.67</v>
      </c>
      <c r="M267">
        <v>169.12</v>
      </c>
      <c r="N267">
        <v>173.69</v>
      </c>
      <c r="O267">
        <v>178.38</v>
      </c>
      <c r="P267">
        <v>0</v>
      </c>
      <c r="Q267" s="304">
        <v>1857</v>
      </c>
    </row>
    <row r="268" spans="1:17" hidden="1" outlineLevel="1">
      <c r="B268" t="s">
        <v>940</v>
      </c>
      <c r="C268" t="s">
        <v>676</v>
      </c>
      <c r="D268">
        <v>85.49</v>
      </c>
      <c r="E268">
        <v>87.8</v>
      </c>
      <c r="F268">
        <v>90.17</v>
      </c>
      <c r="G268">
        <v>92.61</v>
      </c>
      <c r="H268">
        <v>95.1</v>
      </c>
      <c r="I268">
        <v>97.67</v>
      </c>
      <c r="J268">
        <v>100.31</v>
      </c>
      <c r="K268">
        <v>103.02</v>
      </c>
      <c r="L268">
        <v>105.8</v>
      </c>
      <c r="M268">
        <v>108.66</v>
      </c>
      <c r="N268">
        <v>111.6</v>
      </c>
      <c r="O268">
        <v>114.61</v>
      </c>
      <c r="P268">
        <v>0</v>
      </c>
      <c r="Q268" s="304">
        <v>1193</v>
      </c>
    </row>
    <row r="269" spans="1:17" hidden="1" outlineLevel="1">
      <c r="B269" t="s">
        <v>941</v>
      </c>
      <c r="C269" t="s">
        <v>676</v>
      </c>
      <c r="D269">
        <v>85.49</v>
      </c>
      <c r="E269">
        <v>87.8</v>
      </c>
      <c r="F269">
        <v>90.17</v>
      </c>
      <c r="G269">
        <v>92.61</v>
      </c>
      <c r="H269">
        <v>95.1</v>
      </c>
      <c r="I269">
        <v>97.67</v>
      </c>
      <c r="J269">
        <v>100.31</v>
      </c>
      <c r="K269">
        <v>103.02</v>
      </c>
      <c r="L269">
        <v>105.8</v>
      </c>
      <c r="M269">
        <v>108.66</v>
      </c>
      <c r="N269">
        <v>111.6</v>
      </c>
      <c r="O269">
        <v>114.61</v>
      </c>
      <c r="P269">
        <v>0</v>
      </c>
      <c r="Q269" s="304">
        <v>1193</v>
      </c>
    </row>
    <row r="270" spans="1:17" hidden="1" outlineLevel="1">
      <c r="B270" t="s">
        <v>942</v>
      </c>
      <c r="C270" t="s">
        <v>676</v>
      </c>
      <c r="D270">
        <v>128.97999999999999</v>
      </c>
      <c r="E270">
        <v>132.47</v>
      </c>
      <c r="F270">
        <v>136.04</v>
      </c>
      <c r="G270">
        <v>139.72</v>
      </c>
      <c r="H270">
        <v>143.49</v>
      </c>
      <c r="I270">
        <v>147.36000000000001</v>
      </c>
      <c r="J270">
        <v>151.34</v>
      </c>
      <c r="K270">
        <v>155.43</v>
      </c>
      <c r="L270">
        <v>159.63</v>
      </c>
      <c r="M270">
        <v>163.94</v>
      </c>
      <c r="N270">
        <v>168.38</v>
      </c>
      <c r="O270">
        <v>172.92</v>
      </c>
      <c r="P270">
        <v>0</v>
      </c>
      <c r="Q270" s="304">
        <v>1800</v>
      </c>
    </row>
    <row r="271" spans="1:17" hidden="1" outlineLevel="1">
      <c r="B271" t="s">
        <v>943</v>
      </c>
      <c r="C271" t="s">
        <v>676</v>
      </c>
      <c r="D271">
        <v>85.49</v>
      </c>
      <c r="E271">
        <v>87.8</v>
      </c>
      <c r="F271">
        <v>90.17</v>
      </c>
      <c r="G271">
        <v>92.61</v>
      </c>
      <c r="H271">
        <v>95.1</v>
      </c>
      <c r="I271">
        <v>97.67</v>
      </c>
      <c r="J271">
        <v>100.31</v>
      </c>
      <c r="K271">
        <v>103.02</v>
      </c>
      <c r="L271">
        <v>105.8</v>
      </c>
      <c r="M271">
        <v>108.66</v>
      </c>
      <c r="N271">
        <v>111.6</v>
      </c>
      <c r="O271">
        <v>114.61</v>
      </c>
      <c r="P271">
        <v>0</v>
      </c>
      <c r="Q271" s="304">
        <v>1193</v>
      </c>
    </row>
    <row r="272" spans="1:17" hidden="1" outlineLevel="1">
      <c r="B272" t="s">
        <v>944</v>
      </c>
      <c r="C272" t="s">
        <v>676</v>
      </c>
      <c r="D272">
        <v>85.49</v>
      </c>
      <c r="E272">
        <v>87.8</v>
      </c>
      <c r="F272">
        <v>90.17</v>
      </c>
      <c r="G272">
        <v>92.61</v>
      </c>
      <c r="H272">
        <v>95.1</v>
      </c>
      <c r="I272">
        <v>97.67</v>
      </c>
      <c r="J272">
        <v>100.31</v>
      </c>
      <c r="K272">
        <v>103.02</v>
      </c>
      <c r="L272">
        <v>105.8</v>
      </c>
      <c r="M272">
        <v>108.66</v>
      </c>
      <c r="N272">
        <v>111.6</v>
      </c>
      <c r="O272">
        <v>114.61</v>
      </c>
      <c r="P272">
        <v>0</v>
      </c>
      <c r="Q272" s="304">
        <v>1193</v>
      </c>
    </row>
    <row r="273" spans="1:17" hidden="1" outlineLevel="1">
      <c r="B273" t="s">
        <v>945</v>
      </c>
      <c r="C273" t="s">
        <v>676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idden="1" outlineLevel="1">
      <c r="B274" t="s">
        <v>946</v>
      </c>
      <c r="C274" t="s">
        <v>676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hidden="1" outlineLevel="1">
      <c r="B275" t="s">
        <v>947</v>
      </c>
      <c r="C275" t="s">
        <v>676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idden="1" outlineLevel="1">
      <c r="B276" t="s">
        <v>948</v>
      </c>
      <c r="C276" t="s">
        <v>676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idden="1" outlineLevel="1">
      <c r="B277" t="s">
        <v>949</v>
      </c>
      <c r="C277" t="s">
        <v>676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hidden="1" outlineLevel="1">
      <c r="B278" t="s">
        <v>950</v>
      </c>
      <c r="C278" t="s">
        <v>676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collapsed="1">
      <c r="A279" t="s">
        <v>951</v>
      </c>
    </row>
    <row r="280" spans="1:17" hidden="1" outlineLevel="1">
      <c r="B280" t="s">
        <v>952</v>
      </c>
      <c r="C280" t="s">
        <v>676</v>
      </c>
      <c r="D280">
        <v>97.17</v>
      </c>
      <c r="E280">
        <v>99.79</v>
      </c>
      <c r="F280">
        <v>102.49</v>
      </c>
      <c r="G280">
        <v>105.26</v>
      </c>
      <c r="H280">
        <v>108.1</v>
      </c>
      <c r="I280">
        <v>111.01</v>
      </c>
      <c r="J280">
        <v>114.01</v>
      </c>
      <c r="K280">
        <v>117.09</v>
      </c>
      <c r="L280">
        <v>120.26</v>
      </c>
      <c r="M280">
        <v>123.51</v>
      </c>
      <c r="N280">
        <v>126.85</v>
      </c>
      <c r="O280">
        <v>130.27000000000001</v>
      </c>
      <c r="P280">
        <v>0</v>
      </c>
      <c r="Q280" s="304">
        <v>1356</v>
      </c>
    </row>
    <row r="281" spans="1:17" hidden="1" outlineLevel="1">
      <c r="B281" t="s">
        <v>953</v>
      </c>
      <c r="C281" t="s">
        <v>676</v>
      </c>
      <c r="D281">
        <v>59.73</v>
      </c>
      <c r="E281">
        <v>61.35</v>
      </c>
      <c r="F281">
        <v>63</v>
      </c>
      <c r="G281">
        <v>64.7</v>
      </c>
      <c r="H281">
        <v>66.45</v>
      </c>
      <c r="I281">
        <v>68.239999999999995</v>
      </c>
      <c r="J281">
        <v>70.09</v>
      </c>
      <c r="K281">
        <v>71.98</v>
      </c>
      <c r="L281">
        <v>73.92</v>
      </c>
      <c r="M281">
        <v>75.92</v>
      </c>
      <c r="N281">
        <v>77.98</v>
      </c>
      <c r="O281">
        <v>80.08</v>
      </c>
      <c r="P281">
        <v>0</v>
      </c>
      <c r="Q281">
        <v>833</v>
      </c>
    </row>
    <row r="282" spans="1:17" hidden="1" outlineLevel="1">
      <c r="B282" t="s">
        <v>954</v>
      </c>
      <c r="C282" t="s">
        <v>676</v>
      </c>
      <c r="D282">
        <v>113.08</v>
      </c>
      <c r="E282">
        <v>116.14</v>
      </c>
      <c r="F282">
        <v>119.27</v>
      </c>
      <c r="G282">
        <v>122.5</v>
      </c>
      <c r="H282">
        <v>125.8</v>
      </c>
      <c r="I282">
        <v>129.19</v>
      </c>
      <c r="J282">
        <v>132.69</v>
      </c>
      <c r="K282">
        <v>136.27000000000001</v>
      </c>
      <c r="L282">
        <v>139.94999999999999</v>
      </c>
      <c r="M282">
        <v>143.74</v>
      </c>
      <c r="N282">
        <v>147.62</v>
      </c>
      <c r="O282">
        <v>151.61000000000001</v>
      </c>
      <c r="P282">
        <v>0</v>
      </c>
      <c r="Q282" s="304">
        <v>1578</v>
      </c>
    </row>
    <row r="283" spans="1:17" hidden="1" outlineLevel="1">
      <c r="B283" t="s">
        <v>955</v>
      </c>
      <c r="C283" t="s">
        <v>676</v>
      </c>
      <c r="D283">
        <v>53.52</v>
      </c>
      <c r="E283">
        <v>54.96</v>
      </c>
      <c r="F283">
        <v>56.45</v>
      </c>
      <c r="G283">
        <v>57.97</v>
      </c>
      <c r="H283">
        <v>59.53</v>
      </c>
      <c r="I283">
        <v>61.14</v>
      </c>
      <c r="J283">
        <v>62.79</v>
      </c>
      <c r="K283">
        <v>64.489999999999995</v>
      </c>
      <c r="L283">
        <v>66.23</v>
      </c>
      <c r="M283">
        <v>68.02</v>
      </c>
      <c r="N283">
        <v>69.86</v>
      </c>
      <c r="O283">
        <v>71.75</v>
      </c>
      <c r="P283">
        <v>0</v>
      </c>
      <c r="Q283">
        <v>747</v>
      </c>
    </row>
    <row r="284" spans="1:17" hidden="1" outlineLevel="1">
      <c r="B284" t="s">
        <v>956</v>
      </c>
      <c r="C284" t="s">
        <v>676</v>
      </c>
      <c r="D284">
        <v>309.93</v>
      </c>
      <c r="E284">
        <v>318.31</v>
      </c>
      <c r="F284">
        <v>326.89999999999998</v>
      </c>
      <c r="G284">
        <v>335.74</v>
      </c>
      <c r="H284">
        <v>344.79</v>
      </c>
      <c r="I284">
        <v>354.09</v>
      </c>
      <c r="J284">
        <v>363.66</v>
      </c>
      <c r="K284">
        <v>373.48</v>
      </c>
      <c r="L284">
        <v>383.58</v>
      </c>
      <c r="M284">
        <v>393.95</v>
      </c>
      <c r="N284">
        <v>404.6</v>
      </c>
      <c r="O284">
        <v>415.52</v>
      </c>
      <c r="P284">
        <v>0</v>
      </c>
      <c r="Q284" s="304">
        <v>4325</v>
      </c>
    </row>
    <row r="285" spans="1:17" hidden="1" outlineLevel="1">
      <c r="B285" t="s">
        <v>957</v>
      </c>
      <c r="C285" t="s">
        <v>676</v>
      </c>
      <c r="D285">
        <v>102.27</v>
      </c>
      <c r="E285">
        <v>105.04</v>
      </c>
      <c r="F285">
        <v>107.87</v>
      </c>
      <c r="G285">
        <v>110.79</v>
      </c>
      <c r="H285">
        <v>113.78</v>
      </c>
      <c r="I285">
        <v>116.85</v>
      </c>
      <c r="J285">
        <v>120.01</v>
      </c>
      <c r="K285">
        <v>123.25</v>
      </c>
      <c r="L285">
        <v>126.58</v>
      </c>
      <c r="M285">
        <v>130</v>
      </c>
      <c r="N285">
        <v>133.51</v>
      </c>
      <c r="O285">
        <v>137.12</v>
      </c>
      <c r="P285">
        <v>0</v>
      </c>
      <c r="Q285" s="304">
        <v>1427</v>
      </c>
    </row>
    <row r="286" spans="1:17" hidden="1" outlineLevel="1">
      <c r="B286" t="s">
        <v>958</v>
      </c>
      <c r="C286" t="s">
        <v>676</v>
      </c>
      <c r="D286">
        <v>74.349999999999994</v>
      </c>
      <c r="E286">
        <v>76.36</v>
      </c>
      <c r="F286">
        <v>78.42</v>
      </c>
      <c r="G286">
        <v>80.540000000000006</v>
      </c>
      <c r="H286">
        <v>82.71</v>
      </c>
      <c r="I286">
        <v>84.94</v>
      </c>
      <c r="J286">
        <v>87.24</v>
      </c>
      <c r="K286">
        <v>89.6</v>
      </c>
      <c r="L286">
        <v>92.02</v>
      </c>
      <c r="M286">
        <v>94.51</v>
      </c>
      <c r="N286">
        <v>97.06</v>
      </c>
      <c r="O286">
        <v>99.68</v>
      </c>
      <c r="P286">
        <v>0</v>
      </c>
      <c r="Q286" s="304">
        <v>1037</v>
      </c>
    </row>
    <row r="287" spans="1:17" hidden="1" outlineLevel="1">
      <c r="B287" t="s">
        <v>959</v>
      </c>
      <c r="C287" t="s">
        <v>676</v>
      </c>
      <c r="D287">
        <v>157.62</v>
      </c>
      <c r="E287">
        <v>161.88</v>
      </c>
      <c r="F287">
        <v>166.25</v>
      </c>
      <c r="G287">
        <v>170.74</v>
      </c>
      <c r="H287">
        <v>175.35</v>
      </c>
      <c r="I287">
        <v>180.08</v>
      </c>
      <c r="J287">
        <v>184.95</v>
      </c>
      <c r="K287">
        <v>189.94</v>
      </c>
      <c r="L287">
        <v>195.07</v>
      </c>
      <c r="M287">
        <v>200.35</v>
      </c>
      <c r="N287">
        <v>205.76</v>
      </c>
      <c r="O287">
        <v>211.32</v>
      </c>
      <c r="P287">
        <v>0</v>
      </c>
      <c r="Q287" s="304">
        <v>2199</v>
      </c>
    </row>
    <row r="288" spans="1:17" hidden="1" outlineLevel="1">
      <c r="B288" t="s">
        <v>960</v>
      </c>
      <c r="C288" t="s">
        <v>676</v>
      </c>
      <c r="D288">
        <v>112.25</v>
      </c>
      <c r="E288">
        <v>115.28</v>
      </c>
      <c r="F288">
        <v>118.39</v>
      </c>
      <c r="G288">
        <v>121.59</v>
      </c>
      <c r="H288">
        <v>124.87</v>
      </c>
      <c r="I288">
        <v>128.24</v>
      </c>
      <c r="J288">
        <v>131.71</v>
      </c>
      <c r="K288">
        <v>135.26</v>
      </c>
      <c r="L288">
        <v>138.91999999999999</v>
      </c>
      <c r="M288">
        <v>142.68</v>
      </c>
      <c r="N288">
        <v>146.53</v>
      </c>
      <c r="O288">
        <v>150.49</v>
      </c>
      <c r="P288">
        <v>0</v>
      </c>
      <c r="Q288" s="304">
        <v>1566</v>
      </c>
    </row>
    <row r="289" spans="2:17" hidden="1" outlineLevel="1">
      <c r="B289" t="s">
        <v>961</v>
      </c>
      <c r="C289" t="s">
        <v>676</v>
      </c>
      <c r="D289">
        <v>142.06</v>
      </c>
      <c r="E289">
        <v>145.9</v>
      </c>
      <c r="F289">
        <v>149.84</v>
      </c>
      <c r="G289">
        <v>153.88999999999999</v>
      </c>
      <c r="H289">
        <v>158.04</v>
      </c>
      <c r="I289">
        <v>162.30000000000001</v>
      </c>
      <c r="J289">
        <v>166.69</v>
      </c>
      <c r="K289">
        <v>171.19</v>
      </c>
      <c r="L289">
        <v>175.82</v>
      </c>
      <c r="M289">
        <v>180.58</v>
      </c>
      <c r="N289">
        <v>185.46</v>
      </c>
      <c r="O289">
        <v>190.46</v>
      </c>
      <c r="P289">
        <v>0</v>
      </c>
      <c r="Q289" s="304">
        <v>1982</v>
      </c>
    </row>
    <row r="290" spans="2:17" hidden="1" outlineLevel="1">
      <c r="B290" t="s">
        <v>962</v>
      </c>
      <c r="C290" t="s">
        <v>676</v>
      </c>
      <c r="D290">
        <v>75.12</v>
      </c>
      <c r="E290">
        <v>77.150000000000006</v>
      </c>
      <c r="F290">
        <v>79.23</v>
      </c>
      <c r="G290">
        <v>81.38</v>
      </c>
      <c r="H290">
        <v>83.57</v>
      </c>
      <c r="I290">
        <v>85.82</v>
      </c>
      <c r="J290">
        <v>88.15</v>
      </c>
      <c r="K290">
        <v>90.53</v>
      </c>
      <c r="L290">
        <v>92.97</v>
      </c>
      <c r="M290">
        <v>95.49</v>
      </c>
      <c r="N290">
        <v>98.07</v>
      </c>
      <c r="O290">
        <v>100.72</v>
      </c>
      <c r="P290">
        <v>0</v>
      </c>
      <c r="Q290" s="304">
        <v>1048</v>
      </c>
    </row>
    <row r="291" spans="2:17" hidden="1" outlineLevel="1">
      <c r="B291" t="s">
        <v>963</v>
      </c>
      <c r="C291" t="s">
        <v>676</v>
      </c>
      <c r="D291">
        <v>106.83</v>
      </c>
      <c r="E291">
        <v>109.71</v>
      </c>
      <c r="F291">
        <v>112.67</v>
      </c>
      <c r="G291">
        <v>115.72</v>
      </c>
      <c r="H291">
        <v>118.84</v>
      </c>
      <c r="I291">
        <v>122.05</v>
      </c>
      <c r="J291">
        <v>125.35</v>
      </c>
      <c r="K291">
        <v>128.72999999999999</v>
      </c>
      <c r="L291">
        <v>132.21</v>
      </c>
      <c r="M291">
        <v>135.78</v>
      </c>
      <c r="N291">
        <v>139.44999999999999</v>
      </c>
      <c r="O291">
        <v>143.22</v>
      </c>
      <c r="P291">
        <v>0</v>
      </c>
      <c r="Q291" s="304">
        <v>1491</v>
      </c>
    </row>
    <row r="292" spans="2:17" hidden="1" outlineLevel="1">
      <c r="B292" t="s">
        <v>964</v>
      </c>
      <c r="C292" t="s">
        <v>676</v>
      </c>
      <c r="D292">
        <v>109.27</v>
      </c>
      <c r="E292">
        <v>112.22</v>
      </c>
      <c r="F292">
        <v>115.25</v>
      </c>
      <c r="G292">
        <v>118.37</v>
      </c>
      <c r="H292">
        <v>121.56</v>
      </c>
      <c r="I292">
        <v>124.84</v>
      </c>
      <c r="J292">
        <v>128.21</v>
      </c>
      <c r="K292">
        <v>131.66999999999999</v>
      </c>
      <c r="L292">
        <v>135.22999999999999</v>
      </c>
      <c r="M292">
        <v>138.88999999999999</v>
      </c>
      <c r="N292">
        <v>142.63999999999999</v>
      </c>
      <c r="O292">
        <v>146.5</v>
      </c>
      <c r="P292">
        <v>0</v>
      </c>
      <c r="Q292" s="304">
        <v>1525</v>
      </c>
    </row>
    <row r="293" spans="2:17" hidden="1" outlineLevel="1">
      <c r="B293" t="s">
        <v>965</v>
      </c>
      <c r="C293" t="s">
        <v>676</v>
      </c>
      <c r="D293">
        <v>148.74</v>
      </c>
      <c r="E293">
        <v>152.76</v>
      </c>
      <c r="F293">
        <v>156.88999999999999</v>
      </c>
      <c r="G293">
        <v>161.13</v>
      </c>
      <c r="H293">
        <v>165.47</v>
      </c>
      <c r="I293">
        <v>169.94</v>
      </c>
      <c r="J293">
        <v>174.53</v>
      </c>
      <c r="K293">
        <v>179.24</v>
      </c>
      <c r="L293">
        <v>184.09</v>
      </c>
      <c r="M293">
        <v>189.07</v>
      </c>
      <c r="N293">
        <v>194.18</v>
      </c>
      <c r="O293">
        <v>199.42</v>
      </c>
      <c r="P293">
        <v>0</v>
      </c>
      <c r="Q293" s="304">
        <v>2075</v>
      </c>
    </row>
    <row r="294" spans="2:17" hidden="1" outlineLevel="1">
      <c r="B294" t="s">
        <v>966</v>
      </c>
      <c r="C294" t="s">
        <v>676</v>
      </c>
      <c r="D294">
        <v>92.08</v>
      </c>
      <c r="E294">
        <v>94.57</v>
      </c>
      <c r="F294">
        <v>97.12</v>
      </c>
      <c r="G294">
        <v>99.75</v>
      </c>
      <c r="H294">
        <v>102.44</v>
      </c>
      <c r="I294">
        <v>105.2</v>
      </c>
      <c r="J294">
        <v>108.04</v>
      </c>
      <c r="K294">
        <v>110.96</v>
      </c>
      <c r="L294">
        <v>113.96</v>
      </c>
      <c r="M294">
        <v>117.04</v>
      </c>
      <c r="N294">
        <v>120.21</v>
      </c>
      <c r="O294">
        <v>123.45</v>
      </c>
      <c r="P294">
        <v>0</v>
      </c>
      <c r="Q294" s="304">
        <v>1285</v>
      </c>
    </row>
    <row r="295" spans="2:17" hidden="1" outlineLevel="1">
      <c r="B295" t="s">
        <v>967</v>
      </c>
      <c r="C295" t="s">
        <v>676</v>
      </c>
      <c r="D295">
        <v>105.83</v>
      </c>
      <c r="E295">
        <v>108.7</v>
      </c>
      <c r="F295">
        <v>111.63</v>
      </c>
      <c r="G295">
        <v>114.65</v>
      </c>
      <c r="H295">
        <v>117.74</v>
      </c>
      <c r="I295">
        <v>120.91</v>
      </c>
      <c r="J295">
        <v>124.18</v>
      </c>
      <c r="K295">
        <v>127.54</v>
      </c>
      <c r="L295">
        <v>130.97999999999999</v>
      </c>
      <c r="M295">
        <v>134.53</v>
      </c>
      <c r="N295">
        <v>138.16</v>
      </c>
      <c r="O295">
        <v>141.88999999999999</v>
      </c>
      <c r="P295">
        <v>0</v>
      </c>
      <c r="Q295" s="304">
        <v>1477</v>
      </c>
    </row>
    <row r="296" spans="2:17" hidden="1" outlineLevel="1">
      <c r="B296" t="s">
        <v>968</v>
      </c>
      <c r="C296" t="s">
        <v>676</v>
      </c>
      <c r="D296">
        <v>125.21</v>
      </c>
      <c r="E296">
        <v>128.59</v>
      </c>
      <c r="F296">
        <v>132.06</v>
      </c>
      <c r="G296">
        <v>135.63</v>
      </c>
      <c r="H296">
        <v>139.29</v>
      </c>
      <c r="I296">
        <v>143.04</v>
      </c>
      <c r="J296">
        <v>146.91</v>
      </c>
      <c r="K296">
        <v>150.88</v>
      </c>
      <c r="L296">
        <v>154.96</v>
      </c>
      <c r="M296">
        <v>159.15</v>
      </c>
      <c r="N296">
        <v>163.44999999999999</v>
      </c>
      <c r="O296">
        <v>167.86</v>
      </c>
      <c r="P296">
        <v>0</v>
      </c>
      <c r="Q296" s="304">
        <v>1747</v>
      </c>
    </row>
    <row r="297" spans="2:17" hidden="1" outlineLevel="1">
      <c r="B297" t="s">
        <v>969</v>
      </c>
      <c r="C297" t="s">
        <v>676</v>
      </c>
      <c r="D297">
        <v>236.1</v>
      </c>
      <c r="E297">
        <v>242.48</v>
      </c>
      <c r="F297">
        <v>249.03</v>
      </c>
      <c r="G297">
        <v>255.76</v>
      </c>
      <c r="H297">
        <v>262.66000000000003</v>
      </c>
      <c r="I297">
        <v>269.74</v>
      </c>
      <c r="J297">
        <v>277.02999999999997</v>
      </c>
      <c r="K297">
        <v>284.51</v>
      </c>
      <c r="L297">
        <v>292.20999999999998</v>
      </c>
      <c r="M297">
        <v>300.11</v>
      </c>
      <c r="N297">
        <v>308.22000000000003</v>
      </c>
      <c r="O297">
        <v>316.54000000000002</v>
      </c>
      <c r="P297">
        <v>0</v>
      </c>
      <c r="Q297" s="304">
        <v>3294</v>
      </c>
    </row>
    <row r="298" spans="2:17" hidden="1" outlineLevel="1">
      <c r="B298" t="s">
        <v>970</v>
      </c>
      <c r="C298" t="s">
        <v>676</v>
      </c>
      <c r="D298">
        <v>188.88</v>
      </c>
      <c r="E298">
        <v>193.99</v>
      </c>
      <c r="F298">
        <v>199.22</v>
      </c>
      <c r="G298">
        <v>204.61</v>
      </c>
      <c r="H298">
        <v>210.13</v>
      </c>
      <c r="I298">
        <v>215.79</v>
      </c>
      <c r="J298">
        <v>221.63</v>
      </c>
      <c r="K298">
        <v>227.61</v>
      </c>
      <c r="L298">
        <v>233.76</v>
      </c>
      <c r="M298">
        <v>240.09</v>
      </c>
      <c r="N298">
        <v>246.57</v>
      </c>
      <c r="O298">
        <v>253.23</v>
      </c>
      <c r="P298">
        <v>0</v>
      </c>
      <c r="Q298" s="304">
        <v>2636</v>
      </c>
    </row>
    <row r="299" spans="2:17" hidden="1" outlineLevel="1">
      <c r="B299" t="s">
        <v>971</v>
      </c>
      <c r="C299" t="s">
        <v>676</v>
      </c>
      <c r="D299">
        <v>109.32</v>
      </c>
      <c r="E299">
        <v>112.28</v>
      </c>
      <c r="F299">
        <v>115.31</v>
      </c>
      <c r="G299">
        <v>118.43</v>
      </c>
      <c r="H299">
        <v>121.62</v>
      </c>
      <c r="I299">
        <v>124.9</v>
      </c>
      <c r="J299">
        <v>128.28</v>
      </c>
      <c r="K299">
        <v>131.74</v>
      </c>
      <c r="L299">
        <v>135.30000000000001</v>
      </c>
      <c r="M299">
        <v>138.96</v>
      </c>
      <c r="N299">
        <v>142.72</v>
      </c>
      <c r="O299">
        <v>146.57</v>
      </c>
      <c r="P299">
        <v>0</v>
      </c>
      <c r="Q299" s="304">
        <v>1525</v>
      </c>
    </row>
    <row r="300" spans="2:17" hidden="1" outlineLevel="1">
      <c r="B300" t="s">
        <v>972</v>
      </c>
      <c r="C300" t="s">
        <v>676</v>
      </c>
      <c r="D300">
        <v>110.43</v>
      </c>
      <c r="E300">
        <v>113.41</v>
      </c>
      <c r="F300">
        <v>116.47</v>
      </c>
      <c r="G300">
        <v>119.62</v>
      </c>
      <c r="H300">
        <v>122.85</v>
      </c>
      <c r="I300">
        <v>126.16</v>
      </c>
      <c r="J300">
        <v>129.57</v>
      </c>
      <c r="K300">
        <v>133.07</v>
      </c>
      <c r="L300">
        <v>136.66999999999999</v>
      </c>
      <c r="M300">
        <v>140.36000000000001</v>
      </c>
      <c r="N300">
        <v>144.16</v>
      </c>
      <c r="O300">
        <v>148.05000000000001</v>
      </c>
      <c r="P300">
        <v>0</v>
      </c>
      <c r="Q300" s="304">
        <v>1541</v>
      </c>
    </row>
    <row r="301" spans="2:17" hidden="1" outlineLevel="1">
      <c r="B301" t="s">
        <v>973</v>
      </c>
      <c r="C301" t="s">
        <v>676</v>
      </c>
      <c r="D301">
        <v>82.32</v>
      </c>
      <c r="E301">
        <v>84.54</v>
      </c>
      <c r="F301">
        <v>86.83</v>
      </c>
      <c r="G301">
        <v>89.17</v>
      </c>
      <c r="H301">
        <v>91.58</v>
      </c>
      <c r="I301">
        <v>94.05</v>
      </c>
      <c r="J301">
        <v>96.59</v>
      </c>
      <c r="K301">
        <v>99.2</v>
      </c>
      <c r="L301">
        <v>101.88</v>
      </c>
      <c r="M301">
        <v>104.63</v>
      </c>
      <c r="N301">
        <v>107.46</v>
      </c>
      <c r="O301">
        <v>110.36</v>
      </c>
      <c r="P301">
        <v>0</v>
      </c>
      <c r="Q301" s="304">
        <v>1149</v>
      </c>
    </row>
    <row r="302" spans="2:17" hidden="1" outlineLevel="1">
      <c r="B302" t="s">
        <v>974</v>
      </c>
      <c r="C302" t="s">
        <v>676</v>
      </c>
      <c r="D302">
        <v>120.36</v>
      </c>
      <c r="E302">
        <v>123.61</v>
      </c>
      <c r="F302">
        <v>126.95</v>
      </c>
      <c r="G302">
        <v>130.38</v>
      </c>
      <c r="H302">
        <v>133.88999999999999</v>
      </c>
      <c r="I302">
        <v>137.51</v>
      </c>
      <c r="J302">
        <v>141.22</v>
      </c>
      <c r="K302">
        <v>145.04</v>
      </c>
      <c r="L302">
        <v>148.96</v>
      </c>
      <c r="M302">
        <v>152.99</v>
      </c>
      <c r="N302">
        <v>157.12</v>
      </c>
      <c r="O302">
        <v>161.36000000000001</v>
      </c>
      <c r="P302">
        <v>0</v>
      </c>
      <c r="Q302" s="304">
        <v>1679</v>
      </c>
    </row>
    <row r="303" spans="2:17" hidden="1" outlineLevel="1">
      <c r="B303" t="s">
        <v>975</v>
      </c>
      <c r="C303" t="s">
        <v>676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2:17" hidden="1" outlineLevel="1">
      <c r="B304" t="s">
        <v>976</v>
      </c>
      <c r="C304" t="s">
        <v>676</v>
      </c>
      <c r="D304">
        <v>75.900000000000006</v>
      </c>
      <c r="E304">
        <v>77.95</v>
      </c>
      <c r="F304">
        <v>80.05</v>
      </c>
      <c r="G304">
        <v>82.22</v>
      </c>
      <c r="H304">
        <v>84.44</v>
      </c>
      <c r="I304">
        <v>86.71</v>
      </c>
      <c r="J304">
        <v>89.06</v>
      </c>
      <c r="K304">
        <v>91.46</v>
      </c>
      <c r="L304">
        <v>93.93</v>
      </c>
      <c r="M304">
        <v>96.47</v>
      </c>
      <c r="N304">
        <v>99.08</v>
      </c>
      <c r="O304">
        <v>101.76</v>
      </c>
      <c r="P304">
        <v>0</v>
      </c>
      <c r="Q304" s="304">
        <v>1059</v>
      </c>
    </row>
    <row r="305" spans="1:17" collapsed="1">
      <c r="A305" t="s">
        <v>977</v>
      </c>
    </row>
    <row r="306" spans="1:17" hidden="1" outlineLevel="1">
      <c r="B306" t="s">
        <v>978</v>
      </c>
      <c r="C306" t="s">
        <v>676</v>
      </c>
      <c r="D306">
        <v>97.17</v>
      </c>
      <c r="E306">
        <v>99.79</v>
      </c>
      <c r="F306">
        <v>102.49</v>
      </c>
      <c r="G306">
        <v>105.26</v>
      </c>
      <c r="H306">
        <v>108.1</v>
      </c>
      <c r="I306">
        <v>111.01</v>
      </c>
      <c r="J306">
        <v>114.01</v>
      </c>
      <c r="K306">
        <v>117.09</v>
      </c>
      <c r="L306">
        <v>120.26</v>
      </c>
      <c r="M306">
        <v>123.51</v>
      </c>
      <c r="N306">
        <v>126.85</v>
      </c>
      <c r="O306">
        <v>130.27000000000001</v>
      </c>
      <c r="P306">
        <v>0</v>
      </c>
      <c r="Q306" s="304">
        <v>1356</v>
      </c>
    </row>
    <row r="307" spans="1:17" hidden="1" outlineLevel="1">
      <c r="B307" t="s">
        <v>979</v>
      </c>
      <c r="C307" t="s">
        <v>676</v>
      </c>
      <c r="D307">
        <v>59.73</v>
      </c>
      <c r="E307">
        <v>61.35</v>
      </c>
      <c r="F307">
        <v>63</v>
      </c>
      <c r="G307">
        <v>64.7</v>
      </c>
      <c r="H307">
        <v>66.45</v>
      </c>
      <c r="I307">
        <v>68.239999999999995</v>
      </c>
      <c r="J307">
        <v>70.09</v>
      </c>
      <c r="K307">
        <v>71.98</v>
      </c>
      <c r="L307">
        <v>73.92</v>
      </c>
      <c r="M307">
        <v>75.92</v>
      </c>
      <c r="N307">
        <v>77.98</v>
      </c>
      <c r="O307">
        <v>80.08</v>
      </c>
      <c r="P307">
        <v>0</v>
      </c>
      <c r="Q307">
        <v>833</v>
      </c>
    </row>
    <row r="308" spans="1:17" hidden="1" outlineLevel="1">
      <c r="B308" t="s">
        <v>980</v>
      </c>
      <c r="C308" t="s">
        <v>676</v>
      </c>
      <c r="D308">
        <v>53.52</v>
      </c>
      <c r="E308">
        <v>54.96</v>
      </c>
      <c r="F308">
        <v>56.45</v>
      </c>
      <c r="G308">
        <v>57.97</v>
      </c>
      <c r="H308">
        <v>59.53</v>
      </c>
      <c r="I308">
        <v>61.14</v>
      </c>
      <c r="J308">
        <v>62.79</v>
      </c>
      <c r="K308">
        <v>64.489999999999995</v>
      </c>
      <c r="L308">
        <v>66.23</v>
      </c>
      <c r="M308">
        <v>68.02</v>
      </c>
      <c r="N308">
        <v>69.86</v>
      </c>
      <c r="O308">
        <v>71.75</v>
      </c>
      <c r="P308">
        <v>0</v>
      </c>
      <c r="Q308">
        <v>747</v>
      </c>
    </row>
    <row r="309" spans="1:17" hidden="1" outlineLevel="1">
      <c r="B309" t="s">
        <v>981</v>
      </c>
      <c r="C309" t="s">
        <v>676</v>
      </c>
      <c r="D309">
        <v>102.35</v>
      </c>
      <c r="E309">
        <v>105.11</v>
      </c>
      <c r="F309">
        <v>107.95</v>
      </c>
      <c r="G309">
        <v>110.87</v>
      </c>
      <c r="H309">
        <v>113.86</v>
      </c>
      <c r="I309">
        <v>116.93</v>
      </c>
      <c r="J309">
        <v>120.09</v>
      </c>
      <c r="K309">
        <v>123.33</v>
      </c>
      <c r="L309">
        <v>126.67</v>
      </c>
      <c r="M309">
        <v>130.09</v>
      </c>
      <c r="N309">
        <v>133.61000000000001</v>
      </c>
      <c r="O309">
        <v>137.22</v>
      </c>
      <c r="P309">
        <v>0</v>
      </c>
      <c r="Q309" s="304">
        <v>1428</v>
      </c>
    </row>
    <row r="310" spans="1:17" hidden="1" outlineLevel="1">
      <c r="B310" t="s">
        <v>982</v>
      </c>
      <c r="C310" t="s">
        <v>676</v>
      </c>
      <c r="D310">
        <v>109.44</v>
      </c>
      <c r="E310">
        <v>112.4</v>
      </c>
      <c r="F310">
        <v>115.44</v>
      </c>
      <c r="G310">
        <v>118.56</v>
      </c>
      <c r="H310">
        <v>121.75</v>
      </c>
      <c r="I310">
        <v>125.04</v>
      </c>
      <c r="J310">
        <v>128.41999999999999</v>
      </c>
      <c r="K310">
        <v>131.88999999999999</v>
      </c>
      <c r="L310">
        <v>135.44999999999999</v>
      </c>
      <c r="M310">
        <v>139.11000000000001</v>
      </c>
      <c r="N310">
        <v>142.87</v>
      </c>
      <c r="O310">
        <v>146.72999999999999</v>
      </c>
      <c r="P310">
        <v>0</v>
      </c>
      <c r="Q310" s="304">
        <v>1527</v>
      </c>
    </row>
    <row r="311" spans="1:17" hidden="1" outlineLevel="1">
      <c r="B311" t="s">
        <v>983</v>
      </c>
      <c r="C311" t="s">
        <v>676</v>
      </c>
      <c r="D311">
        <v>53.35</v>
      </c>
      <c r="E311">
        <v>54.79</v>
      </c>
      <c r="F311">
        <v>56.27</v>
      </c>
      <c r="G311">
        <v>57.79</v>
      </c>
      <c r="H311">
        <v>59.35</v>
      </c>
      <c r="I311">
        <v>60.95</v>
      </c>
      <c r="J311">
        <v>62.6</v>
      </c>
      <c r="K311">
        <v>64.290000000000006</v>
      </c>
      <c r="L311">
        <v>66.03</v>
      </c>
      <c r="M311">
        <v>67.81</v>
      </c>
      <c r="N311">
        <v>69.64</v>
      </c>
      <c r="O311">
        <v>71.52</v>
      </c>
      <c r="P311">
        <v>0</v>
      </c>
      <c r="Q311">
        <v>744</v>
      </c>
    </row>
    <row r="312" spans="1:17" hidden="1" outlineLevel="1">
      <c r="B312" t="s">
        <v>984</v>
      </c>
      <c r="C312" t="s">
        <v>676</v>
      </c>
      <c r="D312">
        <v>110.75</v>
      </c>
      <c r="E312">
        <v>113.75</v>
      </c>
      <c r="F312">
        <v>116.82</v>
      </c>
      <c r="G312">
        <v>119.97</v>
      </c>
      <c r="H312">
        <v>123.21</v>
      </c>
      <c r="I312">
        <v>126.53</v>
      </c>
      <c r="J312">
        <v>129.94999999999999</v>
      </c>
      <c r="K312">
        <v>133.46</v>
      </c>
      <c r="L312">
        <v>137.07</v>
      </c>
      <c r="M312">
        <v>140.78</v>
      </c>
      <c r="N312">
        <v>144.58000000000001</v>
      </c>
      <c r="O312">
        <v>148.47999999999999</v>
      </c>
      <c r="P312">
        <v>0</v>
      </c>
      <c r="Q312" s="304">
        <v>1545</v>
      </c>
    </row>
    <row r="313" spans="1:17" hidden="1" outlineLevel="1">
      <c r="B313" t="s">
        <v>985</v>
      </c>
      <c r="C313" t="s">
        <v>676</v>
      </c>
      <c r="D313">
        <v>138.71</v>
      </c>
      <c r="E313">
        <v>142.46</v>
      </c>
      <c r="F313">
        <v>146.31</v>
      </c>
      <c r="G313">
        <v>150.26</v>
      </c>
      <c r="H313">
        <v>154.31</v>
      </c>
      <c r="I313">
        <v>158.47999999999999</v>
      </c>
      <c r="J313">
        <v>162.76</v>
      </c>
      <c r="K313">
        <v>167.16</v>
      </c>
      <c r="L313">
        <v>171.67</v>
      </c>
      <c r="M313">
        <v>176.32</v>
      </c>
      <c r="N313">
        <v>181.08</v>
      </c>
      <c r="O313">
        <v>185.97</v>
      </c>
      <c r="P313">
        <v>0</v>
      </c>
      <c r="Q313" s="304">
        <v>1935</v>
      </c>
    </row>
    <row r="314" spans="1:17" hidden="1" outlineLevel="1">
      <c r="B314" t="s">
        <v>986</v>
      </c>
      <c r="C314" t="s">
        <v>676</v>
      </c>
      <c r="D314">
        <v>104.65</v>
      </c>
      <c r="E314">
        <v>107.48</v>
      </c>
      <c r="F314">
        <v>110.38</v>
      </c>
      <c r="G314">
        <v>113.37</v>
      </c>
      <c r="H314">
        <v>116.42</v>
      </c>
      <c r="I314">
        <v>119.56</v>
      </c>
      <c r="J314">
        <v>122.8</v>
      </c>
      <c r="K314">
        <v>126.11</v>
      </c>
      <c r="L314">
        <v>129.52000000000001</v>
      </c>
      <c r="M314">
        <v>133.02000000000001</v>
      </c>
      <c r="N314">
        <v>136.62</v>
      </c>
      <c r="O314">
        <v>140.31</v>
      </c>
      <c r="P314">
        <v>0</v>
      </c>
      <c r="Q314" s="304">
        <v>1460</v>
      </c>
    </row>
    <row r="315" spans="1:17" hidden="1" outlineLevel="1">
      <c r="B315" t="s">
        <v>987</v>
      </c>
      <c r="C315" t="s">
        <v>676</v>
      </c>
      <c r="D315">
        <v>113.55</v>
      </c>
      <c r="E315">
        <v>116.62</v>
      </c>
      <c r="F315">
        <v>119.77</v>
      </c>
      <c r="G315">
        <v>123.01</v>
      </c>
      <c r="H315">
        <v>126.32</v>
      </c>
      <c r="I315">
        <v>129.72999999999999</v>
      </c>
      <c r="J315">
        <v>133.24</v>
      </c>
      <c r="K315">
        <v>136.83000000000001</v>
      </c>
      <c r="L315">
        <v>140.53</v>
      </c>
      <c r="M315">
        <v>144.33000000000001</v>
      </c>
      <c r="N315">
        <v>148.22999999999999</v>
      </c>
      <c r="O315">
        <v>152.24</v>
      </c>
      <c r="P315">
        <v>0</v>
      </c>
      <c r="Q315" s="304">
        <v>1584</v>
      </c>
    </row>
    <row r="316" spans="1:17" hidden="1" outlineLevel="1">
      <c r="B316" t="s">
        <v>988</v>
      </c>
      <c r="C316" t="s">
        <v>676</v>
      </c>
      <c r="D316">
        <v>146.47</v>
      </c>
      <c r="E316">
        <v>150.43</v>
      </c>
      <c r="F316">
        <v>154.49</v>
      </c>
      <c r="G316">
        <v>158.66999999999999</v>
      </c>
      <c r="H316">
        <v>162.94999999999999</v>
      </c>
      <c r="I316">
        <v>167.34</v>
      </c>
      <c r="J316">
        <v>171.87</v>
      </c>
      <c r="K316">
        <v>176.51</v>
      </c>
      <c r="L316">
        <v>181.28</v>
      </c>
      <c r="M316">
        <v>186.18</v>
      </c>
      <c r="N316">
        <v>191.21</v>
      </c>
      <c r="O316">
        <v>196.38</v>
      </c>
      <c r="P316">
        <v>0</v>
      </c>
      <c r="Q316" s="304">
        <v>2044</v>
      </c>
    </row>
    <row r="317" spans="1:17" hidden="1" outlineLevel="1">
      <c r="B317" t="s">
        <v>989</v>
      </c>
      <c r="C317" t="s">
        <v>676</v>
      </c>
      <c r="D317">
        <v>75.53</v>
      </c>
      <c r="E317">
        <v>77.569999999999993</v>
      </c>
      <c r="F317">
        <v>79.66</v>
      </c>
      <c r="G317">
        <v>81.819999999999993</v>
      </c>
      <c r="H317">
        <v>84.02</v>
      </c>
      <c r="I317">
        <v>86.29</v>
      </c>
      <c r="J317">
        <v>88.62</v>
      </c>
      <c r="K317">
        <v>91.01</v>
      </c>
      <c r="L317">
        <v>93.47</v>
      </c>
      <c r="M317">
        <v>96</v>
      </c>
      <c r="N317">
        <v>98.6</v>
      </c>
      <c r="O317">
        <v>101.26</v>
      </c>
      <c r="P317">
        <v>0</v>
      </c>
      <c r="Q317" s="304">
        <v>1054</v>
      </c>
    </row>
    <row r="318" spans="1:17" hidden="1" outlineLevel="1">
      <c r="B318" t="s">
        <v>990</v>
      </c>
      <c r="C318" t="s">
        <v>676</v>
      </c>
      <c r="D318">
        <v>101.17</v>
      </c>
      <c r="E318">
        <v>103.9</v>
      </c>
      <c r="F318">
        <v>106.71</v>
      </c>
      <c r="G318">
        <v>109.59</v>
      </c>
      <c r="H318">
        <v>112.55</v>
      </c>
      <c r="I318">
        <v>115.58</v>
      </c>
      <c r="J318">
        <v>118.71</v>
      </c>
      <c r="K318">
        <v>121.91</v>
      </c>
      <c r="L318">
        <v>125.21</v>
      </c>
      <c r="M318">
        <v>128.59</v>
      </c>
      <c r="N318">
        <v>132.07</v>
      </c>
      <c r="O318">
        <v>135.63</v>
      </c>
      <c r="P318">
        <v>0</v>
      </c>
      <c r="Q318" s="304">
        <v>1412</v>
      </c>
    </row>
    <row r="319" spans="1:17" hidden="1" outlineLevel="1">
      <c r="B319" t="s">
        <v>991</v>
      </c>
      <c r="C319" t="s">
        <v>676</v>
      </c>
      <c r="D319">
        <v>105.74</v>
      </c>
      <c r="E319">
        <v>108.6</v>
      </c>
      <c r="F319">
        <v>111.53</v>
      </c>
      <c r="G319">
        <v>114.54</v>
      </c>
      <c r="H319">
        <v>117.63</v>
      </c>
      <c r="I319">
        <v>120.8</v>
      </c>
      <c r="J319">
        <v>124.07</v>
      </c>
      <c r="K319">
        <v>127.42</v>
      </c>
      <c r="L319">
        <v>130.87</v>
      </c>
      <c r="M319">
        <v>134.4</v>
      </c>
      <c r="N319">
        <v>138.04</v>
      </c>
      <c r="O319">
        <v>141.76</v>
      </c>
      <c r="P319">
        <v>0</v>
      </c>
      <c r="Q319" s="304">
        <v>1475</v>
      </c>
    </row>
    <row r="320" spans="1:17" hidden="1" outlineLevel="1">
      <c r="B320" t="s">
        <v>992</v>
      </c>
      <c r="C320" t="s">
        <v>676</v>
      </c>
      <c r="D320">
        <v>102.27</v>
      </c>
      <c r="E320">
        <v>105.04</v>
      </c>
      <c r="F320">
        <v>107.87</v>
      </c>
      <c r="G320">
        <v>110.79</v>
      </c>
      <c r="H320">
        <v>113.78</v>
      </c>
      <c r="I320">
        <v>116.85</v>
      </c>
      <c r="J320">
        <v>120.01</v>
      </c>
      <c r="K320">
        <v>123.25</v>
      </c>
      <c r="L320">
        <v>126.58</v>
      </c>
      <c r="M320">
        <v>130</v>
      </c>
      <c r="N320">
        <v>133.51</v>
      </c>
      <c r="O320">
        <v>137.12</v>
      </c>
      <c r="P320">
        <v>0</v>
      </c>
      <c r="Q320" s="304">
        <v>1427</v>
      </c>
    </row>
    <row r="321" spans="2:17" hidden="1" outlineLevel="1">
      <c r="B321" t="s">
        <v>993</v>
      </c>
      <c r="C321" t="s">
        <v>676</v>
      </c>
      <c r="D321">
        <v>74.349999999999994</v>
      </c>
      <c r="E321">
        <v>76.36</v>
      </c>
      <c r="F321">
        <v>78.42</v>
      </c>
      <c r="G321">
        <v>80.540000000000006</v>
      </c>
      <c r="H321">
        <v>82.71</v>
      </c>
      <c r="I321">
        <v>84.94</v>
      </c>
      <c r="J321">
        <v>87.24</v>
      </c>
      <c r="K321">
        <v>89.6</v>
      </c>
      <c r="L321">
        <v>92.02</v>
      </c>
      <c r="M321">
        <v>94.51</v>
      </c>
      <c r="N321">
        <v>97.06</v>
      </c>
      <c r="O321">
        <v>99.68</v>
      </c>
      <c r="P321">
        <v>0</v>
      </c>
      <c r="Q321" s="304">
        <v>1037</v>
      </c>
    </row>
    <row r="322" spans="2:17" hidden="1" outlineLevel="1">
      <c r="B322" t="s">
        <v>994</v>
      </c>
      <c r="C322" t="s">
        <v>676</v>
      </c>
      <c r="D322">
        <v>117.13</v>
      </c>
      <c r="E322">
        <v>120.29</v>
      </c>
      <c r="F322">
        <v>123.54</v>
      </c>
      <c r="G322">
        <v>126.88</v>
      </c>
      <c r="H322">
        <v>130.30000000000001</v>
      </c>
      <c r="I322">
        <v>133.81</v>
      </c>
      <c r="J322">
        <v>137.43</v>
      </c>
      <c r="K322">
        <v>141.13999999999999</v>
      </c>
      <c r="L322">
        <v>144.96</v>
      </c>
      <c r="M322">
        <v>148.88</v>
      </c>
      <c r="N322">
        <v>152.9</v>
      </c>
      <c r="O322">
        <v>157.03</v>
      </c>
      <c r="P322">
        <v>0</v>
      </c>
      <c r="Q322" s="304">
        <v>1634</v>
      </c>
    </row>
    <row r="323" spans="2:17" hidden="1" outlineLevel="1">
      <c r="B323" t="s">
        <v>995</v>
      </c>
      <c r="C323" t="s">
        <v>676</v>
      </c>
      <c r="D323">
        <v>103.25</v>
      </c>
      <c r="E323">
        <v>106.04</v>
      </c>
      <c r="F323">
        <v>108.91</v>
      </c>
      <c r="G323">
        <v>111.85</v>
      </c>
      <c r="H323">
        <v>114.87</v>
      </c>
      <c r="I323">
        <v>117.96</v>
      </c>
      <c r="J323">
        <v>121.15</v>
      </c>
      <c r="K323">
        <v>124.42</v>
      </c>
      <c r="L323">
        <v>127.79</v>
      </c>
      <c r="M323">
        <v>131.24</v>
      </c>
      <c r="N323">
        <v>134.79</v>
      </c>
      <c r="O323">
        <v>138.43</v>
      </c>
      <c r="P323">
        <v>0</v>
      </c>
      <c r="Q323" s="304">
        <v>1441</v>
      </c>
    </row>
    <row r="324" spans="2:17" hidden="1" outlineLevel="1">
      <c r="B324" t="s">
        <v>996</v>
      </c>
      <c r="C324" t="s">
        <v>676</v>
      </c>
      <c r="D324">
        <v>99.51</v>
      </c>
      <c r="E324">
        <v>102.2</v>
      </c>
      <c r="F324">
        <v>104.96</v>
      </c>
      <c r="G324">
        <v>107.8</v>
      </c>
      <c r="H324">
        <v>110.7</v>
      </c>
      <c r="I324">
        <v>113.69</v>
      </c>
      <c r="J324">
        <v>116.76</v>
      </c>
      <c r="K324">
        <v>119.91</v>
      </c>
      <c r="L324">
        <v>123.15</v>
      </c>
      <c r="M324">
        <v>126.48</v>
      </c>
      <c r="N324">
        <v>129.9</v>
      </c>
      <c r="O324">
        <v>133.41</v>
      </c>
      <c r="P324">
        <v>0</v>
      </c>
      <c r="Q324" s="304">
        <v>1388</v>
      </c>
    </row>
    <row r="325" spans="2:17" hidden="1" outlineLevel="1">
      <c r="B325" t="s">
        <v>997</v>
      </c>
      <c r="C325" t="s">
        <v>676</v>
      </c>
      <c r="D325">
        <v>67.930000000000007</v>
      </c>
      <c r="E325">
        <v>69.77</v>
      </c>
      <c r="F325">
        <v>71.650000000000006</v>
      </c>
      <c r="G325">
        <v>73.59</v>
      </c>
      <c r="H325">
        <v>75.569999999999993</v>
      </c>
      <c r="I325">
        <v>77.61</v>
      </c>
      <c r="J325">
        <v>79.709999999999994</v>
      </c>
      <c r="K325">
        <v>81.86</v>
      </c>
      <c r="L325">
        <v>84.08</v>
      </c>
      <c r="M325">
        <v>86.35</v>
      </c>
      <c r="N325">
        <v>88.68</v>
      </c>
      <c r="O325">
        <v>91.08</v>
      </c>
      <c r="P325">
        <v>0</v>
      </c>
      <c r="Q325">
        <v>948</v>
      </c>
    </row>
    <row r="326" spans="2:17" hidden="1" outlineLevel="1">
      <c r="B326" t="s">
        <v>998</v>
      </c>
      <c r="C326" t="s">
        <v>676</v>
      </c>
      <c r="D326">
        <v>228.81</v>
      </c>
      <c r="E326">
        <v>234.99</v>
      </c>
      <c r="F326">
        <v>241.33</v>
      </c>
      <c r="G326">
        <v>247.86</v>
      </c>
      <c r="H326">
        <v>254.54</v>
      </c>
      <c r="I326">
        <v>261.41000000000003</v>
      </c>
      <c r="J326">
        <v>268.47000000000003</v>
      </c>
      <c r="K326">
        <v>275.72000000000003</v>
      </c>
      <c r="L326">
        <v>283.18</v>
      </c>
      <c r="M326">
        <v>290.83</v>
      </c>
      <c r="N326">
        <v>298.69</v>
      </c>
      <c r="O326">
        <v>306.76</v>
      </c>
      <c r="P326">
        <v>0</v>
      </c>
      <c r="Q326" s="304">
        <v>3193</v>
      </c>
    </row>
    <row r="327" spans="2:17" hidden="1" outlineLevel="1">
      <c r="B327" t="s">
        <v>999</v>
      </c>
      <c r="C327" t="s">
        <v>676</v>
      </c>
      <c r="D327">
        <v>106.83</v>
      </c>
      <c r="E327">
        <v>109.71</v>
      </c>
      <c r="F327">
        <v>112.67</v>
      </c>
      <c r="G327">
        <v>115.72</v>
      </c>
      <c r="H327">
        <v>118.84</v>
      </c>
      <c r="I327">
        <v>122.05</v>
      </c>
      <c r="J327">
        <v>125.35</v>
      </c>
      <c r="K327">
        <v>128.72999999999999</v>
      </c>
      <c r="L327">
        <v>132.21</v>
      </c>
      <c r="M327">
        <v>135.78</v>
      </c>
      <c r="N327">
        <v>139.44999999999999</v>
      </c>
      <c r="O327">
        <v>143.22</v>
      </c>
      <c r="P327">
        <v>0</v>
      </c>
      <c r="Q327" s="304">
        <v>1491</v>
      </c>
    </row>
    <row r="328" spans="2:17" hidden="1" outlineLevel="1">
      <c r="B328" t="s">
        <v>1000</v>
      </c>
      <c r="C328" t="s">
        <v>676</v>
      </c>
      <c r="D328">
        <v>113.91</v>
      </c>
      <c r="E328">
        <v>116.99</v>
      </c>
      <c r="F328">
        <v>120.15</v>
      </c>
      <c r="G328">
        <v>123.4</v>
      </c>
      <c r="H328">
        <v>126.73</v>
      </c>
      <c r="I328">
        <v>130.13999999999999</v>
      </c>
      <c r="J328">
        <v>133.66</v>
      </c>
      <c r="K328">
        <v>137.27000000000001</v>
      </c>
      <c r="L328">
        <v>140.97999999999999</v>
      </c>
      <c r="M328">
        <v>144.79</v>
      </c>
      <c r="N328">
        <v>148.71</v>
      </c>
      <c r="O328">
        <v>152.72</v>
      </c>
      <c r="P328">
        <v>0</v>
      </c>
      <c r="Q328" s="304">
        <v>1589</v>
      </c>
    </row>
    <row r="329" spans="2:17" hidden="1" outlineLevel="1">
      <c r="B329" t="s">
        <v>1001</v>
      </c>
      <c r="C329" t="s">
        <v>676</v>
      </c>
      <c r="D329">
        <v>96.92</v>
      </c>
      <c r="E329">
        <v>99.54</v>
      </c>
      <c r="F329">
        <v>102.23</v>
      </c>
      <c r="G329">
        <v>104.99</v>
      </c>
      <c r="H329">
        <v>107.82</v>
      </c>
      <c r="I329">
        <v>110.73</v>
      </c>
      <c r="J329">
        <v>113.72</v>
      </c>
      <c r="K329">
        <v>116.8</v>
      </c>
      <c r="L329">
        <v>119.95</v>
      </c>
      <c r="M329">
        <v>123.2</v>
      </c>
      <c r="N329">
        <v>126.53</v>
      </c>
      <c r="O329">
        <v>129.94</v>
      </c>
      <c r="P329">
        <v>0</v>
      </c>
      <c r="Q329" s="304">
        <v>1352</v>
      </c>
    </row>
    <row r="330" spans="2:17" hidden="1" outlineLevel="1">
      <c r="B330" t="s">
        <v>1002</v>
      </c>
      <c r="C330" t="s">
        <v>676</v>
      </c>
      <c r="D330">
        <v>104.65</v>
      </c>
      <c r="E330">
        <v>107.48</v>
      </c>
      <c r="F330">
        <v>110.38</v>
      </c>
      <c r="G330">
        <v>113.37</v>
      </c>
      <c r="H330">
        <v>116.42</v>
      </c>
      <c r="I330">
        <v>119.56</v>
      </c>
      <c r="J330">
        <v>122.8</v>
      </c>
      <c r="K330">
        <v>126.11</v>
      </c>
      <c r="L330">
        <v>129.52000000000001</v>
      </c>
      <c r="M330">
        <v>133.02000000000001</v>
      </c>
      <c r="N330">
        <v>136.62</v>
      </c>
      <c r="O330">
        <v>140.31</v>
      </c>
      <c r="P330">
        <v>0</v>
      </c>
      <c r="Q330" s="304">
        <v>1460</v>
      </c>
    </row>
    <row r="331" spans="2:17" hidden="1" outlineLevel="1">
      <c r="B331" t="s">
        <v>1003</v>
      </c>
      <c r="C331" t="s">
        <v>676</v>
      </c>
      <c r="D331">
        <v>93.94</v>
      </c>
      <c r="E331">
        <v>96.48</v>
      </c>
      <c r="F331">
        <v>99.08</v>
      </c>
      <c r="G331">
        <v>101.76</v>
      </c>
      <c r="H331">
        <v>104.51</v>
      </c>
      <c r="I331">
        <v>107.32</v>
      </c>
      <c r="J331">
        <v>110.23</v>
      </c>
      <c r="K331">
        <v>113.2</v>
      </c>
      <c r="L331">
        <v>116.26</v>
      </c>
      <c r="M331">
        <v>119.41</v>
      </c>
      <c r="N331">
        <v>122.63</v>
      </c>
      <c r="O331">
        <v>125.95</v>
      </c>
      <c r="P331">
        <v>0</v>
      </c>
      <c r="Q331" s="304">
        <v>1311</v>
      </c>
    </row>
    <row r="332" spans="2:17" hidden="1" outlineLevel="1">
      <c r="B332" t="s">
        <v>1004</v>
      </c>
      <c r="C332" t="s">
        <v>676</v>
      </c>
      <c r="D332">
        <v>98.21</v>
      </c>
      <c r="E332">
        <v>100.87</v>
      </c>
      <c r="F332">
        <v>103.59</v>
      </c>
      <c r="G332">
        <v>106.39</v>
      </c>
      <c r="H332">
        <v>109.26</v>
      </c>
      <c r="I332">
        <v>112.21</v>
      </c>
      <c r="J332">
        <v>115.24</v>
      </c>
      <c r="K332">
        <v>118.35</v>
      </c>
      <c r="L332">
        <v>121.55</v>
      </c>
      <c r="M332">
        <v>124.84</v>
      </c>
      <c r="N332">
        <v>128.21</v>
      </c>
      <c r="O332">
        <v>131.66999999999999</v>
      </c>
      <c r="P332">
        <v>0</v>
      </c>
      <c r="Q332" s="304">
        <v>1370</v>
      </c>
    </row>
    <row r="333" spans="2:17" hidden="1" outlineLevel="1">
      <c r="B333" t="s">
        <v>1005</v>
      </c>
      <c r="C333" t="s">
        <v>676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2:17" hidden="1" outlineLevel="1">
      <c r="B334" t="s">
        <v>1006</v>
      </c>
      <c r="C334" t="s">
        <v>676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2:17" hidden="1" outlineLevel="1">
      <c r="B335" t="s">
        <v>1007</v>
      </c>
      <c r="C335" t="s">
        <v>676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2:17" hidden="1" outlineLevel="1">
      <c r="B336" t="s">
        <v>1008</v>
      </c>
      <c r="C336" t="s">
        <v>676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hidden="1" outlineLevel="1">
      <c r="B337" t="s">
        <v>1009</v>
      </c>
      <c r="C337" t="s">
        <v>676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hidden="1" outlineLevel="1">
      <c r="B338" t="s">
        <v>1010</v>
      </c>
      <c r="C338" t="s">
        <v>676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hidden="1" outlineLevel="1">
      <c r="B339" t="s">
        <v>1011</v>
      </c>
      <c r="C339" t="s">
        <v>676</v>
      </c>
      <c r="D339">
        <v>72.53</v>
      </c>
      <c r="E339">
        <v>74.489999999999995</v>
      </c>
      <c r="F339">
        <v>76.5</v>
      </c>
      <c r="G339">
        <v>78.569999999999993</v>
      </c>
      <c r="H339">
        <v>80.69</v>
      </c>
      <c r="I339">
        <v>82.86</v>
      </c>
      <c r="J339">
        <v>85.1</v>
      </c>
      <c r="K339">
        <v>87.4</v>
      </c>
      <c r="L339">
        <v>89.76</v>
      </c>
      <c r="M339">
        <v>92.19</v>
      </c>
      <c r="N339">
        <v>94.68</v>
      </c>
      <c r="O339">
        <v>97.24</v>
      </c>
      <c r="P339">
        <v>0</v>
      </c>
      <c r="Q339" s="304">
        <v>1012</v>
      </c>
    </row>
    <row r="340" spans="1:17" collapsed="1">
      <c r="A340" t="s">
        <v>1012</v>
      </c>
    </row>
    <row r="341" spans="1:17" hidden="1" outlineLevel="1">
      <c r="B341" t="s">
        <v>1013</v>
      </c>
      <c r="C341" t="s">
        <v>676</v>
      </c>
      <c r="D341">
        <v>97.17</v>
      </c>
      <c r="E341">
        <v>99.79</v>
      </c>
      <c r="F341">
        <v>102.49</v>
      </c>
      <c r="G341">
        <v>105.26</v>
      </c>
      <c r="H341">
        <v>108.1</v>
      </c>
      <c r="I341">
        <v>111.01</v>
      </c>
      <c r="J341">
        <v>114.01</v>
      </c>
      <c r="K341">
        <v>117.09</v>
      </c>
      <c r="L341">
        <v>120.26</v>
      </c>
      <c r="M341">
        <v>123.51</v>
      </c>
      <c r="N341">
        <v>126.85</v>
      </c>
      <c r="O341">
        <v>130.27000000000001</v>
      </c>
      <c r="P341">
        <v>0</v>
      </c>
      <c r="Q341" s="304">
        <v>1356</v>
      </c>
    </row>
    <row r="342" spans="1:17" hidden="1" outlineLevel="1">
      <c r="B342" t="s">
        <v>1014</v>
      </c>
      <c r="C342" t="s">
        <v>676</v>
      </c>
      <c r="D342">
        <v>59.73</v>
      </c>
      <c r="E342">
        <v>61.35</v>
      </c>
      <c r="F342">
        <v>63</v>
      </c>
      <c r="G342">
        <v>64.7</v>
      </c>
      <c r="H342">
        <v>66.45</v>
      </c>
      <c r="I342">
        <v>68.239999999999995</v>
      </c>
      <c r="J342">
        <v>70.09</v>
      </c>
      <c r="K342">
        <v>71.98</v>
      </c>
      <c r="L342">
        <v>73.92</v>
      </c>
      <c r="M342">
        <v>75.92</v>
      </c>
      <c r="N342">
        <v>77.98</v>
      </c>
      <c r="O342">
        <v>80.08</v>
      </c>
      <c r="P342">
        <v>0</v>
      </c>
      <c r="Q342">
        <v>833</v>
      </c>
    </row>
    <row r="343" spans="1:17" hidden="1" outlineLevel="1">
      <c r="B343" t="s">
        <v>1015</v>
      </c>
      <c r="C343" t="s">
        <v>676</v>
      </c>
      <c r="D343">
        <v>110.61</v>
      </c>
      <c r="E343">
        <v>113.6</v>
      </c>
      <c r="F343">
        <v>116.67</v>
      </c>
      <c r="G343">
        <v>119.82</v>
      </c>
      <c r="H343">
        <v>123.05</v>
      </c>
      <c r="I343">
        <v>126.37</v>
      </c>
      <c r="J343">
        <v>129.79</v>
      </c>
      <c r="K343">
        <v>133.29</v>
      </c>
      <c r="L343">
        <v>136.9</v>
      </c>
      <c r="M343">
        <v>140.6</v>
      </c>
      <c r="N343">
        <v>144.4</v>
      </c>
      <c r="O343">
        <v>148.30000000000001</v>
      </c>
      <c r="P343">
        <v>0</v>
      </c>
      <c r="Q343" s="304">
        <v>1543</v>
      </c>
    </row>
    <row r="344" spans="1:17" hidden="1" outlineLevel="1">
      <c r="B344" t="s">
        <v>1016</v>
      </c>
      <c r="C344" t="s">
        <v>676</v>
      </c>
      <c r="D344">
        <v>76.400000000000006</v>
      </c>
      <c r="E344">
        <v>78.47</v>
      </c>
      <c r="F344">
        <v>80.58</v>
      </c>
      <c r="G344">
        <v>82.76</v>
      </c>
      <c r="H344">
        <v>84.99</v>
      </c>
      <c r="I344">
        <v>87.29</v>
      </c>
      <c r="J344">
        <v>89.65</v>
      </c>
      <c r="K344">
        <v>92.07</v>
      </c>
      <c r="L344">
        <v>94.56</v>
      </c>
      <c r="M344">
        <v>97.11</v>
      </c>
      <c r="N344">
        <v>99.74</v>
      </c>
      <c r="O344">
        <v>102.43</v>
      </c>
      <c r="P344">
        <v>0</v>
      </c>
      <c r="Q344" s="304">
        <v>1066</v>
      </c>
    </row>
    <row r="345" spans="1:17" hidden="1" outlineLevel="1">
      <c r="B345" t="s">
        <v>1017</v>
      </c>
      <c r="C345" t="s">
        <v>676</v>
      </c>
      <c r="D345">
        <v>91.13</v>
      </c>
      <c r="E345">
        <v>93.59</v>
      </c>
      <c r="F345">
        <v>96.12</v>
      </c>
      <c r="G345">
        <v>98.72</v>
      </c>
      <c r="H345">
        <v>101.38</v>
      </c>
      <c r="I345">
        <v>104.12</v>
      </c>
      <c r="J345">
        <v>106.93</v>
      </c>
      <c r="K345">
        <v>109.82</v>
      </c>
      <c r="L345">
        <v>112.79</v>
      </c>
      <c r="M345">
        <v>115.84</v>
      </c>
      <c r="N345">
        <v>118.97</v>
      </c>
      <c r="O345">
        <v>122.18</v>
      </c>
      <c r="P345">
        <v>0</v>
      </c>
      <c r="Q345" s="304">
        <v>1272</v>
      </c>
    </row>
    <row r="346" spans="1:17" hidden="1" outlineLevel="1">
      <c r="B346" t="s">
        <v>1018</v>
      </c>
      <c r="C346" t="s">
        <v>676</v>
      </c>
      <c r="D346">
        <v>159.16999999999999</v>
      </c>
      <c r="E346">
        <v>163.47</v>
      </c>
      <c r="F346">
        <v>167.88</v>
      </c>
      <c r="G346">
        <v>172.42</v>
      </c>
      <c r="H346">
        <v>177.07</v>
      </c>
      <c r="I346">
        <v>181.85</v>
      </c>
      <c r="J346">
        <v>186.76</v>
      </c>
      <c r="K346">
        <v>191.81</v>
      </c>
      <c r="L346">
        <v>196.99</v>
      </c>
      <c r="M346">
        <v>202.32</v>
      </c>
      <c r="N346">
        <v>207.79</v>
      </c>
      <c r="O346">
        <v>213.4</v>
      </c>
      <c r="P346">
        <v>0</v>
      </c>
      <c r="Q346" s="304">
        <v>2221</v>
      </c>
    </row>
    <row r="347" spans="1:17" hidden="1" outlineLevel="1">
      <c r="B347" t="s">
        <v>1019</v>
      </c>
      <c r="C347" t="s">
        <v>676</v>
      </c>
      <c r="D347">
        <v>94.31</v>
      </c>
      <c r="E347">
        <v>96.86</v>
      </c>
      <c r="F347">
        <v>99.48</v>
      </c>
      <c r="G347">
        <v>102.17</v>
      </c>
      <c r="H347">
        <v>104.92</v>
      </c>
      <c r="I347">
        <v>107.75</v>
      </c>
      <c r="J347">
        <v>110.66</v>
      </c>
      <c r="K347">
        <v>113.65</v>
      </c>
      <c r="L347">
        <v>116.72</v>
      </c>
      <c r="M347">
        <v>119.88</v>
      </c>
      <c r="N347">
        <v>123.12</v>
      </c>
      <c r="O347">
        <v>126.44</v>
      </c>
      <c r="P347">
        <v>0</v>
      </c>
      <c r="Q347" s="304">
        <v>1316</v>
      </c>
    </row>
    <row r="348" spans="1:17" hidden="1" outlineLevel="1">
      <c r="B348" t="s">
        <v>1020</v>
      </c>
      <c r="C348" t="s">
        <v>676</v>
      </c>
      <c r="D348">
        <v>103.59</v>
      </c>
      <c r="E348">
        <v>106.4</v>
      </c>
      <c r="F348">
        <v>109.27</v>
      </c>
      <c r="G348">
        <v>112.22</v>
      </c>
      <c r="H348">
        <v>115.25</v>
      </c>
      <c r="I348">
        <v>118.35</v>
      </c>
      <c r="J348">
        <v>121.55</v>
      </c>
      <c r="K348">
        <v>124.84</v>
      </c>
      <c r="L348">
        <v>128.21</v>
      </c>
      <c r="M348">
        <v>131.68</v>
      </c>
      <c r="N348">
        <v>135.24</v>
      </c>
      <c r="O348">
        <v>138.88999999999999</v>
      </c>
      <c r="P348">
        <v>0</v>
      </c>
      <c r="Q348" s="304">
        <v>1445</v>
      </c>
    </row>
    <row r="349" spans="1:17" hidden="1" outlineLevel="1">
      <c r="B349" t="s">
        <v>1021</v>
      </c>
      <c r="C349" t="s">
        <v>676</v>
      </c>
      <c r="D349">
        <v>169.9</v>
      </c>
      <c r="E349">
        <v>174.49</v>
      </c>
      <c r="F349">
        <v>179.2</v>
      </c>
      <c r="G349">
        <v>184.05</v>
      </c>
      <c r="H349">
        <v>189.01</v>
      </c>
      <c r="I349">
        <v>194.11</v>
      </c>
      <c r="J349">
        <v>199.35</v>
      </c>
      <c r="K349">
        <v>204.74</v>
      </c>
      <c r="L349">
        <v>210.27</v>
      </c>
      <c r="M349">
        <v>215.96</v>
      </c>
      <c r="N349">
        <v>221.79</v>
      </c>
      <c r="O349">
        <v>227.78</v>
      </c>
      <c r="P349">
        <v>0</v>
      </c>
      <c r="Q349" s="304">
        <v>2371</v>
      </c>
    </row>
    <row r="350" spans="1:17" hidden="1" outlineLevel="1">
      <c r="B350" t="s">
        <v>1022</v>
      </c>
      <c r="C350" t="s">
        <v>676</v>
      </c>
      <c r="D350">
        <v>53.52</v>
      </c>
      <c r="E350">
        <v>54.96</v>
      </c>
      <c r="F350">
        <v>56.45</v>
      </c>
      <c r="G350">
        <v>57.97</v>
      </c>
      <c r="H350">
        <v>59.53</v>
      </c>
      <c r="I350">
        <v>61.14</v>
      </c>
      <c r="J350">
        <v>62.79</v>
      </c>
      <c r="K350">
        <v>64.489999999999995</v>
      </c>
      <c r="L350">
        <v>66.23</v>
      </c>
      <c r="M350">
        <v>68.02</v>
      </c>
      <c r="N350">
        <v>69.86</v>
      </c>
      <c r="O350">
        <v>71.75</v>
      </c>
      <c r="P350">
        <v>0</v>
      </c>
      <c r="Q350">
        <v>747</v>
      </c>
    </row>
    <row r="351" spans="1:17" hidden="1" outlineLevel="1">
      <c r="B351" t="s">
        <v>1023</v>
      </c>
      <c r="C351" t="s">
        <v>676</v>
      </c>
      <c r="D351">
        <v>159.16999999999999</v>
      </c>
      <c r="E351">
        <v>163.47</v>
      </c>
      <c r="F351">
        <v>167.88</v>
      </c>
      <c r="G351">
        <v>172.42</v>
      </c>
      <c r="H351">
        <v>177.07</v>
      </c>
      <c r="I351">
        <v>181.85</v>
      </c>
      <c r="J351">
        <v>186.76</v>
      </c>
      <c r="K351">
        <v>191.81</v>
      </c>
      <c r="L351">
        <v>196.99</v>
      </c>
      <c r="M351">
        <v>202.32</v>
      </c>
      <c r="N351">
        <v>207.79</v>
      </c>
      <c r="O351">
        <v>213.4</v>
      </c>
      <c r="P351">
        <v>0</v>
      </c>
      <c r="Q351" s="304">
        <v>2221</v>
      </c>
    </row>
    <row r="352" spans="1:17" hidden="1" outlineLevel="1">
      <c r="B352" t="s">
        <v>1024</v>
      </c>
      <c r="C352" t="s">
        <v>676</v>
      </c>
      <c r="D352">
        <v>102.35</v>
      </c>
      <c r="E352">
        <v>105.11</v>
      </c>
      <c r="F352">
        <v>107.95</v>
      </c>
      <c r="G352">
        <v>110.87</v>
      </c>
      <c r="H352">
        <v>113.86</v>
      </c>
      <c r="I352">
        <v>116.93</v>
      </c>
      <c r="J352">
        <v>120.09</v>
      </c>
      <c r="K352">
        <v>123.33</v>
      </c>
      <c r="L352">
        <v>126.67</v>
      </c>
      <c r="M352">
        <v>130.09</v>
      </c>
      <c r="N352">
        <v>133.61000000000001</v>
      </c>
      <c r="O352">
        <v>137.22</v>
      </c>
      <c r="P352">
        <v>0</v>
      </c>
      <c r="Q352" s="304">
        <v>1428</v>
      </c>
    </row>
    <row r="353" spans="2:17" hidden="1" outlineLevel="1">
      <c r="B353" t="s">
        <v>1025</v>
      </c>
      <c r="C353" t="s">
        <v>676</v>
      </c>
      <c r="D353">
        <v>102.27</v>
      </c>
      <c r="E353">
        <v>105.04</v>
      </c>
      <c r="F353">
        <v>107.87</v>
      </c>
      <c r="G353">
        <v>110.79</v>
      </c>
      <c r="H353">
        <v>113.78</v>
      </c>
      <c r="I353">
        <v>116.85</v>
      </c>
      <c r="J353">
        <v>120.01</v>
      </c>
      <c r="K353">
        <v>123.25</v>
      </c>
      <c r="L353">
        <v>126.58</v>
      </c>
      <c r="M353">
        <v>130</v>
      </c>
      <c r="N353">
        <v>133.51</v>
      </c>
      <c r="O353">
        <v>137.12</v>
      </c>
      <c r="P353">
        <v>0</v>
      </c>
      <c r="Q353" s="304">
        <v>1427</v>
      </c>
    </row>
    <row r="354" spans="2:17" hidden="1" outlineLevel="1">
      <c r="B354" t="s">
        <v>1026</v>
      </c>
      <c r="C354" t="s">
        <v>676</v>
      </c>
      <c r="D354">
        <v>74.349999999999994</v>
      </c>
      <c r="E354">
        <v>76.36</v>
      </c>
      <c r="F354">
        <v>78.42</v>
      </c>
      <c r="G354">
        <v>80.540000000000006</v>
      </c>
      <c r="H354">
        <v>82.71</v>
      </c>
      <c r="I354">
        <v>84.94</v>
      </c>
      <c r="J354">
        <v>87.24</v>
      </c>
      <c r="K354">
        <v>89.6</v>
      </c>
      <c r="L354">
        <v>92.02</v>
      </c>
      <c r="M354">
        <v>94.51</v>
      </c>
      <c r="N354">
        <v>97.06</v>
      </c>
      <c r="O354">
        <v>99.68</v>
      </c>
      <c r="P354">
        <v>0</v>
      </c>
      <c r="Q354" s="304">
        <v>1037</v>
      </c>
    </row>
    <row r="355" spans="2:17" hidden="1" outlineLevel="1">
      <c r="B355" t="s">
        <v>1027</v>
      </c>
      <c r="C355" t="s">
        <v>676</v>
      </c>
      <c r="D355">
        <v>117.13</v>
      </c>
      <c r="E355">
        <v>120.29</v>
      </c>
      <c r="F355">
        <v>123.54</v>
      </c>
      <c r="G355">
        <v>126.88</v>
      </c>
      <c r="H355">
        <v>130.30000000000001</v>
      </c>
      <c r="I355">
        <v>133.81</v>
      </c>
      <c r="J355">
        <v>137.43</v>
      </c>
      <c r="K355">
        <v>141.13999999999999</v>
      </c>
      <c r="L355">
        <v>144.96</v>
      </c>
      <c r="M355">
        <v>148.88</v>
      </c>
      <c r="N355">
        <v>152.9</v>
      </c>
      <c r="O355">
        <v>157.03</v>
      </c>
      <c r="P355">
        <v>0</v>
      </c>
      <c r="Q355" s="304">
        <v>1634</v>
      </c>
    </row>
    <row r="356" spans="2:17" hidden="1" outlineLevel="1">
      <c r="B356" t="s">
        <v>1028</v>
      </c>
      <c r="C356" t="s">
        <v>676</v>
      </c>
      <c r="D356">
        <v>71.72</v>
      </c>
      <c r="E356">
        <v>73.66</v>
      </c>
      <c r="F356">
        <v>75.650000000000006</v>
      </c>
      <c r="G356">
        <v>77.69</v>
      </c>
      <c r="H356">
        <v>79.790000000000006</v>
      </c>
      <c r="I356">
        <v>81.94</v>
      </c>
      <c r="J356">
        <v>84.16</v>
      </c>
      <c r="K356">
        <v>86.43</v>
      </c>
      <c r="L356">
        <v>88.77</v>
      </c>
      <c r="M356">
        <v>91.17</v>
      </c>
      <c r="N356">
        <v>93.63</v>
      </c>
      <c r="O356">
        <v>96.16</v>
      </c>
      <c r="P356">
        <v>0</v>
      </c>
      <c r="Q356" s="304">
        <v>1001</v>
      </c>
    </row>
    <row r="357" spans="2:17" hidden="1" outlineLevel="1">
      <c r="B357" t="s">
        <v>1029</v>
      </c>
      <c r="C357" t="s">
        <v>676</v>
      </c>
      <c r="D357">
        <v>55.92</v>
      </c>
      <c r="E357">
        <v>57.43</v>
      </c>
      <c r="F357">
        <v>58.98</v>
      </c>
      <c r="G357">
        <v>60.57</v>
      </c>
      <c r="H357">
        <v>62.21</v>
      </c>
      <c r="I357">
        <v>63.88</v>
      </c>
      <c r="J357">
        <v>65.61</v>
      </c>
      <c r="K357">
        <v>67.38</v>
      </c>
      <c r="L357">
        <v>69.2</v>
      </c>
      <c r="M357">
        <v>71.069999999999993</v>
      </c>
      <c r="N357">
        <v>73</v>
      </c>
      <c r="O357">
        <v>74.97</v>
      </c>
      <c r="P357">
        <v>0</v>
      </c>
      <c r="Q357">
        <v>780</v>
      </c>
    </row>
    <row r="358" spans="2:17" hidden="1" outlineLevel="1">
      <c r="B358" t="s">
        <v>1030</v>
      </c>
      <c r="C358" t="s">
        <v>676</v>
      </c>
      <c r="D358">
        <v>72.900000000000006</v>
      </c>
      <c r="E358">
        <v>74.87</v>
      </c>
      <c r="F358">
        <v>76.89</v>
      </c>
      <c r="G358">
        <v>78.97</v>
      </c>
      <c r="H358">
        <v>81.099999999999994</v>
      </c>
      <c r="I358">
        <v>83.28</v>
      </c>
      <c r="J358">
        <v>85.53</v>
      </c>
      <c r="K358">
        <v>87.84</v>
      </c>
      <c r="L358">
        <v>90.22</v>
      </c>
      <c r="M358">
        <v>92.66</v>
      </c>
      <c r="N358">
        <v>95.16</v>
      </c>
      <c r="O358">
        <v>97.73</v>
      </c>
      <c r="P358">
        <v>0</v>
      </c>
      <c r="Q358" s="304">
        <v>1017</v>
      </c>
    </row>
    <row r="359" spans="2:17" hidden="1" outlineLevel="1">
      <c r="B359" t="s">
        <v>1031</v>
      </c>
      <c r="C359" t="s">
        <v>676</v>
      </c>
      <c r="D359">
        <v>65.239999999999995</v>
      </c>
      <c r="E359">
        <v>67</v>
      </c>
      <c r="F359">
        <v>68.81</v>
      </c>
      <c r="G359">
        <v>70.67</v>
      </c>
      <c r="H359">
        <v>72.569999999999993</v>
      </c>
      <c r="I359">
        <v>74.53</v>
      </c>
      <c r="J359">
        <v>76.55</v>
      </c>
      <c r="K359">
        <v>78.61</v>
      </c>
      <c r="L359">
        <v>80.739999999999995</v>
      </c>
      <c r="M359">
        <v>82.92</v>
      </c>
      <c r="N359">
        <v>85.16</v>
      </c>
      <c r="O359">
        <v>87.46</v>
      </c>
      <c r="P359">
        <v>0</v>
      </c>
      <c r="Q359">
        <v>910</v>
      </c>
    </row>
    <row r="360" spans="2:17" hidden="1" outlineLevel="1">
      <c r="B360" t="s">
        <v>1032</v>
      </c>
      <c r="C360" t="s">
        <v>676</v>
      </c>
      <c r="D360">
        <v>69.13</v>
      </c>
      <c r="E360">
        <v>71</v>
      </c>
      <c r="F360">
        <v>72.92</v>
      </c>
      <c r="G360">
        <v>74.89</v>
      </c>
      <c r="H360">
        <v>76.91</v>
      </c>
      <c r="I360">
        <v>78.98</v>
      </c>
      <c r="J360">
        <v>81.12</v>
      </c>
      <c r="K360">
        <v>83.31</v>
      </c>
      <c r="L360">
        <v>85.56</v>
      </c>
      <c r="M360">
        <v>87.87</v>
      </c>
      <c r="N360">
        <v>90.25</v>
      </c>
      <c r="O360">
        <v>92.69</v>
      </c>
      <c r="P360">
        <v>0</v>
      </c>
      <c r="Q360">
        <v>965</v>
      </c>
    </row>
    <row r="361" spans="2:17" hidden="1" outlineLevel="1">
      <c r="B361" t="s">
        <v>1033</v>
      </c>
      <c r="C361" t="s">
        <v>676</v>
      </c>
      <c r="D361">
        <v>106.83</v>
      </c>
      <c r="E361">
        <v>109.71</v>
      </c>
      <c r="F361">
        <v>112.67</v>
      </c>
      <c r="G361">
        <v>115.72</v>
      </c>
      <c r="H361">
        <v>118.84</v>
      </c>
      <c r="I361">
        <v>122.05</v>
      </c>
      <c r="J361">
        <v>125.35</v>
      </c>
      <c r="K361">
        <v>128.72999999999999</v>
      </c>
      <c r="L361">
        <v>132.21</v>
      </c>
      <c r="M361">
        <v>135.78</v>
      </c>
      <c r="N361">
        <v>139.44999999999999</v>
      </c>
      <c r="O361">
        <v>143.22</v>
      </c>
      <c r="P361">
        <v>0</v>
      </c>
      <c r="Q361" s="304">
        <v>1491</v>
      </c>
    </row>
    <row r="362" spans="2:17" hidden="1" outlineLevel="1">
      <c r="B362" t="s">
        <v>1034</v>
      </c>
      <c r="C362" t="s">
        <v>676</v>
      </c>
      <c r="D362">
        <v>109.27</v>
      </c>
      <c r="E362">
        <v>112.22</v>
      </c>
      <c r="F362">
        <v>115.25</v>
      </c>
      <c r="G362">
        <v>118.37</v>
      </c>
      <c r="H362">
        <v>121.56</v>
      </c>
      <c r="I362">
        <v>124.84</v>
      </c>
      <c r="J362">
        <v>128.21</v>
      </c>
      <c r="K362">
        <v>131.66999999999999</v>
      </c>
      <c r="L362">
        <v>135.22999999999999</v>
      </c>
      <c r="M362">
        <v>138.88999999999999</v>
      </c>
      <c r="N362">
        <v>142.63999999999999</v>
      </c>
      <c r="O362">
        <v>146.5</v>
      </c>
      <c r="P362">
        <v>0</v>
      </c>
      <c r="Q362" s="304">
        <v>1525</v>
      </c>
    </row>
    <row r="363" spans="2:17" hidden="1" outlineLevel="1">
      <c r="B363" t="s">
        <v>1035</v>
      </c>
      <c r="C363" t="s">
        <v>676</v>
      </c>
      <c r="D363">
        <v>148.74</v>
      </c>
      <c r="E363">
        <v>152.76</v>
      </c>
      <c r="F363">
        <v>156.88999999999999</v>
      </c>
      <c r="G363">
        <v>161.13</v>
      </c>
      <c r="H363">
        <v>165.47</v>
      </c>
      <c r="I363">
        <v>169.94</v>
      </c>
      <c r="J363">
        <v>174.53</v>
      </c>
      <c r="K363">
        <v>179.24</v>
      </c>
      <c r="L363">
        <v>184.09</v>
      </c>
      <c r="M363">
        <v>189.07</v>
      </c>
      <c r="N363">
        <v>194.18</v>
      </c>
      <c r="O363">
        <v>199.42</v>
      </c>
      <c r="P363">
        <v>0</v>
      </c>
      <c r="Q363" s="304">
        <v>2075</v>
      </c>
    </row>
    <row r="364" spans="2:17" hidden="1" outlineLevel="1">
      <c r="B364" t="s">
        <v>1036</v>
      </c>
      <c r="C364" t="s">
        <v>676</v>
      </c>
      <c r="D364">
        <v>92.08</v>
      </c>
      <c r="E364">
        <v>94.57</v>
      </c>
      <c r="F364">
        <v>97.12</v>
      </c>
      <c r="G364">
        <v>99.75</v>
      </c>
      <c r="H364">
        <v>102.44</v>
      </c>
      <c r="I364">
        <v>105.2</v>
      </c>
      <c r="J364">
        <v>108.04</v>
      </c>
      <c r="K364">
        <v>110.96</v>
      </c>
      <c r="L364">
        <v>113.96</v>
      </c>
      <c r="M364">
        <v>117.04</v>
      </c>
      <c r="N364">
        <v>120.21</v>
      </c>
      <c r="O364">
        <v>123.45</v>
      </c>
      <c r="P364">
        <v>0</v>
      </c>
      <c r="Q364" s="304">
        <v>1285</v>
      </c>
    </row>
    <row r="365" spans="2:17" hidden="1" outlineLevel="1">
      <c r="B365" t="s">
        <v>1037</v>
      </c>
      <c r="C365" t="s">
        <v>676</v>
      </c>
      <c r="D365">
        <v>105.83</v>
      </c>
      <c r="E365">
        <v>108.7</v>
      </c>
      <c r="F365">
        <v>111.63</v>
      </c>
      <c r="G365">
        <v>114.65</v>
      </c>
      <c r="H365">
        <v>117.74</v>
      </c>
      <c r="I365">
        <v>120.91</v>
      </c>
      <c r="J365">
        <v>124.18</v>
      </c>
      <c r="K365">
        <v>127.54</v>
      </c>
      <c r="L365">
        <v>130.97999999999999</v>
      </c>
      <c r="M365">
        <v>134.53</v>
      </c>
      <c r="N365">
        <v>138.16</v>
      </c>
      <c r="O365">
        <v>141.88999999999999</v>
      </c>
      <c r="P365">
        <v>0</v>
      </c>
      <c r="Q365" s="304">
        <v>1477</v>
      </c>
    </row>
    <row r="366" spans="2:17" hidden="1" outlineLevel="1">
      <c r="B366" t="s">
        <v>1038</v>
      </c>
      <c r="C366" t="s">
        <v>676</v>
      </c>
      <c r="D366">
        <v>125.21</v>
      </c>
      <c r="E366">
        <v>128.59</v>
      </c>
      <c r="F366">
        <v>132.06</v>
      </c>
      <c r="G366">
        <v>135.63</v>
      </c>
      <c r="H366">
        <v>139.29</v>
      </c>
      <c r="I366">
        <v>143.04</v>
      </c>
      <c r="J366">
        <v>146.91</v>
      </c>
      <c r="K366">
        <v>150.88</v>
      </c>
      <c r="L366">
        <v>154.96</v>
      </c>
      <c r="M366">
        <v>159.15</v>
      </c>
      <c r="N366">
        <v>163.44999999999999</v>
      </c>
      <c r="O366">
        <v>167.86</v>
      </c>
      <c r="P366">
        <v>0</v>
      </c>
      <c r="Q366" s="304">
        <v>1747</v>
      </c>
    </row>
    <row r="367" spans="2:17" hidden="1" outlineLevel="1">
      <c r="B367" t="s">
        <v>1039</v>
      </c>
      <c r="C367" t="s">
        <v>676</v>
      </c>
      <c r="D367">
        <v>236.1</v>
      </c>
      <c r="E367">
        <v>242.48</v>
      </c>
      <c r="F367">
        <v>249.03</v>
      </c>
      <c r="G367">
        <v>255.76</v>
      </c>
      <c r="H367">
        <v>262.66000000000003</v>
      </c>
      <c r="I367">
        <v>269.74</v>
      </c>
      <c r="J367">
        <v>277.02999999999997</v>
      </c>
      <c r="K367">
        <v>284.51</v>
      </c>
      <c r="L367">
        <v>292.20999999999998</v>
      </c>
      <c r="M367">
        <v>300.11</v>
      </c>
      <c r="N367">
        <v>308.22000000000003</v>
      </c>
      <c r="O367">
        <v>316.54000000000002</v>
      </c>
      <c r="P367">
        <v>0</v>
      </c>
      <c r="Q367" s="304">
        <v>3294</v>
      </c>
    </row>
    <row r="368" spans="2:17" hidden="1" outlineLevel="1">
      <c r="B368" t="s">
        <v>1040</v>
      </c>
      <c r="C368" t="s">
        <v>676</v>
      </c>
      <c r="D368">
        <v>188.88</v>
      </c>
      <c r="E368">
        <v>193.99</v>
      </c>
      <c r="F368">
        <v>199.22</v>
      </c>
      <c r="G368">
        <v>204.61</v>
      </c>
      <c r="H368">
        <v>210.13</v>
      </c>
      <c r="I368">
        <v>215.79</v>
      </c>
      <c r="J368">
        <v>221.63</v>
      </c>
      <c r="K368">
        <v>227.61</v>
      </c>
      <c r="L368">
        <v>233.76</v>
      </c>
      <c r="M368">
        <v>240.09</v>
      </c>
      <c r="N368">
        <v>246.57</v>
      </c>
      <c r="O368">
        <v>253.23</v>
      </c>
      <c r="P368">
        <v>0</v>
      </c>
      <c r="Q368" s="304">
        <v>2636</v>
      </c>
    </row>
    <row r="369" spans="1:17" hidden="1" outlineLevel="1">
      <c r="B369" t="s">
        <v>1041</v>
      </c>
      <c r="C369" t="s">
        <v>676</v>
      </c>
      <c r="D369">
        <v>109.32</v>
      </c>
      <c r="E369">
        <v>112.28</v>
      </c>
      <c r="F369">
        <v>115.31</v>
      </c>
      <c r="G369">
        <v>118.43</v>
      </c>
      <c r="H369">
        <v>121.62</v>
      </c>
      <c r="I369">
        <v>124.9</v>
      </c>
      <c r="J369">
        <v>128.28</v>
      </c>
      <c r="K369">
        <v>131.74</v>
      </c>
      <c r="L369">
        <v>135.30000000000001</v>
      </c>
      <c r="M369">
        <v>138.96</v>
      </c>
      <c r="N369">
        <v>142.72</v>
      </c>
      <c r="O369">
        <v>146.57</v>
      </c>
      <c r="P369">
        <v>0</v>
      </c>
      <c r="Q369" s="304">
        <v>1525</v>
      </c>
    </row>
    <row r="370" spans="1:17" hidden="1" outlineLevel="1">
      <c r="B370" t="s">
        <v>1042</v>
      </c>
      <c r="C370" t="s">
        <v>676</v>
      </c>
      <c r="D370">
        <v>104.65</v>
      </c>
      <c r="E370">
        <v>107.48</v>
      </c>
      <c r="F370">
        <v>110.38</v>
      </c>
      <c r="G370">
        <v>113.37</v>
      </c>
      <c r="H370">
        <v>116.42</v>
      </c>
      <c r="I370">
        <v>119.56</v>
      </c>
      <c r="J370">
        <v>122.8</v>
      </c>
      <c r="K370">
        <v>126.11</v>
      </c>
      <c r="L370">
        <v>129.52000000000001</v>
      </c>
      <c r="M370">
        <v>133.02000000000001</v>
      </c>
      <c r="N370">
        <v>136.62</v>
      </c>
      <c r="O370">
        <v>140.31</v>
      </c>
      <c r="P370">
        <v>0</v>
      </c>
      <c r="Q370" s="304">
        <v>1460</v>
      </c>
    </row>
    <row r="371" spans="1:17" hidden="1" outlineLevel="1">
      <c r="B371" t="s">
        <v>1043</v>
      </c>
      <c r="C371" t="s">
        <v>676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hidden="1" outlineLevel="1">
      <c r="B372" t="s">
        <v>1044</v>
      </c>
      <c r="C372" t="s">
        <v>676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hidden="1" outlineLevel="1">
      <c r="B373" t="s">
        <v>1045</v>
      </c>
      <c r="C373" t="s">
        <v>676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collapsed="1">
      <c r="A374" t="s">
        <v>1046</v>
      </c>
    </row>
    <row r="375" spans="1:17" hidden="1" outlineLevel="1">
      <c r="B375" t="s">
        <v>1047</v>
      </c>
      <c r="C375" t="s">
        <v>676</v>
      </c>
      <c r="D375">
        <v>97.17</v>
      </c>
      <c r="E375">
        <v>99.79</v>
      </c>
      <c r="F375">
        <v>102.49</v>
      </c>
      <c r="G375">
        <v>105.26</v>
      </c>
      <c r="H375">
        <v>108.1</v>
      </c>
      <c r="I375">
        <v>111.01</v>
      </c>
      <c r="J375">
        <v>114.01</v>
      </c>
      <c r="K375">
        <v>117.09</v>
      </c>
      <c r="L375">
        <v>120.26</v>
      </c>
      <c r="M375">
        <v>123.51</v>
      </c>
      <c r="N375">
        <v>126.85</v>
      </c>
      <c r="O375">
        <v>130.27000000000001</v>
      </c>
      <c r="P375">
        <v>0</v>
      </c>
      <c r="Q375" s="304">
        <v>1356</v>
      </c>
    </row>
    <row r="376" spans="1:17" hidden="1" outlineLevel="1">
      <c r="B376" t="s">
        <v>1048</v>
      </c>
      <c r="C376" t="s">
        <v>676</v>
      </c>
      <c r="D376">
        <v>59.73</v>
      </c>
      <c r="E376">
        <v>61.35</v>
      </c>
      <c r="F376">
        <v>63</v>
      </c>
      <c r="G376">
        <v>64.7</v>
      </c>
      <c r="H376">
        <v>66.45</v>
      </c>
      <c r="I376">
        <v>68.239999999999995</v>
      </c>
      <c r="J376">
        <v>70.09</v>
      </c>
      <c r="K376">
        <v>71.98</v>
      </c>
      <c r="L376">
        <v>73.92</v>
      </c>
      <c r="M376">
        <v>75.92</v>
      </c>
      <c r="N376">
        <v>77.98</v>
      </c>
      <c r="O376">
        <v>80.08</v>
      </c>
      <c r="P376">
        <v>0</v>
      </c>
      <c r="Q376">
        <v>833</v>
      </c>
    </row>
    <row r="377" spans="1:17" hidden="1" outlineLevel="1">
      <c r="B377" t="s">
        <v>1049</v>
      </c>
      <c r="C377" t="s">
        <v>676</v>
      </c>
      <c r="D377">
        <v>53.52</v>
      </c>
      <c r="E377">
        <v>54.96</v>
      </c>
      <c r="F377">
        <v>56.45</v>
      </c>
      <c r="G377">
        <v>57.97</v>
      </c>
      <c r="H377">
        <v>59.53</v>
      </c>
      <c r="I377">
        <v>61.14</v>
      </c>
      <c r="J377">
        <v>62.79</v>
      </c>
      <c r="K377">
        <v>64.489999999999995</v>
      </c>
      <c r="L377">
        <v>66.23</v>
      </c>
      <c r="M377">
        <v>68.02</v>
      </c>
      <c r="N377">
        <v>69.86</v>
      </c>
      <c r="O377">
        <v>71.75</v>
      </c>
      <c r="P377">
        <v>0</v>
      </c>
      <c r="Q377">
        <v>747</v>
      </c>
    </row>
    <row r="378" spans="1:17" hidden="1" outlineLevel="1">
      <c r="B378" t="s">
        <v>1050</v>
      </c>
      <c r="C378" t="s">
        <v>676</v>
      </c>
      <c r="D378">
        <v>309.93</v>
      </c>
      <c r="E378">
        <v>318.31</v>
      </c>
      <c r="F378">
        <v>326.89999999999998</v>
      </c>
      <c r="G378">
        <v>335.74</v>
      </c>
      <c r="H378">
        <v>344.79</v>
      </c>
      <c r="I378">
        <v>354.09</v>
      </c>
      <c r="J378">
        <v>363.66</v>
      </c>
      <c r="K378">
        <v>373.48</v>
      </c>
      <c r="L378">
        <v>383.58</v>
      </c>
      <c r="M378">
        <v>393.95</v>
      </c>
      <c r="N378">
        <v>404.6</v>
      </c>
      <c r="O378">
        <v>415.52</v>
      </c>
      <c r="P378">
        <v>0</v>
      </c>
      <c r="Q378" s="304">
        <v>4325</v>
      </c>
    </row>
    <row r="379" spans="1:17" hidden="1" outlineLevel="1">
      <c r="B379" t="s">
        <v>1051</v>
      </c>
      <c r="C379" t="s">
        <v>676</v>
      </c>
      <c r="D379">
        <v>102.27</v>
      </c>
      <c r="E379">
        <v>105.04</v>
      </c>
      <c r="F379">
        <v>107.87</v>
      </c>
      <c r="G379">
        <v>110.79</v>
      </c>
      <c r="H379">
        <v>113.78</v>
      </c>
      <c r="I379">
        <v>116.85</v>
      </c>
      <c r="J379">
        <v>120.01</v>
      </c>
      <c r="K379">
        <v>123.25</v>
      </c>
      <c r="L379">
        <v>126.58</v>
      </c>
      <c r="M379">
        <v>130</v>
      </c>
      <c r="N379">
        <v>133.51</v>
      </c>
      <c r="O379">
        <v>137.12</v>
      </c>
      <c r="P379">
        <v>0</v>
      </c>
      <c r="Q379" s="304">
        <v>1427</v>
      </c>
    </row>
    <row r="380" spans="1:17" hidden="1" outlineLevel="1">
      <c r="B380" t="s">
        <v>1052</v>
      </c>
      <c r="C380" t="s">
        <v>676</v>
      </c>
      <c r="D380">
        <v>100.87</v>
      </c>
      <c r="E380">
        <v>103.6</v>
      </c>
      <c r="F380">
        <v>106.4</v>
      </c>
      <c r="G380">
        <v>109.27</v>
      </c>
      <c r="H380">
        <v>112.22</v>
      </c>
      <c r="I380">
        <v>115.25</v>
      </c>
      <c r="J380">
        <v>118.36</v>
      </c>
      <c r="K380">
        <v>121.56</v>
      </c>
      <c r="L380">
        <v>124.84</v>
      </c>
      <c r="M380">
        <v>128.22</v>
      </c>
      <c r="N380">
        <v>131.68</v>
      </c>
      <c r="O380">
        <v>135.24</v>
      </c>
      <c r="P380">
        <v>0</v>
      </c>
      <c r="Q380" s="304">
        <v>1408</v>
      </c>
    </row>
    <row r="381" spans="1:17" hidden="1" outlineLevel="1">
      <c r="B381" t="s">
        <v>1053</v>
      </c>
      <c r="C381" t="s">
        <v>676</v>
      </c>
      <c r="D381">
        <v>74.349999999999994</v>
      </c>
      <c r="E381">
        <v>76.36</v>
      </c>
      <c r="F381">
        <v>78.42</v>
      </c>
      <c r="G381">
        <v>80.540000000000006</v>
      </c>
      <c r="H381">
        <v>82.71</v>
      </c>
      <c r="I381">
        <v>84.94</v>
      </c>
      <c r="J381">
        <v>87.24</v>
      </c>
      <c r="K381">
        <v>89.6</v>
      </c>
      <c r="L381">
        <v>92.02</v>
      </c>
      <c r="M381">
        <v>94.51</v>
      </c>
      <c r="N381">
        <v>97.06</v>
      </c>
      <c r="O381">
        <v>99.68</v>
      </c>
      <c r="P381">
        <v>0</v>
      </c>
      <c r="Q381" s="304">
        <v>1037</v>
      </c>
    </row>
    <row r="382" spans="1:17" hidden="1" outlineLevel="1">
      <c r="B382" t="s">
        <v>1054</v>
      </c>
      <c r="C382" t="s">
        <v>676</v>
      </c>
      <c r="D382">
        <v>106.83</v>
      </c>
      <c r="E382">
        <v>109.71</v>
      </c>
      <c r="F382">
        <v>112.67</v>
      </c>
      <c r="G382">
        <v>115.72</v>
      </c>
      <c r="H382">
        <v>118.84</v>
      </c>
      <c r="I382">
        <v>122.05</v>
      </c>
      <c r="J382">
        <v>125.35</v>
      </c>
      <c r="K382">
        <v>128.72999999999999</v>
      </c>
      <c r="L382">
        <v>132.21</v>
      </c>
      <c r="M382">
        <v>135.78</v>
      </c>
      <c r="N382">
        <v>139.44999999999999</v>
      </c>
      <c r="O382">
        <v>143.22</v>
      </c>
      <c r="P382">
        <v>0</v>
      </c>
      <c r="Q382" s="304">
        <v>1491</v>
      </c>
    </row>
    <row r="383" spans="1:17" collapsed="1">
      <c r="A383" t="s">
        <v>1055</v>
      </c>
    </row>
    <row r="384" spans="1:17" hidden="1" outlineLevel="1">
      <c r="B384" t="s">
        <v>1056</v>
      </c>
      <c r="C384" t="s">
        <v>676</v>
      </c>
      <c r="D384">
        <v>107.29</v>
      </c>
      <c r="E384">
        <v>110.19</v>
      </c>
      <c r="F384">
        <v>113.17</v>
      </c>
      <c r="G384">
        <v>116.22</v>
      </c>
      <c r="H384">
        <v>119.36</v>
      </c>
      <c r="I384">
        <v>122.58</v>
      </c>
      <c r="J384">
        <v>125.89</v>
      </c>
      <c r="K384">
        <v>129.29</v>
      </c>
      <c r="L384">
        <v>132.79</v>
      </c>
      <c r="M384">
        <v>136.38</v>
      </c>
      <c r="N384">
        <v>140.06</v>
      </c>
      <c r="O384">
        <v>143.84</v>
      </c>
      <c r="P384">
        <v>0</v>
      </c>
      <c r="Q384" s="304">
        <v>1497</v>
      </c>
    </row>
    <row r="385" spans="1:17" hidden="1" outlineLevel="1">
      <c r="B385" t="s">
        <v>1057</v>
      </c>
      <c r="C385" t="s">
        <v>676</v>
      </c>
      <c r="D385">
        <v>137.09</v>
      </c>
      <c r="E385">
        <v>140.80000000000001</v>
      </c>
      <c r="F385">
        <v>144.6</v>
      </c>
      <c r="G385">
        <v>148.51</v>
      </c>
      <c r="H385">
        <v>152.51</v>
      </c>
      <c r="I385">
        <v>156.63</v>
      </c>
      <c r="J385">
        <v>160.86000000000001</v>
      </c>
      <c r="K385">
        <v>165.2</v>
      </c>
      <c r="L385">
        <v>169.67</v>
      </c>
      <c r="M385">
        <v>174.26</v>
      </c>
      <c r="N385">
        <v>178.97</v>
      </c>
      <c r="O385">
        <v>183.8</v>
      </c>
      <c r="P385">
        <v>0</v>
      </c>
      <c r="Q385" s="304">
        <v>1913</v>
      </c>
    </row>
    <row r="386" spans="1:17" hidden="1" outlineLevel="1">
      <c r="B386" t="s">
        <v>1058</v>
      </c>
      <c r="C386" t="s">
        <v>676</v>
      </c>
      <c r="D386">
        <v>166.9</v>
      </c>
      <c r="E386">
        <v>171.41</v>
      </c>
      <c r="F386">
        <v>176.03</v>
      </c>
      <c r="G386">
        <v>180.79</v>
      </c>
      <c r="H386">
        <v>185.67</v>
      </c>
      <c r="I386">
        <v>190.68</v>
      </c>
      <c r="J386">
        <v>195.83</v>
      </c>
      <c r="K386">
        <v>201.12</v>
      </c>
      <c r="L386">
        <v>206.56</v>
      </c>
      <c r="M386">
        <v>212.14</v>
      </c>
      <c r="N386">
        <v>217.87</v>
      </c>
      <c r="O386">
        <v>223.76</v>
      </c>
      <c r="P386">
        <v>0</v>
      </c>
      <c r="Q386" s="304">
        <v>2329</v>
      </c>
    </row>
    <row r="387" spans="1:17" collapsed="1">
      <c r="A387" t="s">
        <v>1059</v>
      </c>
    </row>
    <row r="388" spans="1:17" hidden="1" outlineLevel="1">
      <c r="B388" t="s">
        <v>1060</v>
      </c>
      <c r="C388" t="s">
        <v>676</v>
      </c>
      <c r="D388">
        <v>169.9</v>
      </c>
      <c r="E388">
        <v>174.49</v>
      </c>
      <c r="F388">
        <v>179.2</v>
      </c>
      <c r="G388">
        <v>184.05</v>
      </c>
      <c r="H388">
        <v>189.01</v>
      </c>
      <c r="I388">
        <v>194.11</v>
      </c>
      <c r="J388">
        <v>199.35</v>
      </c>
      <c r="K388">
        <v>204.74</v>
      </c>
      <c r="L388">
        <v>210.27</v>
      </c>
      <c r="M388">
        <v>215.96</v>
      </c>
      <c r="N388">
        <v>221.79</v>
      </c>
      <c r="O388">
        <v>227.78</v>
      </c>
      <c r="P388">
        <v>0</v>
      </c>
      <c r="Q388" s="304">
        <v>2371</v>
      </c>
    </row>
    <row r="389" spans="1:17" hidden="1" outlineLevel="1">
      <c r="B389" t="s">
        <v>1061</v>
      </c>
      <c r="C389" t="s">
        <v>676</v>
      </c>
      <c r="D389">
        <v>110.75</v>
      </c>
      <c r="E389">
        <v>113.75</v>
      </c>
      <c r="F389">
        <v>116.82</v>
      </c>
      <c r="G389">
        <v>119.97</v>
      </c>
      <c r="H389">
        <v>123.21</v>
      </c>
      <c r="I389">
        <v>126.53</v>
      </c>
      <c r="J389">
        <v>129.94999999999999</v>
      </c>
      <c r="K389">
        <v>133.46</v>
      </c>
      <c r="L389">
        <v>137.07</v>
      </c>
      <c r="M389">
        <v>140.78</v>
      </c>
      <c r="N389">
        <v>144.58000000000001</v>
      </c>
      <c r="O389">
        <v>148.47999999999999</v>
      </c>
      <c r="P389">
        <v>0</v>
      </c>
      <c r="Q389" s="304">
        <v>1545</v>
      </c>
    </row>
    <row r="390" spans="1:17" hidden="1" outlineLevel="1">
      <c r="B390" t="s">
        <v>1062</v>
      </c>
      <c r="C390" t="s">
        <v>676</v>
      </c>
      <c r="D390">
        <v>138.71</v>
      </c>
      <c r="E390">
        <v>142.46</v>
      </c>
      <c r="F390">
        <v>146.31</v>
      </c>
      <c r="G390">
        <v>150.26</v>
      </c>
      <c r="H390">
        <v>154.31</v>
      </c>
      <c r="I390">
        <v>158.47999999999999</v>
      </c>
      <c r="J390">
        <v>162.76</v>
      </c>
      <c r="K390">
        <v>167.16</v>
      </c>
      <c r="L390">
        <v>171.67</v>
      </c>
      <c r="M390">
        <v>176.32</v>
      </c>
      <c r="N390">
        <v>181.08</v>
      </c>
      <c r="O390">
        <v>185.97</v>
      </c>
      <c r="P390">
        <v>0</v>
      </c>
      <c r="Q390" s="304">
        <v>1935</v>
      </c>
    </row>
    <row r="391" spans="1:17" hidden="1" outlineLevel="1">
      <c r="B391" t="s">
        <v>1063</v>
      </c>
      <c r="C391" t="s">
        <v>676</v>
      </c>
      <c r="D391">
        <v>109.27</v>
      </c>
      <c r="E391">
        <v>112.22</v>
      </c>
      <c r="F391">
        <v>115.25</v>
      </c>
      <c r="G391">
        <v>118.37</v>
      </c>
      <c r="H391">
        <v>121.56</v>
      </c>
      <c r="I391">
        <v>124.84</v>
      </c>
      <c r="J391">
        <v>128.21</v>
      </c>
      <c r="K391">
        <v>131.66999999999999</v>
      </c>
      <c r="L391">
        <v>135.22999999999999</v>
      </c>
      <c r="M391">
        <v>138.88999999999999</v>
      </c>
      <c r="N391">
        <v>142.63999999999999</v>
      </c>
      <c r="O391">
        <v>146.5</v>
      </c>
      <c r="P391">
        <v>0</v>
      </c>
      <c r="Q391" s="304">
        <v>1525</v>
      </c>
    </row>
    <row r="392" spans="1:17" hidden="1" outlineLevel="1">
      <c r="B392" t="s">
        <v>1064</v>
      </c>
      <c r="C392" t="s">
        <v>676</v>
      </c>
      <c r="D392">
        <v>148.74</v>
      </c>
      <c r="E392">
        <v>152.76</v>
      </c>
      <c r="F392">
        <v>156.88999999999999</v>
      </c>
      <c r="G392">
        <v>161.13</v>
      </c>
      <c r="H392">
        <v>165.47</v>
      </c>
      <c r="I392">
        <v>169.94</v>
      </c>
      <c r="J392">
        <v>174.53</v>
      </c>
      <c r="K392">
        <v>179.24</v>
      </c>
      <c r="L392">
        <v>184.09</v>
      </c>
      <c r="M392">
        <v>189.07</v>
      </c>
      <c r="N392">
        <v>194.18</v>
      </c>
      <c r="O392">
        <v>199.42</v>
      </c>
      <c r="P392">
        <v>0</v>
      </c>
      <c r="Q392" s="304">
        <v>2075</v>
      </c>
    </row>
    <row r="393" spans="1:17" hidden="1" outlineLevel="1">
      <c r="B393" t="s">
        <v>1065</v>
      </c>
      <c r="C393" t="s">
        <v>676</v>
      </c>
      <c r="D393">
        <v>92.08</v>
      </c>
      <c r="E393">
        <v>94.57</v>
      </c>
      <c r="F393">
        <v>97.12</v>
      </c>
      <c r="G393">
        <v>99.75</v>
      </c>
      <c r="H393">
        <v>102.44</v>
      </c>
      <c r="I393">
        <v>105.2</v>
      </c>
      <c r="J393">
        <v>108.04</v>
      </c>
      <c r="K393">
        <v>110.96</v>
      </c>
      <c r="L393">
        <v>113.96</v>
      </c>
      <c r="M393">
        <v>117.04</v>
      </c>
      <c r="N393">
        <v>120.21</v>
      </c>
      <c r="O393">
        <v>123.45</v>
      </c>
      <c r="P393">
        <v>0</v>
      </c>
      <c r="Q393" s="304">
        <v>1285</v>
      </c>
    </row>
    <row r="394" spans="1:17" hidden="1" outlineLevel="1">
      <c r="B394" t="s">
        <v>1066</v>
      </c>
      <c r="C394" t="s">
        <v>676</v>
      </c>
      <c r="D394">
        <v>105.84</v>
      </c>
      <c r="E394">
        <v>108.71</v>
      </c>
      <c r="F394">
        <v>111.64</v>
      </c>
      <c r="G394">
        <v>114.66</v>
      </c>
      <c r="H394">
        <v>117.75</v>
      </c>
      <c r="I394">
        <v>120.92</v>
      </c>
      <c r="J394">
        <v>124.19</v>
      </c>
      <c r="K394">
        <v>127.55</v>
      </c>
      <c r="L394">
        <v>131</v>
      </c>
      <c r="M394">
        <v>134.54</v>
      </c>
      <c r="N394">
        <v>138.16999999999999</v>
      </c>
      <c r="O394">
        <v>141.91</v>
      </c>
      <c r="P394">
        <v>0</v>
      </c>
      <c r="Q394" s="304">
        <v>1477</v>
      </c>
    </row>
    <row r="395" spans="1:17" hidden="1" outlineLevel="1">
      <c r="B395" t="s">
        <v>1067</v>
      </c>
      <c r="C395" t="s">
        <v>676</v>
      </c>
      <c r="D395">
        <v>125.21</v>
      </c>
      <c r="E395">
        <v>128.59</v>
      </c>
      <c r="F395">
        <v>132.06</v>
      </c>
      <c r="G395">
        <v>135.63</v>
      </c>
      <c r="H395">
        <v>139.29</v>
      </c>
      <c r="I395">
        <v>143.04</v>
      </c>
      <c r="J395">
        <v>146.91</v>
      </c>
      <c r="K395">
        <v>150.88</v>
      </c>
      <c r="L395">
        <v>154.96</v>
      </c>
      <c r="M395">
        <v>159.15</v>
      </c>
      <c r="N395">
        <v>163.44999999999999</v>
      </c>
      <c r="O395">
        <v>167.86</v>
      </c>
      <c r="P395">
        <v>0</v>
      </c>
      <c r="Q395" s="304">
        <v>1747</v>
      </c>
    </row>
    <row r="396" spans="1:17" hidden="1" outlineLevel="1">
      <c r="B396" t="s">
        <v>1068</v>
      </c>
      <c r="C396" t="s">
        <v>676</v>
      </c>
      <c r="D396">
        <v>236.1</v>
      </c>
      <c r="E396">
        <v>242.48</v>
      </c>
      <c r="F396">
        <v>249.03</v>
      </c>
      <c r="G396">
        <v>255.76</v>
      </c>
      <c r="H396">
        <v>262.66000000000003</v>
      </c>
      <c r="I396">
        <v>269.74</v>
      </c>
      <c r="J396">
        <v>277.02999999999997</v>
      </c>
      <c r="K396">
        <v>284.51</v>
      </c>
      <c r="L396">
        <v>292.20999999999998</v>
      </c>
      <c r="M396">
        <v>300.11</v>
      </c>
      <c r="N396">
        <v>308.22000000000003</v>
      </c>
      <c r="O396">
        <v>316.54000000000002</v>
      </c>
      <c r="P396">
        <v>0</v>
      </c>
      <c r="Q396" s="304">
        <v>3294</v>
      </c>
    </row>
    <row r="397" spans="1:17" hidden="1" outlineLevel="1">
      <c r="B397" t="s">
        <v>1069</v>
      </c>
      <c r="C397" t="s">
        <v>676</v>
      </c>
      <c r="D397">
        <v>188.88</v>
      </c>
      <c r="E397">
        <v>193.99</v>
      </c>
      <c r="F397">
        <v>199.22</v>
      </c>
      <c r="G397">
        <v>204.61</v>
      </c>
      <c r="H397">
        <v>210.13</v>
      </c>
      <c r="I397">
        <v>215.79</v>
      </c>
      <c r="J397">
        <v>221.63</v>
      </c>
      <c r="K397">
        <v>227.61</v>
      </c>
      <c r="L397">
        <v>233.76</v>
      </c>
      <c r="M397">
        <v>240.09</v>
      </c>
      <c r="N397">
        <v>246.57</v>
      </c>
      <c r="O397">
        <v>253.23</v>
      </c>
      <c r="P397">
        <v>0</v>
      </c>
      <c r="Q397" s="304">
        <v>2636</v>
      </c>
    </row>
    <row r="398" spans="1:17" hidden="1" outlineLevel="1">
      <c r="B398" t="s">
        <v>1070</v>
      </c>
      <c r="C398" t="s">
        <v>676</v>
      </c>
      <c r="D398">
        <v>109.32</v>
      </c>
      <c r="E398">
        <v>112.27</v>
      </c>
      <c r="F398">
        <v>115.3</v>
      </c>
      <c r="G398">
        <v>118.42</v>
      </c>
      <c r="H398">
        <v>121.61</v>
      </c>
      <c r="I398">
        <v>124.89</v>
      </c>
      <c r="J398">
        <v>128.27000000000001</v>
      </c>
      <c r="K398">
        <v>131.72999999999999</v>
      </c>
      <c r="L398">
        <v>135.29</v>
      </c>
      <c r="M398">
        <v>138.94999999999999</v>
      </c>
      <c r="N398">
        <v>142.71</v>
      </c>
      <c r="O398">
        <v>146.56</v>
      </c>
      <c r="P398">
        <v>0</v>
      </c>
      <c r="Q398" s="304">
        <v>1525</v>
      </c>
    </row>
    <row r="399" spans="1:17" collapsed="1">
      <c r="A399" t="s">
        <v>1071</v>
      </c>
    </row>
    <row r="400" spans="1:17" hidden="1" outlineLevel="1">
      <c r="B400" t="s">
        <v>1072</v>
      </c>
      <c r="C400" t="s">
        <v>676</v>
      </c>
      <c r="D400">
        <v>59.73</v>
      </c>
      <c r="E400">
        <v>61.35</v>
      </c>
      <c r="F400">
        <v>63</v>
      </c>
      <c r="G400">
        <v>64.7</v>
      </c>
      <c r="H400">
        <v>66.45</v>
      </c>
      <c r="I400">
        <v>68.239999999999995</v>
      </c>
      <c r="J400">
        <v>70.09</v>
      </c>
      <c r="K400">
        <v>71.98</v>
      </c>
      <c r="L400">
        <v>73.92</v>
      </c>
      <c r="M400">
        <v>75.92</v>
      </c>
      <c r="N400">
        <v>77.98</v>
      </c>
      <c r="O400">
        <v>80.08</v>
      </c>
      <c r="P400">
        <v>0</v>
      </c>
      <c r="Q400">
        <v>833</v>
      </c>
    </row>
    <row r="401" spans="1:17" hidden="1" outlineLevel="1">
      <c r="B401" t="s">
        <v>1073</v>
      </c>
      <c r="C401" t="s">
        <v>676</v>
      </c>
      <c r="D401">
        <v>110.61</v>
      </c>
      <c r="E401">
        <v>113.6</v>
      </c>
      <c r="F401">
        <v>116.67</v>
      </c>
      <c r="G401">
        <v>119.82</v>
      </c>
      <c r="H401">
        <v>123.05</v>
      </c>
      <c r="I401">
        <v>126.37</v>
      </c>
      <c r="J401">
        <v>129.79</v>
      </c>
      <c r="K401">
        <v>133.29</v>
      </c>
      <c r="L401">
        <v>136.9</v>
      </c>
      <c r="M401">
        <v>140.6</v>
      </c>
      <c r="N401">
        <v>144.4</v>
      </c>
      <c r="O401">
        <v>148.30000000000001</v>
      </c>
      <c r="P401">
        <v>0</v>
      </c>
      <c r="Q401" s="304">
        <v>1543</v>
      </c>
    </row>
    <row r="402" spans="1:17" hidden="1" outlineLevel="1">
      <c r="B402" t="s">
        <v>1074</v>
      </c>
      <c r="C402" t="s">
        <v>676</v>
      </c>
      <c r="D402">
        <v>120.1</v>
      </c>
      <c r="E402">
        <v>123.34</v>
      </c>
      <c r="F402">
        <v>126.67</v>
      </c>
      <c r="G402">
        <v>130.1</v>
      </c>
      <c r="H402">
        <v>133.61000000000001</v>
      </c>
      <c r="I402">
        <v>137.21</v>
      </c>
      <c r="J402">
        <v>140.91999999999999</v>
      </c>
      <c r="K402">
        <v>144.72</v>
      </c>
      <c r="L402">
        <v>148.63999999999999</v>
      </c>
      <c r="M402">
        <v>152.66</v>
      </c>
      <c r="N402">
        <v>156.78</v>
      </c>
      <c r="O402">
        <v>161.01</v>
      </c>
      <c r="P402">
        <v>0</v>
      </c>
      <c r="Q402" s="304">
        <v>1676</v>
      </c>
    </row>
    <row r="403" spans="1:17" hidden="1" outlineLevel="1">
      <c r="B403" t="s">
        <v>1075</v>
      </c>
      <c r="C403" t="s">
        <v>676</v>
      </c>
      <c r="D403">
        <v>100.87</v>
      </c>
      <c r="E403">
        <v>103.6</v>
      </c>
      <c r="F403">
        <v>106.4</v>
      </c>
      <c r="G403">
        <v>109.27</v>
      </c>
      <c r="H403">
        <v>112.22</v>
      </c>
      <c r="I403">
        <v>115.25</v>
      </c>
      <c r="J403">
        <v>118.36</v>
      </c>
      <c r="K403">
        <v>121.56</v>
      </c>
      <c r="L403">
        <v>124.84</v>
      </c>
      <c r="M403">
        <v>128.22</v>
      </c>
      <c r="N403">
        <v>131.68</v>
      </c>
      <c r="O403">
        <v>135.24</v>
      </c>
      <c r="P403">
        <v>0</v>
      </c>
      <c r="Q403" s="304">
        <v>1408</v>
      </c>
    </row>
    <row r="404" spans="1:17" hidden="1" outlineLevel="1">
      <c r="B404" t="s">
        <v>1076</v>
      </c>
      <c r="C404" t="s">
        <v>676</v>
      </c>
      <c r="D404">
        <v>106.83</v>
      </c>
      <c r="E404">
        <v>109.71</v>
      </c>
      <c r="F404">
        <v>112.67</v>
      </c>
      <c r="G404">
        <v>115.72</v>
      </c>
      <c r="H404">
        <v>118.84</v>
      </c>
      <c r="I404">
        <v>122.05</v>
      </c>
      <c r="J404">
        <v>125.35</v>
      </c>
      <c r="K404">
        <v>128.72999999999999</v>
      </c>
      <c r="L404">
        <v>132.21</v>
      </c>
      <c r="M404">
        <v>135.78</v>
      </c>
      <c r="N404">
        <v>139.44999999999999</v>
      </c>
      <c r="O404">
        <v>143.22</v>
      </c>
      <c r="P404">
        <v>0</v>
      </c>
      <c r="Q404" s="304">
        <v>1491</v>
      </c>
    </row>
    <row r="405" spans="1:17" hidden="1" outlineLevel="1">
      <c r="B405" t="s">
        <v>1077</v>
      </c>
      <c r="C405" t="s">
        <v>676</v>
      </c>
      <c r="D405">
        <v>135.59</v>
      </c>
      <c r="E405">
        <v>139.25</v>
      </c>
      <c r="F405">
        <v>143.01</v>
      </c>
      <c r="G405">
        <v>146.88</v>
      </c>
      <c r="H405">
        <v>150.84</v>
      </c>
      <c r="I405">
        <v>154.91</v>
      </c>
      <c r="J405">
        <v>159.1</v>
      </c>
      <c r="K405">
        <v>163.38999999999999</v>
      </c>
      <c r="L405">
        <v>167.81</v>
      </c>
      <c r="M405">
        <v>172.35</v>
      </c>
      <c r="N405">
        <v>177</v>
      </c>
      <c r="O405">
        <v>181.78</v>
      </c>
      <c r="P405">
        <v>0</v>
      </c>
      <c r="Q405" s="304">
        <v>1892</v>
      </c>
    </row>
    <row r="406" spans="1:17" hidden="1" outlineLevel="1">
      <c r="B406" t="s">
        <v>1078</v>
      </c>
      <c r="C406" t="s">
        <v>676</v>
      </c>
      <c r="D406">
        <v>127.43</v>
      </c>
      <c r="E406">
        <v>130.88</v>
      </c>
      <c r="F406">
        <v>134.41</v>
      </c>
      <c r="G406">
        <v>138.04</v>
      </c>
      <c r="H406">
        <v>141.76</v>
      </c>
      <c r="I406">
        <v>145.59</v>
      </c>
      <c r="J406">
        <v>149.52000000000001</v>
      </c>
      <c r="K406">
        <v>153.56</v>
      </c>
      <c r="L406">
        <v>157.71</v>
      </c>
      <c r="M406">
        <v>161.97999999999999</v>
      </c>
      <c r="N406">
        <v>166.35</v>
      </c>
      <c r="O406">
        <v>170.85</v>
      </c>
      <c r="P406">
        <v>0</v>
      </c>
      <c r="Q406" s="304">
        <v>1778</v>
      </c>
    </row>
    <row r="407" spans="1:17" hidden="1" outlineLevel="1">
      <c r="B407" t="s">
        <v>1079</v>
      </c>
      <c r="C407" t="s">
        <v>676</v>
      </c>
      <c r="D407">
        <v>125.21</v>
      </c>
      <c r="E407">
        <v>128.59</v>
      </c>
      <c r="F407">
        <v>132.06</v>
      </c>
      <c r="G407">
        <v>135.63</v>
      </c>
      <c r="H407">
        <v>139.29</v>
      </c>
      <c r="I407">
        <v>143.04</v>
      </c>
      <c r="J407">
        <v>146.91</v>
      </c>
      <c r="K407">
        <v>150.88</v>
      </c>
      <c r="L407">
        <v>154.96</v>
      </c>
      <c r="M407">
        <v>159.15</v>
      </c>
      <c r="N407">
        <v>163.44999999999999</v>
      </c>
      <c r="O407">
        <v>167.86</v>
      </c>
      <c r="P407">
        <v>0</v>
      </c>
      <c r="Q407" s="304">
        <v>1747</v>
      </c>
    </row>
    <row r="408" spans="1:17" hidden="1" outlineLevel="1">
      <c r="B408" t="s">
        <v>1080</v>
      </c>
      <c r="C408" t="s">
        <v>676</v>
      </c>
      <c r="D408">
        <v>236.1</v>
      </c>
      <c r="E408">
        <v>242.48</v>
      </c>
      <c r="F408">
        <v>249.03</v>
      </c>
      <c r="G408">
        <v>255.76</v>
      </c>
      <c r="H408">
        <v>262.66000000000003</v>
      </c>
      <c r="I408">
        <v>269.74</v>
      </c>
      <c r="J408">
        <v>277.02999999999997</v>
      </c>
      <c r="K408">
        <v>284.51</v>
      </c>
      <c r="L408">
        <v>292.20999999999998</v>
      </c>
      <c r="M408">
        <v>300.11</v>
      </c>
      <c r="N408">
        <v>308.22000000000003</v>
      </c>
      <c r="O408">
        <v>316.54000000000002</v>
      </c>
      <c r="P408">
        <v>0</v>
      </c>
      <c r="Q408" s="304">
        <v>3294</v>
      </c>
    </row>
    <row r="409" spans="1:17" hidden="1" outlineLevel="1">
      <c r="B409" t="s">
        <v>1081</v>
      </c>
      <c r="C409" t="s">
        <v>676</v>
      </c>
      <c r="D409">
        <v>188.88</v>
      </c>
      <c r="E409">
        <v>193.99</v>
      </c>
      <c r="F409">
        <v>199.22</v>
      </c>
      <c r="G409">
        <v>204.61</v>
      </c>
      <c r="H409">
        <v>210.13</v>
      </c>
      <c r="I409">
        <v>215.79</v>
      </c>
      <c r="J409">
        <v>221.63</v>
      </c>
      <c r="K409">
        <v>227.61</v>
      </c>
      <c r="L409">
        <v>233.76</v>
      </c>
      <c r="M409">
        <v>240.09</v>
      </c>
      <c r="N409">
        <v>246.57</v>
      </c>
      <c r="O409">
        <v>253.23</v>
      </c>
      <c r="P409">
        <v>0</v>
      </c>
      <c r="Q409" s="304">
        <v>2636</v>
      </c>
    </row>
    <row r="410" spans="1:17" hidden="1" outlineLevel="1">
      <c r="B410" t="s">
        <v>1082</v>
      </c>
      <c r="C410" t="s">
        <v>676</v>
      </c>
      <c r="D410">
        <v>110.43</v>
      </c>
      <c r="E410">
        <v>113.41</v>
      </c>
      <c r="F410">
        <v>116.47</v>
      </c>
      <c r="G410">
        <v>119.62</v>
      </c>
      <c r="H410">
        <v>122.85</v>
      </c>
      <c r="I410">
        <v>126.16</v>
      </c>
      <c r="J410">
        <v>129.57</v>
      </c>
      <c r="K410">
        <v>133.07</v>
      </c>
      <c r="L410">
        <v>136.66999999999999</v>
      </c>
      <c r="M410">
        <v>140.36000000000001</v>
      </c>
      <c r="N410">
        <v>144.16</v>
      </c>
      <c r="O410">
        <v>148.05000000000001</v>
      </c>
      <c r="P410">
        <v>0</v>
      </c>
      <c r="Q410" s="304">
        <v>1541</v>
      </c>
    </row>
    <row r="411" spans="1:17" hidden="1" outlineLevel="1">
      <c r="B411" t="s">
        <v>1083</v>
      </c>
      <c r="C411" t="s">
        <v>676</v>
      </c>
      <c r="D411">
        <v>82.32</v>
      </c>
      <c r="E411">
        <v>84.54</v>
      </c>
      <c r="F411">
        <v>86.83</v>
      </c>
      <c r="G411">
        <v>89.17</v>
      </c>
      <c r="H411">
        <v>91.58</v>
      </c>
      <c r="I411">
        <v>94.05</v>
      </c>
      <c r="J411">
        <v>96.59</v>
      </c>
      <c r="K411">
        <v>99.2</v>
      </c>
      <c r="L411">
        <v>101.88</v>
      </c>
      <c r="M411">
        <v>104.63</v>
      </c>
      <c r="N411">
        <v>107.46</v>
      </c>
      <c r="O411">
        <v>110.36</v>
      </c>
      <c r="P411">
        <v>0</v>
      </c>
      <c r="Q411" s="304">
        <v>1149</v>
      </c>
    </row>
    <row r="412" spans="1:17" hidden="1" outlineLevel="1">
      <c r="B412" t="s">
        <v>1084</v>
      </c>
      <c r="C412" t="s">
        <v>676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hidden="1" outlineLevel="1">
      <c r="B413" t="s">
        <v>1085</v>
      </c>
      <c r="C413" t="s">
        <v>676</v>
      </c>
      <c r="D413">
        <v>75.900000000000006</v>
      </c>
      <c r="E413">
        <v>77.95</v>
      </c>
      <c r="F413">
        <v>80.05</v>
      </c>
      <c r="G413">
        <v>82.22</v>
      </c>
      <c r="H413">
        <v>84.44</v>
      </c>
      <c r="I413">
        <v>86.71</v>
      </c>
      <c r="J413">
        <v>89.06</v>
      </c>
      <c r="K413">
        <v>91.46</v>
      </c>
      <c r="L413">
        <v>93.93</v>
      </c>
      <c r="M413">
        <v>96.47</v>
      </c>
      <c r="N413">
        <v>99.08</v>
      </c>
      <c r="O413">
        <v>101.76</v>
      </c>
      <c r="P413">
        <v>0</v>
      </c>
      <c r="Q413" s="304">
        <v>1059</v>
      </c>
    </row>
    <row r="414" spans="1:17" collapsed="1">
      <c r="A414" t="s">
        <v>1086</v>
      </c>
    </row>
    <row r="415" spans="1:17" hidden="1" outlineLevel="1">
      <c r="B415" t="s">
        <v>1087</v>
      </c>
      <c r="C415" t="s">
        <v>676</v>
      </c>
      <c r="D415">
        <v>85.49</v>
      </c>
      <c r="E415">
        <v>87.8</v>
      </c>
      <c r="F415">
        <v>90.17</v>
      </c>
      <c r="G415">
        <v>92.61</v>
      </c>
      <c r="H415">
        <v>95.1</v>
      </c>
      <c r="I415">
        <v>97.67</v>
      </c>
      <c r="J415">
        <v>100.31</v>
      </c>
      <c r="K415">
        <v>103.02</v>
      </c>
      <c r="L415">
        <v>105.8</v>
      </c>
      <c r="M415">
        <v>108.66</v>
      </c>
      <c r="N415">
        <v>111.6</v>
      </c>
      <c r="O415">
        <v>114.61</v>
      </c>
      <c r="P415">
        <v>0</v>
      </c>
      <c r="Q415" s="304">
        <v>1193</v>
      </c>
    </row>
    <row r="416" spans="1:17" hidden="1" outlineLevel="1">
      <c r="B416" t="s">
        <v>1088</v>
      </c>
      <c r="C416" t="s">
        <v>676</v>
      </c>
      <c r="D416">
        <v>85.49</v>
      </c>
      <c r="E416">
        <v>87.8</v>
      </c>
      <c r="F416">
        <v>90.17</v>
      </c>
      <c r="G416">
        <v>92.61</v>
      </c>
      <c r="H416">
        <v>95.1</v>
      </c>
      <c r="I416">
        <v>97.67</v>
      </c>
      <c r="J416">
        <v>100.31</v>
      </c>
      <c r="K416">
        <v>103.02</v>
      </c>
      <c r="L416">
        <v>105.8</v>
      </c>
      <c r="M416">
        <v>108.66</v>
      </c>
      <c r="N416">
        <v>111.6</v>
      </c>
      <c r="O416">
        <v>114.61</v>
      </c>
      <c r="P416">
        <v>0</v>
      </c>
      <c r="Q416" s="304">
        <v>1193</v>
      </c>
    </row>
    <row r="417" spans="1:17" hidden="1" outlineLevel="1">
      <c r="B417" t="s">
        <v>1089</v>
      </c>
      <c r="C417" t="s">
        <v>676</v>
      </c>
      <c r="D417">
        <v>69.77</v>
      </c>
      <c r="E417">
        <v>71.650000000000006</v>
      </c>
      <c r="F417">
        <v>73.59</v>
      </c>
      <c r="G417">
        <v>75.569999999999993</v>
      </c>
      <c r="H417">
        <v>77.61</v>
      </c>
      <c r="I417">
        <v>79.709999999999994</v>
      </c>
      <c r="J417">
        <v>81.86</v>
      </c>
      <c r="K417">
        <v>84.07</v>
      </c>
      <c r="L417">
        <v>86.34</v>
      </c>
      <c r="M417">
        <v>88.68</v>
      </c>
      <c r="N417">
        <v>91.08</v>
      </c>
      <c r="O417">
        <v>93.53</v>
      </c>
      <c r="P417">
        <v>0</v>
      </c>
      <c r="Q417">
        <v>973</v>
      </c>
    </row>
    <row r="418" spans="1:17" hidden="1" outlineLevel="1">
      <c r="B418" t="s">
        <v>1090</v>
      </c>
      <c r="C418" t="s">
        <v>676</v>
      </c>
      <c r="D418">
        <v>119.46</v>
      </c>
      <c r="E418">
        <v>122.69</v>
      </c>
      <c r="F418">
        <v>126</v>
      </c>
      <c r="G418">
        <v>129.4</v>
      </c>
      <c r="H418">
        <v>132.88999999999999</v>
      </c>
      <c r="I418">
        <v>136.47999999999999</v>
      </c>
      <c r="J418">
        <v>140.16999999999999</v>
      </c>
      <c r="K418">
        <v>143.94999999999999</v>
      </c>
      <c r="L418">
        <v>147.84</v>
      </c>
      <c r="M418">
        <v>151.84</v>
      </c>
      <c r="N418">
        <v>155.94</v>
      </c>
      <c r="O418">
        <v>160.15</v>
      </c>
      <c r="P418">
        <v>0</v>
      </c>
      <c r="Q418" s="304">
        <v>1667</v>
      </c>
    </row>
    <row r="419" spans="1:17" hidden="1" outlineLevel="1">
      <c r="B419" t="s">
        <v>1091</v>
      </c>
      <c r="C419" t="s">
        <v>676</v>
      </c>
      <c r="D419">
        <v>86.84</v>
      </c>
      <c r="E419">
        <v>89.19</v>
      </c>
      <c r="F419">
        <v>91.6</v>
      </c>
      <c r="G419">
        <v>94.07</v>
      </c>
      <c r="H419">
        <v>96.61</v>
      </c>
      <c r="I419">
        <v>99.21</v>
      </c>
      <c r="J419">
        <v>101.9</v>
      </c>
      <c r="K419">
        <v>104.65</v>
      </c>
      <c r="L419">
        <v>107.48</v>
      </c>
      <c r="M419">
        <v>110.38</v>
      </c>
      <c r="N419">
        <v>113.37</v>
      </c>
      <c r="O419">
        <v>116.43</v>
      </c>
      <c r="P419">
        <v>0</v>
      </c>
      <c r="Q419" s="304">
        <v>1212</v>
      </c>
    </row>
    <row r="420" spans="1:17" hidden="1" outlineLevel="1">
      <c r="B420" t="s">
        <v>1092</v>
      </c>
      <c r="C420" t="s">
        <v>676</v>
      </c>
      <c r="D420">
        <v>133.05000000000001</v>
      </c>
      <c r="E420">
        <v>136.65</v>
      </c>
      <c r="F420">
        <v>140.34</v>
      </c>
      <c r="G420">
        <v>144.13</v>
      </c>
      <c r="H420">
        <v>148.02000000000001</v>
      </c>
      <c r="I420">
        <v>152.01</v>
      </c>
      <c r="J420">
        <v>156.12</v>
      </c>
      <c r="K420">
        <v>160.33000000000001</v>
      </c>
      <c r="L420">
        <v>164.67</v>
      </c>
      <c r="M420">
        <v>169.12</v>
      </c>
      <c r="N420">
        <v>173.69</v>
      </c>
      <c r="O420">
        <v>178.38</v>
      </c>
      <c r="P420">
        <v>0</v>
      </c>
      <c r="Q420" s="304">
        <v>1857</v>
      </c>
    </row>
    <row r="421" spans="1:17" hidden="1" outlineLevel="1">
      <c r="B421" t="s">
        <v>1093</v>
      </c>
      <c r="C421" t="s">
        <v>676</v>
      </c>
      <c r="D421">
        <v>85.49</v>
      </c>
      <c r="E421">
        <v>87.8</v>
      </c>
      <c r="F421">
        <v>90.17</v>
      </c>
      <c r="G421">
        <v>92.61</v>
      </c>
      <c r="H421">
        <v>95.1</v>
      </c>
      <c r="I421">
        <v>97.67</v>
      </c>
      <c r="J421">
        <v>100.31</v>
      </c>
      <c r="K421">
        <v>103.02</v>
      </c>
      <c r="L421">
        <v>105.8</v>
      </c>
      <c r="M421">
        <v>108.66</v>
      </c>
      <c r="N421">
        <v>111.6</v>
      </c>
      <c r="O421">
        <v>114.61</v>
      </c>
      <c r="P421">
        <v>0</v>
      </c>
      <c r="Q421" s="304">
        <v>1193</v>
      </c>
    </row>
    <row r="422" spans="1:17" hidden="1" outlineLevel="1">
      <c r="B422" t="s">
        <v>1094</v>
      </c>
      <c r="C422" t="s">
        <v>676</v>
      </c>
      <c r="D422">
        <v>85.49</v>
      </c>
      <c r="E422">
        <v>87.8</v>
      </c>
      <c r="F422">
        <v>90.17</v>
      </c>
      <c r="G422">
        <v>92.61</v>
      </c>
      <c r="H422">
        <v>95.1</v>
      </c>
      <c r="I422">
        <v>97.67</v>
      </c>
      <c r="J422">
        <v>100.31</v>
      </c>
      <c r="K422">
        <v>103.02</v>
      </c>
      <c r="L422">
        <v>105.8</v>
      </c>
      <c r="M422">
        <v>108.66</v>
      </c>
      <c r="N422">
        <v>111.6</v>
      </c>
      <c r="O422">
        <v>114.61</v>
      </c>
      <c r="P422">
        <v>0</v>
      </c>
      <c r="Q422" s="304">
        <v>1193</v>
      </c>
    </row>
    <row r="423" spans="1:17" hidden="1" outlineLevel="1">
      <c r="B423" t="s">
        <v>1095</v>
      </c>
      <c r="C423" t="s">
        <v>676</v>
      </c>
      <c r="D423">
        <v>85.49</v>
      </c>
      <c r="E423">
        <v>87.8</v>
      </c>
      <c r="F423">
        <v>90.17</v>
      </c>
      <c r="G423">
        <v>92.61</v>
      </c>
      <c r="H423">
        <v>95.1</v>
      </c>
      <c r="I423">
        <v>97.67</v>
      </c>
      <c r="J423">
        <v>100.31</v>
      </c>
      <c r="K423">
        <v>103.02</v>
      </c>
      <c r="L423">
        <v>105.8</v>
      </c>
      <c r="M423">
        <v>108.66</v>
      </c>
      <c r="N423">
        <v>111.6</v>
      </c>
      <c r="O423">
        <v>114.61</v>
      </c>
      <c r="P423">
        <v>0</v>
      </c>
      <c r="Q423" s="304">
        <v>1193</v>
      </c>
    </row>
    <row r="424" spans="1:17" hidden="1" outlineLevel="1">
      <c r="B424" t="s">
        <v>1096</v>
      </c>
      <c r="C424" t="s">
        <v>676</v>
      </c>
      <c r="D424">
        <v>85.49</v>
      </c>
      <c r="E424">
        <v>87.8</v>
      </c>
      <c r="F424">
        <v>90.17</v>
      </c>
      <c r="G424">
        <v>92.61</v>
      </c>
      <c r="H424">
        <v>95.1</v>
      </c>
      <c r="I424">
        <v>97.67</v>
      </c>
      <c r="J424">
        <v>100.31</v>
      </c>
      <c r="K424">
        <v>103.02</v>
      </c>
      <c r="L424">
        <v>105.8</v>
      </c>
      <c r="M424">
        <v>108.66</v>
      </c>
      <c r="N424">
        <v>111.6</v>
      </c>
      <c r="O424">
        <v>114.61</v>
      </c>
      <c r="P424">
        <v>0</v>
      </c>
      <c r="Q424" s="304">
        <v>1193</v>
      </c>
    </row>
    <row r="425" spans="1:17" hidden="1" outlineLevel="1">
      <c r="B425" t="s">
        <v>1097</v>
      </c>
      <c r="C425" t="s">
        <v>676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hidden="1" outlineLevel="1">
      <c r="B426" t="s">
        <v>1098</v>
      </c>
      <c r="C426" t="s">
        <v>676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hidden="1" outlineLevel="1">
      <c r="B427" t="s">
        <v>1099</v>
      </c>
      <c r="C427" t="s">
        <v>676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hidden="1" outlineLevel="1">
      <c r="B428" t="s">
        <v>1100</v>
      </c>
      <c r="C428" t="s">
        <v>676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collapsed="1">
      <c r="A429" t="s">
        <v>1101</v>
      </c>
    </row>
    <row r="430" spans="1:17" hidden="1" outlineLevel="1">
      <c r="B430" t="s">
        <v>1102</v>
      </c>
      <c r="C430" t="s">
        <v>676</v>
      </c>
      <c r="D430">
        <v>85.49</v>
      </c>
      <c r="E430">
        <v>87.8</v>
      </c>
      <c r="F430">
        <v>90.17</v>
      </c>
      <c r="G430">
        <v>92.61</v>
      </c>
      <c r="H430">
        <v>95.1</v>
      </c>
      <c r="I430">
        <v>97.67</v>
      </c>
      <c r="J430">
        <v>100.31</v>
      </c>
      <c r="K430">
        <v>103.02</v>
      </c>
      <c r="L430">
        <v>105.8</v>
      </c>
      <c r="M430">
        <v>108.66</v>
      </c>
      <c r="N430">
        <v>111.6</v>
      </c>
      <c r="O430">
        <v>114.61</v>
      </c>
      <c r="P430">
        <v>0</v>
      </c>
      <c r="Q430" s="304">
        <v>1193</v>
      </c>
    </row>
    <row r="431" spans="1:17" hidden="1" outlineLevel="1">
      <c r="B431" t="s">
        <v>1103</v>
      </c>
      <c r="C431" t="s">
        <v>676</v>
      </c>
      <c r="D431">
        <v>119.83</v>
      </c>
      <c r="E431">
        <v>123.07</v>
      </c>
      <c r="F431">
        <v>126.39</v>
      </c>
      <c r="G431">
        <v>129.81</v>
      </c>
      <c r="H431">
        <v>133.31</v>
      </c>
      <c r="I431">
        <v>136.91</v>
      </c>
      <c r="J431">
        <v>140.61000000000001</v>
      </c>
      <c r="K431">
        <v>144.4</v>
      </c>
      <c r="L431">
        <v>148.31</v>
      </c>
      <c r="M431">
        <v>152.32</v>
      </c>
      <c r="N431">
        <v>156.44</v>
      </c>
      <c r="O431">
        <v>160.66</v>
      </c>
      <c r="P431">
        <v>0</v>
      </c>
      <c r="Q431" s="304">
        <v>1672</v>
      </c>
    </row>
    <row r="432" spans="1:17" hidden="1" outlineLevel="1">
      <c r="B432" t="s">
        <v>1104</v>
      </c>
      <c r="C432" t="s">
        <v>676</v>
      </c>
      <c r="D432">
        <v>85.49</v>
      </c>
      <c r="E432">
        <v>87.8</v>
      </c>
      <c r="F432">
        <v>90.17</v>
      </c>
      <c r="G432">
        <v>92.61</v>
      </c>
      <c r="H432">
        <v>95.1</v>
      </c>
      <c r="I432">
        <v>97.67</v>
      </c>
      <c r="J432">
        <v>100.31</v>
      </c>
      <c r="K432">
        <v>103.02</v>
      </c>
      <c r="L432">
        <v>105.8</v>
      </c>
      <c r="M432">
        <v>108.66</v>
      </c>
      <c r="N432">
        <v>111.6</v>
      </c>
      <c r="O432">
        <v>114.61</v>
      </c>
      <c r="P432">
        <v>0</v>
      </c>
      <c r="Q432" s="304">
        <v>1193</v>
      </c>
    </row>
    <row r="433" spans="2:17" hidden="1" outlineLevel="1">
      <c r="B433" t="s">
        <v>1105</v>
      </c>
      <c r="C433" t="s">
        <v>676</v>
      </c>
      <c r="D433">
        <v>113.49</v>
      </c>
      <c r="E433">
        <v>116.56</v>
      </c>
      <c r="F433">
        <v>119.7</v>
      </c>
      <c r="G433">
        <v>122.94</v>
      </c>
      <c r="H433">
        <v>126.26</v>
      </c>
      <c r="I433">
        <v>129.66</v>
      </c>
      <c r="J433">
        <v>133.16999999999999</v>
      </c>
      <c r="K433">
        <v>136.76</v>
      </c>
      <c r="L433">
        <v>140.46</v>
      </c>
      <c r="M433">
        <v>144.26</v>
      </c>
      <c r="N433">
        <v>148.16</v>
      </c>
      <c r="O433">
        <v>152.16</v>
      </c>
      <c r="P433">
        <v>0</v>
      </c>
      <c r="Q433" s="304">
        <v>1584</v>
      </c>
    </row>
    <row r="434" spans="2:17" hidden="1" outlineLevel="1">
      <c r="B434" t="s">
        <v>1106</v>
      </c>
      <c r="C434" t="s">
        <v>676</v>
      </c>
      <c r="D434">
        <v>69.77</v>
      </c>
      <c r="E434">
        <v>71.650000000000006</v>
      </c>
      <c r="F434">
        <v>73.59</v>
      </c>
      <c r="G434">
        <v>75.569999999999993</v>
      </c>
      <c r="H434">
        <v>77.61</v>
      </c>
      <c r="I434">
        <v>79.709999999999994</v>
      </c>
      <c r="J434">
        <v>81.86</v>
      </c>
      <c r="K434">
        <v>84.07</v>
      </c>
      <c r="L434">
        <v>86.34</v>
      </c>
      <c r="M434">
        <v>88.68</v>
      </c>
      <c r="N434">
        <v>91.08</v>
      </c>
      <c r="O434">
        <v>93.53</v>
      </c>
      <c r="P434">
        <v>0</v>
      </c>
      <c r="Q434">
        <v>973</v>
      </c>
    </row>
    <row r="435" spans="2:17" hidden="1" outlineLevel="1">
      <c r="B435" t="s">
        <v>1107</v>
      </c>
      <c r="C435" t="s">
        <v>676</v>
      </c>
      <c r="D435">
        <v>129.19999999999999</v>
      </c>
      <c r="E435">
        <v>132.69</v>
      </c>
      <c r="F435">
        <v>136.27000000000001</v>
      </c>
      <c r="G435">
        <v>139.94999999999999</v>
      </c>
      <c r="H435">
        <v>143.72999999999999</v>
      </c>
      <c r="I435">
        <v>147.6</v>
      </c>
      <c r="J435">
        <v>151.59</v>
      </c>
      <c r="K435">
        <v>155.69</v>
      </c>
      <c r="L435">
        <v>159.9</v>
      </c>
      <c r="M435">
        <v>164.22</v>
      </c>
      <c r="N435">
        <v>168.66</v>
      </c>
      <c r="O435">
        <v>173.21</v>
      </c>
      <c r="P435">
        <v>0</v>
      </c>
      <c r="Q435" s="304">
        <v>1803</v>
      </c>
    </row>
    <row r="436" spans="2:17" hidden="1" outlineLevel="1">
      <c r="B436" t="s">
        <v>1108</v>
      </c>
      <c r="C436" t="s">
        <v>676</v>
      </c>
      <c r="D436">
        <v>129.37</v>
      </c>
      <c r="E436">
        <v>132.87</v>
      </c>
      <c r="F436">
        <v>136.46</v>
      </c>
      <c r="G436">
        <v>140.13999999999999</v>
      </c>
      <c r="H436">
        <v>143.91999999999999</v>
      </c>
      <c r="I436">
        <v>147.80000000000001</v>
      </c>
      <c r="J436">
        <v>151.80000000000001</v>
      </c>
      <c r="K436">
        <v>155.9</v>
      </c>
      <c r="L436">
        <v>160.11000000000001</v>
      </c>
      <c r="M436">
        <v>164.44</v>
      </c>
      <c r="N436">
        <v>168.89</v>
      </c>
      <c r="O436">
        <v>173.45</v>
      </c>
      <c r="P436">
        <v>0</v>
      </c>
      <c r="Q436" s="304">
        <v>1805</v>
      </c>
    </row>
    <row r="437" spans="2:17" hidden="1" outlineLevel="1">
      <c r="B437" t="s">
        <v>1109</v>
      </c>
      <c r="C437" t="s">
        <v>676</v>
      </c>
      <c r="D437">
        <v>182.02</v>
      </c>
      <c r="E437">
        <v>186.94</v>
      </c>
      <c r="F437">
        <v>191.98</v>
      </c>
      <c r="G437">
        <v>197.18</v>
      </c>
      <c r="H437">
        <v>202.49</v>
      </c>
      <c r="I437">
        <v>207.95</v>
      </c>
      <c r="J437">
        <v>213.57</v>
      </c>
      <c r="K437">
        <v>219.34</v>
      </c>
      <c r="L437">
        <v>225.27</v>
      </c>
      <c r="M437">
        <v>231.36</v>
      </c>
      <c r="N437">
        <v>237.62</v>
      </c>
      <c r="O437">
        <v>244.03</v>
      </c>
      <c r="P437">
        <v>0</v>
      </c>
      <c r="Q437" s="304">
        <v>2540</v>
      </c>
    </row>
    <row r="438" spans="2:17" hidden="1" outlineLevel="1">
      <c r="B438" t="s">
        <v>1110</v>
      </c>
      <c r="C438" t="s">
        <v>676</v>
      </c>
      <c r="D438">
        <v>89.24</v>
      </c>
      <c r="E438">
        <v>91.65</v>
      </c>
      <c r="F438">
        <v>94.12</v>
      </c>
      <c r="G438">
        <v>96.67</v>
      </c>
      <c r="H438">
        <v>99.27</v>
      </c>
      <c r="I438">
        <v>101.95</v>
      </c>
      <c r="J438">
        <v>104.71</v>
      </c>
      <c r="K438">
        <v>107.53</v>
      </c>
      <c r="L438">
        <v>110.44</v>
      </c>
      <c r="M438">
        <v>113.43</v>
      </c>
      <c r="N438">
        <v>116.49</v>
      </c>
      <c r="O438">
        <v>119.64</v>
      </c>
      <c r="P438">
        <v>0</v>
      </c>
      <c r="Q438" s="304">
        <v>1245</v>
      </c>
    </row>
    <row r="439" spans="2:17" hidden="1" outlineLevel="1">
      <c r="B439" t="s">
        <v>1111</v>
      </c>
      <c r="C439" t="s">
        <v>676</v>
      </c>
      <c r="D439">
        <v>94.49</v>
      </c>
      <c r="E439">
        <v>97.04</v>
      </c>
      <c r="F439">
        <v>99.66</v>
      </c>
      <c r="G439">
        <v>102.36</v>
      </c>
      <c r="H439">
        <v>105.12</v>
      </c>
      <c r="I439">
        <v>107.95</v>
      </c>
      <c r="J439">
        <v>110.87</v>
      </c>
      <c r="K439">
        <v>113.87</v>
      </c>
      <c r="L439">
        <v>116.94</v>
      </c>
      <c r="M439">
        <v>120.11</v>
      </c>
      <c r="N439">
        <v>123.35</v>
      </c>
      <c r="O439">
        <v>126.68</v>
      </c>
      <c r="P439">
        <v>0</v>
      </c>
      <c r="Q439" s="304">
        <v>1318</v>
      </c>
    </row>
    <row r="440" spans="2:17" hidden="1" outlineLevel="1">
      <c r="B440" t="s">
        <v>1112</v>
      </c>
      <c r="C440" t="s">
        <v>676</v>
      </c>
      <c r="D440">
        <v>62.51</v>
      </c>
      <c r="E440">
        <v>64.2</v>
      </c>
      <c r="F440">
        <v>65.930000000000007</v>
      </c>
      <c r="G440">
        <v>67.709999999999994</v>
      </c>
      <c r="H440">
        <v>69.540000000000006</v>
      </c>
      <c r="I440">
        <v>71.41</v>
      </c>
      <c r="J440">
        <v>73.34</v>
      </c>
      <c r="K440">
        <v>75.319999999999993</v>
      </c>
      <c r="L440">
        <v>77.36</v>
      </c>
      <c r="M440">
        <v>79.45</v>
      </c>
      <c r="N440">
        <v>81.599999999999994</v>
      </c>
      <c r="O440">
        <v>83.8</v>
      </c>
      <c r="P440">
        <v>0</v>
      </c>
      <c r="Q440">
        <v>872</v>
      </c>
    </row>
    <row r="441" spans="2:17" hidden="1" outlineLevel="1">
      <c r="B441" t="s">
        <v>1113</v>
      </c>
      <c r="C441" t="s">
        <v>676</v>
      </c>
      <c r="D441">
        <v>120.48</v>
      </c>
      <c r="E441">
        <v>123.74</v>
      </c>
      <c r="F441">
        <v>127.08</v>
      </c>
      <c r="G441">
        <v>130.52000000000001</v>
      </c>
      <c r="H441">
        <v>134.03</v>
      </c>
      <c r="I441">
        <v>137.65</v>
      </c>
      <c r="J441">
        <v>141.37</v>
      </c>
      <c r="K441">
        <v>145.19</v>
      </c>
      <c r="L441">
        <v>149.11000000000001</v>
      </c>
      <c r="M441">
        <v>153.13999999999999</v>
      </c>
      <c r="N441">
        <v>157.28</v>
      </c>
      <c r="O441">
        <v>161.53</v>
      </c>
      <c r="P441">
        <v>0</v>
      </c>
      <c r="Q441" s="304">
        <v>1681</v>
      </c>
    </row>
    <row r="442" spans="2:17" hidden="1" outlineLevel="1">
      <c r="B442" t="s">
        <v>1114</v>
      </c>
      <c r="C442" t="s">
        <v>676</v>
      </c>
      <c r="D442">
        <v>117.65</v>
      </c>
      <c r="E442">
        <v>120.83</v>
      </c>
      <c r="F442">
        <v>124.09</v>
      </c>
      <c r="G442">
        <v>127.44</v>
      </c>
      <c r="H442">
        <v>130.88</v>
      </c>
      <c r="I442">
        <v>134.41</v>
      </c>
      <c r="J442">
        <v>138.04</v>
      </c>
      <c r="K442">
        <v>141.77000000000001</v>
      </c>
      <c r="L442">
        <v>145.6</v>
      </c>
      <c r="M442">
        <v>149.54</v>
      </c>
      <c r="N442">
        <v>153.58000000000001</v>
      </c>
      <c r="O442">
        <v>157.72999999999999</v>
      </c>
      <c r="P442">
        <v>0</v>
      </c>
      <c r="Q442" s="304">
        <v>1642</v>
      </c>
    </row>
    <row r="443" spans="2:17" hidden="1" outlineLevel="1">
      <c r="B443" t="s">
        <v>1115</v>
      </c>
      <c r="C443" t="s">
        <v>676</v>
      </c>
      <c r="D443">
        <v>133.12</v>
      </c>
      <c r="E443">
        <v>136.72</v>
      </c>
      <c r="F443">
        <v>140.41</v>
      </c>
      <c r="G443">
        <v>144.21</v>
      </c>
      <c r="H443">
        <v>148.09</v>
      </c>
      <c r="I443">
        <v>152.09</v>
      </c>
      <c r="J443">
        <v>156.19999999999999</v>
      </c>
      <c r="K443">
        <v>160.41999999999999</v>
      </c>
      <c r="L443">
        <v>164.75</v>
      </c>
      <c r="M443">
        <v>169.21</v>
      </c>
      <c r="N443">
        <v>173.78</v>
      </c>
      <c r="O443">
        <v>178.48</v>
      </c>
      <c r="P443">
        <v>0</v>
      </c>
      <c r="Q443" s="304">
        <v>1857</v>
      </c>
    </row>
    <row r="444" spans="2:17" hidden="1" outlineLevel="1">
      <c r="B444" t="s">
        <v>1116</v>
      </c>
      <c r="C444" t="s">
        <v>676</v>
      </c>
      <c r="D444">
        <v>182.85</v>
      </c>
      <c r="E444">
        <v>187.79</v>
      </c>
      <c r="F444">
        <v>192.86</v>
      </c>
      <c r="G444">
        <v>198.07</v>
      </c>
      <c r="H444">
        <v>203.42</v>
      </c>
      <c r="I444">
        <v>208.9</v>
      </c>
      <c r="J444">
        <v>214.55</v>
      </c>
      <c r="K444">
        <v>220.34</v>
      </c>
      <c r="L444">
        <v>226.3</v>
      </c>
      <c r="M444">
        <v>232.42</v>
      </c>
      <c r="N444">
        <v>238.7</v>
      </c>
      <c r="O444">
        <v>245.15</v>
      </c>
      <c r="P444">
        <v>0</v>
      </c>
      <c r="Q444" s="304">
        <v>2551</v>
      </c>
    </row>
    <row r="445" spans="2:17" hidden="1" outlineLevel="1">
      <c r="B445" t="s">
        <v>1117</v>
      </c>
      <c r="C445" t="s">
        <v>676</v>
      </c>
      <c r="D445">
        <v>77.13</v>
      </c>
      <c r="E445">
        <v>79.22</v>
      </c>
      <c r="F445">
        <v>81.36</v>
      </c>
      <c r="G445">
        <v>83.56</v>
      </c>
      <c r="H445">
        <v>85.81</v>
      </c>
      <c r="I445">
        <v>88.12</v>
      </c>
      <c r="J445">
        <v>90.51</v>
      </c>
      <c r="K445">
        <v>92.95</v>
      </c>
      <c r="L445">
        <v>95.46</v>
      </c>
      <c r="M445">
        <v>98.05</v>
      </c>
      <c r="N445">
        <v>100.7</v>
      </c>
      <c r="O445">
        <v>103.41</v>
      </c>
      <c r="P445">
        <v>0</v>
      </c>
      <c r="Q445" s="304">
        <v>1076</v>
      </c>
    </row>
    <row r="446" spans="2:17" hidden="1" outlineLevel="1">
      <c r="B446" t="s">
        <v>1118</v>
      </c>
      <c r="C446" t="s">
        <v>676</v>
      </c>
      <c r="D446">
        <v>140.27000000000001</v>
      </c>
      <c r="E446">
        <v>144.07</v>
      </c>
      <c r="F446">
        <v>147.94999999999999</v>
      </c>
      <c r="G446">
        <v>151.94999999999999</v>
      </c>
      <c r="H446">
        <v>156.05000000000001</v>
      </c>
      <c r="I446">
        <v>160.26</v>
      </c>
      <c r="J446">
        <v>164.59</v>
      </c>
      <c r="K446">
        <v>169.04</v>
      </c>
      <c r="L446">
        <v>173.61</v>
      </c>
      <c r="M446">
        <v>178.3</v>
      </c>
      <c r="N446">
        <v>183.12</v>
      </c>
      <c r="O446">
        <v>188.07</v>
      </c>
      <c r="P446">
        <v>0</v>
      </c>
      <c r="Q446" s="304">
        <v>1957</v>
      </c>
    </row>
    <row r="447" spans="2:17" hidden="1" outlineLevel="1">
      <c r="B447" t="s">
        <v>1119</v>
      </c>
      <c r="C447" t="s">
        <v>676</v>
      </c>
      <c r="D447">
        <v>136.28</v>
      </c>
      <c r="E447">
        <v>139.96</v>
      </c>
      <c r="F447">
        <v>143.74</v>
      </c>
      <c r="G447">
        <v>147.63</v>
      </c>
      <c r="H447">
        <v>151.61000000000001</v>
      </c>
      <c r="I447">
        <v>155.69999999999999</v>
      </c>
      <c r="J447">
        <v>159.91</v>
      </c>
      <c r="K447">
        <v>164.22</v>
      </c>
      <c r="L447">
        <v>168.66</v>
      </c>
      <c r="M447">
        <v>173.22</v>
      </c>
      <c r="N447">
        <v>177.91</v>
      </c>
      <c r="O447">
        <v>182.71</v>
      </c>
      <c r="P447">
        <v>0</v>
      </c>
      <c r="Q447" s="304">
        <v>1902</v>
      </c>
    </row>
    <row r="448" spans="2:17" hidden="1" outlineLevel="1">
      <c r="B448" t="s">
        <v>1120</v>
      </c>
      <c r="C448" t="s">
        <v>676</v>
      </c>
      <c r="D448">
        <v>166.32</v>
      </c>
      <c r="E448">
        <v>170.81</v>
      </c>
      <c r="F448">
        <v>175.43</v>
      </c>
      <c r="G448">
        <v>180.17</v>
      </c>
      <c r="H448">
        <v>185.03</v>
      </c>
      <c r="I448">
        <v>190.02</v>
      </c>
      <c r="J448">
        <v>195.15</v>
      </c>
      <c r="K448">
        <v>200.42</v>
      </c>
      <c r="L448">
        <v>205.84</v>
      </c>
      <c r="M448">
        <v>211.41</v>
      </c>
      <c r="N448">
        <v>217.12</v>
      </c>
      <c r="O448">
        <v>222.98</v>
      </c>
      <c r="P448">
        <v>0</v>
      </c>
      <c r="Q448" s="304">
        <v>2321</v>
      </c>
    </row>
    <row r="449" spans="2:17" hidden="1" outlineLevel="1">
      <c r="B449" t="s">
        <v>1121</v>
      </c>
      <c r="C449" t="s">
        <v>676</v>
      </c>
      <c r="D449">
        <v>127.83</v>
      </c>
      <c r="E449">
        <v>131.29</v>
      </c>
      <c r="F449">
        <v>134.83000000000001</v>
      </c>
      <c r="G449">
        <v>138.47</v>
      </c>
      <c r="H449">
        <v>142.21</v>
      </c>
      <c r="I449">
        <v>146.04</v>
      </c>
      <c r="J449">
        <v>149.99</v>
      </c>
      <c r="K449">
        <v>154.04</v>
      </c>
      <c r="L449">
        <v>158.21</v>
      </c>
      <c r="M449">
        <v>162.47999999999999</v>
      </c>
      <c r="N449">
        <v>166.88</v>
      </c>
      <c r="O449">
        <v>171.38</v>
      </c>
      <c r="P449">
        <v>0</v>
      </c>
      <c r="Q449" s="304">
        <v>1784</v>
      </c>
    </row>
    <row r="450" spans="2:17" hidden="1" outlineLevel="1">
      <c r="B450" t="s">
        <v>1122</v>
      </c>
      <c r="C450" t="s">
        <v>676</v>
      </c>
      <c r="D450">
        <v>71.19</v>
      </c>
      <c r="E450">
        <v>73.11</v>
      </c>
      <c r="F450">
        <v>75.09</v>
      </c>
      <c r="G450">
        <v>77.12</v>
      </c>
      <c r="H450">
        <v>79.19</v>
      </c>
      <c r="I450">
        <v>81.33</v>
      </c>
      <c r="J450">
        <v>83.53</v>
      </c>
      <c r="K450">
        <v>85.78</v>
      </c>
      <c r="L450">
        <v>88.1</v>
      </c>
      <c r="M450">
        <v>90.49</v>
      </c>
      <c r="N450">
        <v>92.93</v>
      </c>
      <c r="O450">
        <v>95.44</v>
      </c>
      <c r="P450">
        <v>0</v>
      </c>
      <c r="Q450">
        <v>993</v>
      </c>
    </row>
    <row r="451" spans="2:17" hidden="1" outlineLevel="1">
      <c r="B451" t="s">
        <v>1123</v>
      </c>
      <c r="C451" t="s">
        <v>676</v>
      </c>
      <c r="D451">
        <v>129.36000000000001</v>
      </c>
      <c r="E451">
        <v>132.85</v>
      </c>
      <c r="F451">
        <v>136.44</v>
      </c>
      <c r="G451">
        <v>140.13</v>
      </c>
      <c r="H451">
        <v>143.91</v>
      </c>
      <c r="I451">
        <v>147.79</v>
      </c>
      <c r="J451">
        <v>151.78</v>
      </c>
      <c r="K451">
        <v>155.88</v>
      </c>
      <c r="L451">
        <v>160.1</v>
      </c>
      <c r="M451">
        <v>164.43</v>
      </c>
      <c r="N451">
        <v>168.87</v>
      </c>
      <c r="O451">
        <v>173.43</v>
      </c>
      <c r="P451">
        <v>0</v>
      </c>
      <c r="Q451" s="304">
        <v>1805</v>
      </c>
    </row>
    <row r="452" spans="2:17" hidden="1" outlineLevel="1">
      <c r="B452" t="s">
        <v>1124</v>
      </c>
      <c r="C452" t="s">
        <v>676</v>
      </c>
      <c r="D452">
        <v>162.02000000000001</v>
      </c>
      <c r="E452">
        <v>166.4</v>
      </c>
      <c r="F452">
        <v>170.89</v>
      </c>
      <c r="G452">
        <v>175.51</v>
      </c>
      <c r="H452">
        <v>180.24</v>
      </c>
      <c r="I452">
        <v>185.1</v>
      </c>
      <c r="J452">
        <v>190.11</v>
      </c>
      <c r="K452">
        <v>195.24</v>
      </c>
      <c r="L452">
        <v>200.52</v>
      </c>
      <c r="M452">
        <v>205.94</v>
      </c>
      <c r="N452">
        <v>211.5</v>
      </c>
      <c r="O452">
        <v>217.22</v>
      </c>
      <c r="P452">
        <v>0</v>
      </c>
      <c r="Q452" s="304">
        <v>2261</v>
      </c>
    </row>
    <row r="453" spans="2:17" hidden="1" outlineLevel="1">
      <c r="B453" t="s">
        <v>1125</v>
      </c>
      <c r="C453" t="s">
        <v>676</v>
      </c>
      <c r="D453">
        <v>99.92</v>
      </c>
      <c r="E453">
        <v>102.62</v>
      </c>
      <c r="F453">
        <v>105.39</v>
      </c>
      <c r="G453">
        <v>108.24</v>
      </c>
      <c r="H453">
        <v>111.16</v>
      </c>
      <c r="I453">
        <v>114.16</v>
      </c>
      <c r="J453">
        <v>117.24</v>
      </c>
      <c r="K453">
        <v>120.41</v>
      </c>
      <c r="L453">
        <v>123.67</v>
      </c>
      <c r="M453">
        <v>127.01</v>
      </c>
      <c r="N453">
        <v>130.44</v>
      </c>
      <c r="O453">
        <v>133.96</v>
      </c>
      <c r="P453">
        <v>0</v>
      </c>
      <c r="Q453" s="304">
        <v>1394</v>
      </c>
    </row>
    <row r="454" spans="2:17" hidden="1" outlineLevel="1">
      <c r="B454" t="s">
        <v>1126</v>
      </c>
      <c r="C454" t="s">
        <v>676</v>
      </c>
      <c r="D454">
        <v>69.83</v>
      </c>
      <c r="E454">
        <v>71.72</v>
      </c>
      <c r="F454">
        <v>73.66</v>
      </c>
      <c r="G454">
        <v>75.650000000000006</v>
      </c>
      <c r="H454">
        <v>77.69</v>
      </c>
      <c r="I454">
        <v>79.78</v>
      </c>
      <c r="J454">
        <v>81.94</v>
      </c>
      <c r="K454">
        <v>84.15</v>
      </c>
      <c r="L454">
        <v>86.43</v>
      </c>
      <c r="M454">
        <v>88.76</v>
      </c>
      <c r="N454">
        <v>91.16</v>
      </c>
      <c r="O454">
        <v>93.62</v>
      </c>
      <c r="P454">
        <v>0</v>
      </c>
      <c r="Q454">
        <v>974</v>
      </c>
    </row>
    <row r="455" spans="2:17" hidden="1" outlineLevel="1">
      <c r="B455" t="s">
        <v>1127</v>
      </c>
      <c r="C455" t="s">
        <v>676</v>
      </c>
      <c r="D455">
        <v>121.1</v>
      </c>
      <c r="E455">
        <v>124.37</v>
      </c>
      <c r="F455">
        <v>127.73</v>
      </c>
      <c r="G455">
        <v>131.18</v>
      </c>
      <c r="H455">
        <v>134.72</v>
      </c>
      <c r="I455">
        <v>138.35</v>
      </c>
      <c r="J455">
        <v>142.09</v>
      </c>
      <c r="K455">
        <v>145.93</v>
      </c>
      <c r="L455">
        <v>149.87</v>
      </c>
      <c r="M455">
        <v>153.91999999999999</v>
      </c>
      <c r="N455">
        <v>158.08000000000001</v>
      </c>
      <c r="O455">
        <v>162.35</v>
      </c>
      <c r="P455">
        <v>0</v>
      </c>
      <c r="Q455" s="304">
        <v>1690</v>
      </c>
    </row>
    <row r="456" spans="2:17" hidden="1" outlineLevel="1">
      <c r="B456" t="s">
        <v>1128</v>
      </c>
      <c r="C456" t="s">
        <v>676</v>
      </c>
      <c r="D456">
        <v>81.5</v>
      </c>
      <c r="E456">
        <v>83.7</v>
      </c>
      <c r="F456">
        <v>85.96</v>
      </c>
      <c r="G456">
        <v>88.29</v>
      </c>
      <c r="H456">
        <v>90.67</v>
      </c>
      <c r="I456">
        <v>93.11</v>
      </c>
      <c r="J456">
        <v>95.63</v>
      </c>
      <c r="K456">
        <v>98.21</v>
      </c>
      <c r="L456">
        <v>100.87</v>
      </c>
      <c r="M456">
        <v>103.59</v>
      </c>
      <c r="N456">
        <v>106.39</v>
      </c>
      <c r="O456">
        <v>109.27</v>
      </c>
      <c r="P456">
        <v>0</v>
      </c>
      <c r="Q456" s="304">
        <v>1137</v>
      </c>
    </row>
    <row r="457" spans="2:17" hidden="1" outlineLevel="1">
      <c r="B457" t="s">
        <v>1129</v>
      </c>
      <c r="C457" t="s">
        <v>676</v>
      </c>
      <c r="D457">
        <v>196.25</v>
      </c>
      <c r="E457">
        <v>201.56</v>
      </c>
      <c r="F457">
        <v>207</v>
      </c>
      <c r="G457">
        <v>212.59</v>
      </c>
      <c r="H457">
        <v>218.33</v>
      </c>
      <c r="I457">
        <v>224.21</v>
      </c>
      <c r="J457">
        <v>230.28</v>
      </c>
      <c r="K457">
        <v>236.49</v>
      </c>
      <c r="L457">
        <v>242.89</v>
      </c>
      <c r="M457">
        <v>249.45</v>
      </c>
      <c r="N457">
        <v>256.2</v>
      </c>
      <c r="O457">
        <v>263.11</v>
      </c>
      <c r="P457">
        <v>0</v>
      </c>
      <c r="Q457" s="304">
        <v>2738</v>
      </c>
    </row>
    <row r="458" spans="2:17" hidden="1" outlineLevel="1">
      <c r="B458" t="s">
        <v>1130</v>
      </c>
      <c r="C458" t="s">
        <v>676</v>
      </c>
      <c r="D458">
        <v>114.34</v>
      </c>
      <c r="E458">
        <v>117.43</v>
      </c>
      <c r="F458">
        <v>120.6</v>
      </c>
      <c r="G458">
        <v>123.86</v>
      </c>
      <c r="H458">
        <v>127.19</v>
      </c>
      <c r="I458">
        <v>130.63</v>
      </c>
      <c r="J458">
        <v>134.16</v>
      </c>
      <c r="K458">
        <v>137.78</v>
      </c>
      <c r="L458">
        <v>141.5</v>
      </c>
      <c r="M458">
        <v>145.33000000000001</v>
      </c>
      <c r="N458">
        <v>149.26</v>
      </c>
      <c r="O458">
        <v>153.29</v>
      </c>
      <c r="P458">
        <v>0</v>
      </c>
      <c r="Q458" s="304">
        <v>1595</v>
      </c>
    </row>
    <row r="459" spans="2:17" hidden="1" outlineLevel="1">
      <c r="B459" t="s">
        <v>1131</v>
      </c>
      <c r="C459" t="s">
        <v>676</v>
      </c>
      <c r="D459">
        <v>132.63</v>
      </c>
      <c r="E459">
        <v>136.21</v>
      </c>
      <c r="F459">
        <v>139.88999999999999</v>
      </c>
      <c r="G459">
        <v>143.66999999999999</v>
      </c>
      <c r="H459">
        <v>147.54</v>
      </c>
      <c r="I459">
        <v>151.52000000000001</v>
      </c>
      <c r="J459">
        <v>155.62</v>
      </c>
      <c r="K459">
        <v>159.82</v>
      </c>
      <c r="L459">
        <v>164.14</v>
      </c>
      <c r="M459">
        <v>168.58</v>
      </c>
      <c r="N459">
        <v>173.14</v>
      </c>
      <c r="O459">
        <v>177.81</v>
      </c>
      <c r="P459">
        <v>0</v>
      </c>
      <c r="Q459" s="304">
        <v>1851</v>
      </c>
    </row>
    <row r="460" spans="2:17" hidden="1" outlineLevel="1">
      <c r="B460" t="s">
        <v>1132</v>
      </c>
      <c r="C460" t="s">
        <v>676</v>
      </c>
      <c r="D460">
        <v>171.08</v>
      </c>
      <c r="E460">
        <v>175.71</v>
      </c>
      <c r="F460">
        <v>180.45</v>
      </c>
      <c r="G460">
        <v>185.33</v>
      </c>
      <c r="H460">
        <v>190.32</v>
      </c>
      <c r="I460">
        <v>195.46</v>
      </c>
      <c r="J460">
        <v>200.74</v>
      </c>
      <c r="K460">
        <v>206.16</v>
      </c>
      <c r="L460">
        <v>211.73</v>
      </c>
      <c r="M460">
        <v>217.46</v>
      </c>
      <c r="N460">
        <v>223.34</v>
      </c>
      <c r="O460">
        <v>229.37</v>
      </c>
      <c r="P460">
        <v>0</v>
      </c>
      <c r="Q460" s="304">
        <v>2387</v>
      </c>
    </row>
    <row r="461" spans="2:17" hidden="1" outlineLevel="1">
      <c r="B461" t="s">
        <v>1133</v>
      </c>
      <c r="C461" t="s">
        <v>676</v>
      </c>
      <c r="D461">
        <v>88.22</v>
      </c>
      <c r="E461">
        <v>90.6</v>
      </c>
      <c r="F461">
        <v>93.05</v>
      </c>
      <c r="G461">
        <v>95.56</v>
      </c>
      <c r="H461">
        <v>98.14</v>
      </c>
      <c r="I461">
        <v>100.78</v>
      </c>
      <c r="J461">
        <v>103.51</v>
      </c>
      <c r="K461">
        <v>106.3</v>
      </c>
      <c r="L461">
        <v>109.18</v>
      </c>
      <c r="M461">
        <v>112.13</v>
      </c>
      <c r="N461">
        <v>115.16</v>
      </c>
      <c r="O461">
        <v>118.27</v>
      </c>
      <c r="P461">
        <v>0</v>
      </c>
      <c r="Q461" s="304">
        <v>1231</v>
      </c>
    </row>
    <row r="462" spans="2:17" hidden="1" outlineLevel="1">
      <c r="B462" t="s">
        <v>1134</v>
      </c>
      <c r="C462" t="s">
        <v>676</v>
      </c>
      <c r="D462">
        <v>141.5</v>
      </c>
      <c r="E462">
        <v>145.32</v>
      </c>
      <c r="F462">
        <v>149.24</v>
      </c>
      <c r="G462">
        <v>153.28</v>
      </c>
      <c r="H462">
        <v>157.41</v>
      </c>
      <c r="I462">
        <v>161.66</v>
      </c>
      <c r="J462">
        <v>166.03</v>
      </c>
      <c r="K462">
        <v>170.51</v>
      </c>
      <c r="L462">
        <v>175.12</v>
      </c>
      <c r="M462">
        <v>179.85</v>
      </c>
      <c r="N462">
        <v>184.72</v>
      </c>
      <c r="O462">
        <v>189.7</v>
      </c>
      <c r="P462">
        <v>0</v>
      </c>
      <c r="Q462" s="304">
        <v>1974</v>
      </c>
    </row>
    <row r="463" spans="2:17" hidden="1" outlineLevel="1">
      <c r="B463" t="s">
        <v>1135</v>
      </c>
      <c r="C463" t="s">
        <v>676</v>
      </c>
      <c r="D463">
        <v>362</v>
      </c>
      <c r="E463">
        <v>371.78</v>
      </c>
      <c r="F463">
        <v>381.82</v>
      </c>
      <c r="G463">
        <v>392.14</v>
      </c>
      <c r="H463">
        <v>402.72</v>
      </c>
      <c r="I463">
        <v>413.58</v>
      </c>
      <c r="J463">
        <v>424.76</v>
      </c>
      <c r="K463">
        <v>436.23</v>
      </c>
      <c r="L463">
        <v>448.02</v>
      </c>
      <c r="M463">
        <v>460.13</v>
      </c>
      <c r="N463">
        <v>472.57</v>
      </c>
      <c r="O463">
        <v>485.33</v>
      </c>
      <c r="P463">
        <v>0</v>
      </c>
      <c r="Q463" s="304">
        <v>5051</v>
      </c>
    </row>
    <row r="464" spans="2:17" hidden="1" outlineLevel="1">
      <c r="B464" t="s">
        <v>1136</v>
      </c>
      <c r="C464" t="s">
        <v>676</v>
      </c>
      <c r="D464">
        <v>104.36</v>
      </c>
      <c r="E464">
        <v>107.18</v>
      </c>
      <c r="F464">
        <v>110.08</v>
      </c>
      <c r="G464">
        <v>113.05</v>
      </c>
      <c r="H464">
        <v>116.1</v>
      </c>
      <c r="I464">
        <v>119.23</v>
      </c>
      <c r="J464">
        <v>122.46</v>
      </c>
      <c r="K464">
        <v>125.76</v>
      </c>
      <c r="L464">
        <v>129.16</v>
      </c>
      <c r="M464">
        <v>132.65</v>
      </c>
      <c r="N464">
        <v>136.24</v>
      </c>
      <c r="O464">
        <v>139.91999999999999</v>
      </c>
      <c r="P464">
        <v>0</v>
      </c>
      <c r="Q464" s="304">
        <v>1456</v>
      </c>
    </row>
    <row r="465" spans="2:17" hidden="1" outlineLevel="1">
      <c r="B465" t="s">
        <v>1137</v>
      </c>
      <c r="C465" t="s">
        <v>676</v>
      </c>
      <c r="D465">
        <v>119.46</v>
      </c>
      <c r="E465">
        <v>122.69</v>
      </c>
      <c r="F465">
        <v>126</v>
      </c>
      <c r="G465">
        <v>129.4</v>
      </c>
      <c r="H465">
        <v>132.88999999999999</v>
      </c>
      <c r="I465">
        <v>136.47999999999999</v>
      </c>
      <c r="J465">
        <v>140.16999999999999</v>
      </c>
      <c r="K465">
        <v>143.94999999999999</v>
      </c>
      <c r="L465">
        <v>147.84</v>
      </c>
      <c r="M465">
        <v>151.84</v>
      </c>
      <c r="N465">
        <v>155.94</v>
      </c>
      <c r="O465">
        <v>160.15</v>
      </c>
      <c r="P465">
        <v>0</v>
      </c>
      <c r="Q465" s="304">
        <v>1667</v>
      </c>
    </row>
    <row r="466" spans="2:17" hidden="1" outlineLevel="1">
      <c r="B466" t="s">
        <v>1138</v>
      </c>
      <c r="C466" t="s">
        <v>676</v>
      </c>
      <c r="D466">
        <v>86.84</v>
      </c>
      <c r="E466">
        <v>89.19</v>
      </c>
      <c r="F466">
        <v>91.6</v>
      </c>
      <c r="G466">
        <v>94.07</v>
      </c>
      <c r="H466">
        <v>96.61</v>
      </c>
      <c r="I466">
        <v>99.21</v>
      </c>
      <c r="J466">
        <v>101.9</v>
      </c>
      <c r="K466">
        <v>104.65</v>
      </c>
      <c r="L466">
        <v>107.48</v>
      </c>
      <c r="M466">
        <v>110.38</v>
      </c>
      <c r="N466">
        <v>113.37</v>
      </c>
      <c r="O466">
        <v>116.43</v>
      </c>
      <c r="P466">
        <v>0</v>
      </c>
      <c r="Q466" s="304">
        <v>1212</v>
      </c>
    </row>
    <row r="467" spans="2:17" hidden="1" outlineLevel="1">
      <c r="B467" t="s">
        <v>1139</v>
      </c>
      <c r="C467" t="s">
        <v>676</v>
      </c>
      <c r="D467">
        <v>136.80000000000001</v>
      </c>
      <c r="E467">
        <v>140.5</v>
      </c>
      <c r="F467">
        <v>144.29</v>
      </c>
      <c r="G467">
        <v>148.19999999999999</v>
      </c>
      <c r="H467">
        <v>152.19</v>
      </c>
      <c r="I467">
        <v>156.30000000000001</v>
      </c>
      <c r="J467">
        <v>160.52000000000001</v>
      </c>
      <c r="K467">
        <v>164.86</v>
      </c>
      <c r="L467">
        <v>169.31</v>
      </c>
      <c r="M467">
        <v>173.89</v>
      </c>
      <c r="N467">
        <v>178.59</v>
      </c>
      <c r="O467">
        <v>183.41</v>
      </c>
      <c r="P467">
        <v>0</v>
      </c>
      <c r="Q467" s="304">
        <v>1909</v>
      </c>
    </row>
    <row r="468" spans="2:17" hidden="1" outlineLevel="1">
      <c r="B468" t="s">
        <v>1140</v>
      </c>
      <c r="C468" t="s">
        <v>676</v>
      </c>
      <c r="D468">
        <v>134.31</v>
      </c>
      <c r="E468">
        <v>137.94</v>
      </c>
      <c r="F468">
        <v>141.66999999999999</v>
      </c>
      <c r="G468">
        <v>145.5</v>
      </c>
      <c r="H468">
        <v>149.41999999999999</v>
      </c>
      <c r="I468">
        <v>153.44999999999999</v>
      </c>
      <c r="J468">
        <v>157.6</v>
      </c>
      <c r="K468">
        <v>161.85</v>
      </c>
      <c r="L468">
        <v>166.23</v>
      </c>
      <c r="M468">
        <v>170.72</v>
      </c>
      <c r="N468">
        <v>175.34</v>
      </c>
      <c r="O468">
        <v>180.07</v>
      </c>
      <c r="P468">
        <v>0</v>
      </c>
      <c r="Q468" s="304">
        <v>1874</v>
      </c>
    </row>
    <row r="469" spans="2:17" hidden="1" outlineLevel="1">
      <c r="B469" t="s">
        <v>1141</v>
      </c>
      <c r="C469" t="s">
        <v>676</v>
      </c>
      <c r="D469">
        <v>78.67</v>
      </c>
      <c r="E469">
        <v>80.790000000000006</v>
      </c>
      <c r="F469">
        <v>82.97</v>
      </c>
      <c r="G469">
        <v>85.22</v>
      </c>
      <c r="H469">
        <v>87.51</v>
      </c>
      <c r="I469">
        <v>89.87</v>
      </c>
      <c r="J469">
        <v>92.3</v>
      </c>
      <c r="K469">
        <v>94.8</v>
      </c>
      <c r="L469">
        <v>97.36</v>
      </c>
      <c r="M469">
        <v>99.99</v>
      </c>
      <c r="N469">
        <v>102.69</v>
      </c>
      <c r="O469">
        <v>105.47</v>
      </c>
      <c r="P469">
        <v>0</v>
      </c>
      <c r="Q469" s="304">
        <v>1098</v>
      </c>
    </row>
    <row r="470" spans="2:17" hidden="1" outlineLevel="1">
      <c r="B470" t="s">
        <v>1142</v>
      </c>
      <c r="C470" t="s">
        <v>676</v>
      </c>
      <c r="D470">
        <v>86.5</v>
      </c>
      <c r="E470">
        <v>88.83</v>
      </c>
      <c r="F470">
        <v>91.23</v>
      </c>
      <c r="G470">
        <v>93.7</v>
      </c>
      <c r="H470">
        <v>96.22</v>
      </c>
      <c r="I470">
        <v>98.82</v>
      </c>
      <c r="J470">
        <v>101.49</v>
      </c>
      <c r="K470">
        <v>104.23</v>
      </c>
      <c r="L470">
        <v>107.05</v>
      </c>
      <c r="M470">
        <v>109.94</v>
      </c>
      <c r="N470">
        <v>112.92</v>
      </c>
      <c r="O470">
        <v>115.96</v>
      </c>
      <c r="P470">
        <v>0</v>
      </c>
      <c r="Q470" s="304">
        <v>1207</v>
      </c>
    </row>
    <row r="471" spans="2:17" hidden="1" outlineLevel="1">
      <c r="B471" t="s">
        <v>1143</v>
      </c>
      <c r="C471" t="s">
        <v>676</v>
      </c>
      <c r="D471">
        <v>129.08000000000001</v>
      </c>
      <c r="E471">
        <v>132.57</v>
      </c>
      <c r="F471">
        <v>136.15</v>
      </c>
      <c r="G471">
        <v>139.83000000000001</v>
      </c>
      <c r="H471">
        <v>143.6</v>
      </c>
      <c r="I471">
        <v>147.47</v>
      </c>
      <c r="J471">
        <v>151.46</v>
      </c>
      <c r="K471">
        <v>155.55000000000001</v>
      </c>
      <c r="L471">
        <v>159.75</v>
      </c>
      <c r="M471">
        <v>164.07</v>
      </c>
      <c r="N471">
        <v>168.51</v>
      </c>
      <c r="O471">
        <v>173.06</v>
      </c>
      <c r="P471">
        <v>0</v>
      </c>
      <c r="Q471" s="304">
        <v>1801</v>
      </c>
    </row>
    <row r="472" spans="2:17" hidden="1" outlineLevel="1">
      <c r="B472" t="s">
        <v>1144</v>
      </c>
      <c r="C472" t="s">
        <v>676</v>
      </c>
      <c r="D472">
        <v>160.34</v>
      </c>
      <c r="E472">
        <v>164.68</v>
      </c>
      <c r="F472">
        <v>169.12</v>
      </c>
      <c r="G472">
        <v>173.69</v>
      </c>
      <c r="H472">
        <v>178.38</v>
      </c>
      <c r="I472">
        <v>183.19</v>
      </c>
      <c r="J472">
        <v>188.14</v>
      </c>
      <c r="K472">
        <v>193.22</v>
      </c>
      <c r="L472">
        <v>198.44</v>
      </c>
      <c r="M472">
        <v>203.81</v>
      </c>
      <c r="N472">
        <v>209.32</v>
      </c>
      <c r="O472">
        <v>214.97</v>
      </c>
      <c r="P472">
        <v>0</v>
      </c>
      <c r="Q472" s="304">
        <v>2237</v>
      </c>
    </row>
    <row r="473" spans="2:17" hidden="1" outlineLevel="1">
      <c r="B473" t="s">
        <v>1145</v>
      </c>
      <c r="C473" t="s">
        <v>676</v>
      </c>
      <c r="D473">
        <v>149.97999999999999</v>
      </c>
      <c r="E473">
        <v>154.03</v>
      </c>
      <c r="F473">
        <v>158.19</v>
      </c>
      <c r="G473">
        <v>162.46</v>
      </c>
      <c r="H473">
        <v>166.85</v>
      </c>
      <c r="I473">
        <v>171.34</v>
      </c>
      <c r="J473">
        <v>175.98</v>
      </c>
      <c r="K473">
        <v>180.73</v>
      </c>
      <c r="L473">
        <v>185.61</v>
      </c>
      <c r="M473">
        <v>190.63</v>
      </c>
      <c r="N473">
        <v>195.79</v>
      </c>
      <c r="O473">
        <v>201.07</v>
      </c>
      <c r="P473">
        <v>0</v>
      </c>
      <c r="Q473" s="304">
        <v>2093</v>
      </c>
    </row>
    <row r="474" spans="2:17" hidden="1" outlineLevel="1">
      <c r="B474" t="s">
        <v>1146</v>
      </c>
      <c r="C474" t="s">
        <v>676</v>
      </c>
      <c r="D474">
        <v>165.05</v>
      </c>
      <c r="E474">
        <v>169.51</v>
      </c>
      <c r="F474">
        <v>174.08</v>
      </c>
      <c r="G474">
        <v>178.79</v>
      </c>
      <c r="H474">
        <v>183.61</v>
      </c>
      <c r="I474">
        <v>188.56</v>
      </c>
      <c r="J474">
        <v>193.66</v>
      </c>
      <c r="K474">
        <v>198.89</v>
      </c>
      <c r="L474">
        <v>204.27</v>
      </c>
      <c r="M474">
        <v>209.79</v>
      </c>
      <c r="N474">
        <v>215.46</v>
      </c>
      <c r="O474">
        <v>221.28</v>
      </c>
      <c r="P474">
        <v>0</v>
      </c>
      <c r="Q474" s="304">
        <v>2303</v>
      </c>
    </row>
    <row r="475" spans="2:17" hidden="1" outlineLevel="1">
      <c r="B475" t="s">
        <v>1147</v>
      </c>
      <c r="C475" t="s">
        <v>676</v>
      </c>
      <c r="D475">
        <v>82.73</v>
      </c>
      <c r="E475">
        <v>84.96</v>
      </c>
      <c r="F475">
        <v>87.26</v>
      </c>
      <c r="G475">
        <v>89.62</v>
      </c>
      <c r="H475">
        <v>92.03</v>
      </c>
      <c r="I475">
        <v>94.51</v>
      </c>
      <c r="J475">
        <v>97.07</v>
      </c>
      <c r="K475">
        <v>99.69</v>
      </c>
      <c r="L475">
        <v>102.39</v>
      </c>
      <c r="M475">
        <v>105.15</v>
      </c>
      <c r="N475">
        <v>108</v>
      </c>
      <c r="O475">
        <v>110.91</v>
      </c>
      <c r="P475">
        <v>0</v>
      </c>
      <c r="Q475" s="304">
        <v>1154</v>
      </c>
    </row>
    <row r="476" spans="2:17" hidden="1" outlineLevel="1">
      <c r="B476" t="s">
        <v>1148</v>
      </c>
      <c r="C476" t="s">
        <v>676</v>
      </c>
      <c r="D476">
        <v>82.73</v>
      </c>
      <c r="E476">
        <v>84.96</v>
      </c>
      <c r="F476">
        <v>87.26</v>
      </c>
      <c r="G476">
        <v>89.62</v>
      </c>
      <c r="H476">
        <v>92.03</v>
      </c>
      <c r="I476">
        <v>94.51</v>
      </c>
      <c r="J476">
        <v>97.07</v>
      </c>
      <c r="K476">
        <v>99.69</v>
      </c>
      <c r="L476">
        <v>102.39</v>
      </c>
      <c r="M476">
        <v>105.15</v>
      </c>
      <c r="N476">
        <v>108</v>
      </c>
      <c r="O476">
        <v>110.91</v>
      </c>
      <c r="P476">
        <v>0</v>
      </c>
      <c r="Q476" s="304">
        <v>1154</v>
      </c>
    </row>
    <row r="477" spans="2:17" hidden="1" outlineLevel="1">
      <c r="B477" t="s">
        <v>1149</v>
      </c>
      <c r="C477" t="s">
        <v>676</v>
      </c>
      <c r="D477">
        <v>126.02</v>
      </c>
      <c r="E477">
        <v>129.43</v>
      </c>
      <c r="F477">
        <v>132.91999999999999</v>
      </c>
      <c r="G477">
        <v>136.52000000000001</v>
      </c>
      <c r="H477">
        <v>140.19999999999999</v>
      </c>
      <c r="I477">
        <v>143.97999999999999</v>
      </c>
      <c r="J477">
        <v>147.87</v>
      </c>
      <c r="K477">
        <v>151.86000000000001</v>
      </c>
      <c r="L477">
        <v>155.97</v>
      </c>
      <c r="M477">
        <v>160.19</v>
      </c>
      <c r="N477">
        <v>164.52</v>
      </c>
      <c r="O477">
        <v>168.96</v>
      </c>
      <c r="P477">
        <v>0</v>
      </c>
      <c r="Q477" s="304">
        <v>1758</v>
      </c>
    </row>
    <row r="478" spans="2:17" hidden="1" outlineLevel="1">
      <c r="B478" t="s">
        <v>1150</v>
      </c>
      <c r="C478" t="s">
        <v>676</v>
      </c>
      <c r="D478">
        <v>158.52000000000001</v>
      </c>
      <c r="E478">
        <v>162.81</v>
      </c>
      <c r="F478">
        <v>167.2</v>
      </c>
      <c r="G478">
        <v>171.72</v>
      </c>
      <c r="H478">
        <v>176.35</v>
      </c>
      <c r="I478">
        <v>181.11</v>
      </c>
      <c r="J478">
        <v>186.01</v>
      </c>
      <c r="K478">
        <v>191.03</v>
      </c>
      <c r="L478">
        <v>196.19</v>
      </c>
      <c r="M478">
        <v>201.5</v>
      </c>
      <c r="N478">
        <v>206.94</v>
      </c>
      <c r="O478">
        <v>212.53</v>
      </c>
      <c r="P478">
        <v>0</v>
      </c>
      <c r="Q478" s="304">
        <v>2212</v>
      </c>
    </row>
    <row r="479" spans="2:17" hidden="1" outlineLevel="1">
      <c r="B479" t="s">
        <v>1151</v>
      </c>
      <c r="C479" t="s">
        <v>676</v>
      </c>
      <c r="D479">
        <v>81.06</v>
      </c>
      <c r="E479">
        <v>83.25</v>
      </c>
      <c r="F479">
        <v>85.49</v>
      </c>
      <c r="G479">
        <v>87.81</v>
      </c>
      <c r="H479">
        <v>90.17</v>
      </c>
      <c r="I479">
        <v>92.6</v>
      </c>
      <c r="J479">
        <v>95.11</v>
      </c>
      <c r="K479">
        <v>97.68</v>
      </c>
      <c r="L479">
        <v>100.32</v>
      </c>
      <c r="M479">
        <v>103.03</v>
      </c>
      <c r="N479">
        <v>105.81</v>
      </c>
      <c r="O479">
        <v>108.67</v>
      </c>
      <c r="P479">
        <v>0</v>
      </c>
      <c r="Q479" s="304">
        <v>1131</v>
      </c>
    </row>
    <row r="480" spans="2:17" hidden="1" outlineLevel="1">
      <c r="B480" t="s">
        <v>1152</v>
      </c>
      <c r="C480" t="s">
        <v>676</v>
      </c>
      <c r="D480">
        <v>131.1</v>
      </c>
      <c r="E480">
        <v>134.65</v>
      </c>
      <c r="F480">
        <v>138.28</v>
      </c>
      <c r="G480">
        <v>142.02000000000001</v>
      </c>
      <c r="H480">
        <v>145.85</v>
      </c>
      <c r="I480">
        <v>149.78</v>
      </c>
      <c r="J480">
        <v>153.83000000000001</v>
      </c>
      <c r="K480">
        <v>157.99</v>
      </c>
      <c r="L480">
        <v>162.26</v>
      </c>
      <c r="M480">
        <v>166.65</v>
      </c>
      <c r="N480">
        <v>171.15</v>
      </c>
      <c r="O480">
        <v>175.77</v>
      </c>
      <c r="P480">
        <v>0</v>
      </c>
      <c r="Q480" s="304">
        <v>1829</v>
      </c>
    </row>
    <row r="481" spans="2:17" hidden="1" outlineLevel="1">
      <c r="B481" t="s">
        <v>1153</v>
      </c>
      <c r="C481" t="s">
        <v>676</v>
      </c>
      <c r="D481">
        <v>165.93</v>
      </c>
      <c r="E481">
        <v>170.42</v>
      </c>
      <c r="F481">
        <v>175.02</v>
      </c>
      <c r="G481">
        <v>179.75</v>
      </c>
      <c r="H481">
        <v>184.59</v>
      </c>
      <c r="I481">
        <v>189.57</v>
      </c>
      <c r="J481">
        <v>194.7</v>
      </c>
      <c r="K481">
        <v>199.95</v>
      </c>
      <c r="L481">
        <v>205.36</v>
      </c>
      <c r="M481">
        <v>210.91</v>
      </c>
      <c r="N481">
        <v>216.61</v>
      </c>
      <c r="O481">
        <v>222.46</v>
      </c>
      <c r="P481">
        <v>0</v>
      </c>
      <c r="Q481" s="304">
        <v>2315</v>
      </c>
    </row>
    <row r="482" spans="2:17" hidden="1" outlineLevel="1">
      <c r="B482" t="s">
        <v>1154</v>
      </c>
      <c r="C482" t="s">
        <v>676</v>
      </c>
      <c r="D482">
        <v>96.36</v>
      </c>
      <c r="E482">
        <v>98.97</v>
      </c>
      <c r="F482">
        <v>101.64</v>
      </c>
      <c r="G482">
        <v>104.39</v>
      </c>
      <c r="H482">
        <v>107.2</v>
      </c>
      <c r="I482">
        <v>110.09</v>
      </c>
      <c r="J482">
        <v>113.07</v>
      </c>
      <c r="K482">
        <v>116.12</v>
      </c>
      <c r="L482">
        <v>119.26</v>
      </c>
      <c r="M482">
        <v>122.48</v>
      </c>
      <c r="N482">
        <v>125.79</v>
      </c>
      <c r="O482">
        <v>129.19</v>
      </c>
      <c r="P482">
        <v>0</v>
      </c>
      <c r="Q482" s="304">
        <v>1345</v>
      </c>
    </row>
    <row r="483" spans="2:17" hidden="1" outlineLevel="1">
      <c r="B483" t="s">
        <v>1155</v>
      </c>
      <c r="C483" t="s">
        <v>676</v>
      </c>
      <c r="D483">
        <v>57.06</v>
      </c>
      <c r="E483">
        <v>58.6</v>
      </c>
      <c r="F483">
        <v>60.19</v>
      </c>
      <c r="G483">
        <v>61.81</v>
      </c>
      <c r="H483">
        <v>63.48</v>
      </c>
      <c r="I483">
        <v>65.19</v>
      </c>
      <c r="J483">
        <v>66.959999999999994</v>
      </c>
      <c r="K483">
        <v>68.760000000000005</v>
      </c>
      <c r="L483">
        <v>70.62</v>
      </c>
      <c r="M483">
        <v>72.53</v>
      </c>
      <c r="N483">
        <v>74.489999999999995</v>
      </c>
      <c r="O483">
        <v>76.5</v>
      </c>
      <c r="P483">
        <v>0</v>
      </c>
      <c r="Q483">
        <v>796</v>
      </c>
    </row>
    <row r="484" spans="2:17" hidden="1" outlineLevel="1">
      <c r="B484" t="s">
        <v>1156</v>
      </c>
      <c r="C484" t="s">
        <v>676</v>
      </c>
      <c r="D484">
        <v>170.99</v>
      </c>
      <c r="E484">
        <v>175.61</v>
      </c>
      <c r="F484">
        <v>180.35</v>
      </c>
      <c r="G484">
        <v>185.22</v>
      </c>
      <c r="H484">
        <v>190.22</v>
      </c>
      <c r="I484">
        <v>195.35</v>
      </c>
      <c r="J484">
        <v>200.63</v>
      </c>
      <c r="K484">
        <v>206.05</v>
      </c>
      <c r="L484">
        <v>211.62</v>
      </c>
      <c r="M484">
        <v>217.34</v>
      </c>
      <c r="N484">
        <v>223.21</v>
      </c>
      <c r="O484">
        <v>229.24</v>
      </c>
      <c r="P484">
        <v>0</v>
      </c>
      <c r="Q484" s="304">
        <v>2386</v>
      </c>
    </row>
    <row r="485" spans="2:17" hidden="1" outlineLevel="1">
      <c r="B485" t="s">
        <v>1157</v>
      </c>
      <c r="C485" t="s">
        <v>676</v>
      </c>
      <c r="D485">
        <v>114.65</v>
      </c>
      <c r="E485">
        <v>117.75</v>
      </c>
      <c r="F485">
        <v>120.93</v>
      </c>
      <c r="G485">
        <v>124.2</v>
      </c>
      <c r="H485">
        <v>127.55</v>
      </c>
      <c r="I485">
        <v>130.99</v>
      </c>
      <c r="J485">
        <v>134.53</v>
      </c>
      <c r="K485">
        <v>138.16</v>
      </c>
      <c r="L485">
        <v>141.88999999999999</v>
      </c>
      <c r="M485">
        <v>145.72999999999999</v>
      </c>
      <c r="N485">
        <v>149.66999999999999</v>
      </c>
      <c r="O485">
        <v>153.71</v>
      </c>
      <c r="P485">
        <v>0</v>
      </c>
      <c r="Q485" s="304">
        <v>1600</v>
      </c>
    </row>
    <row r="486" spans="2:17" hidden="1" outlineLevel="1">
      <c r="B486" t="s">
        <v>1158</v>
      </c>
      <c r="C486" t="s">
        <v>676</v>
      </c>
      <c r="D486">
        <v>87.03</v>
      </c>
      <c r="E486">
        <v>89.38</v>
      </c>
      <c r="F486">
        <v>91.79</v>
      </c>
      <c r="G486">
        <v>94.27</v>
      </c>
      <c r="H486">
        <v>96.81</v>
      </c>
      <c r="I486">
        <v>99.43</v>
      </c>
      <c r="J486">
        <v>102.11</v>
      </c>
      <c r="K486">
        <v>104.87</v>
      </c>
      <c r="L486">
        <v>107.71</v>
      </c>
      <c r="M486">
        <v>110.62</v>
      </c>
      <c r="N486">
        <v>113.61</v>
      </c>
      <c r="O486">
        <v>116.68</v>
      </c>
      <c r="P486">
        <v>0</v>
      </c>
      <c r="Q486" s="304">
        <v>1214</v>
      </c>
    </row>
    <row r="487" spans="2:17" hidden="1" outlineLevel="1">
      <c r="B487" t="s">
        <v>1159</v>
      </c>
      <c r="C487" t="s">
        <v>676</v>
      </c>
      <c r="D487">
        <v>124.77</v>
      </c>
      <c r="E487">
        <v>128.13999999999999</v>
      </c>
      <c r="F487">
        <v>131.6</v>
      </c>
      <c r="G487">
        <v>135.16</v>
      </c>
      <c r="H487">
        <v>138.81</v>
      </c>
      <c r="I487">
        <v>142.55000000000001</v>
      </c>
      <c r="J487">
        <v>146.4</v>
      </c>
      <c r="K487">
        <v>150.36000000000001</v>
      </c>
      <c r="L487">
        <v>154.41999999999999</v>
      </c>
      <c r="M487">
        <v>158.6</v>
      </c>
      <c r="N487">
        <v>162.88</v>
      </c>
      <c r="O487">
        <v>167.28</v>
      </c>
      <c r="P487">
        <v>0</v>
      </c>
      <c r="Q487" s="304">
        <v>1741</v>
      </c>
    </row>
    <row r="488" spans="2:17" hidden="1" outlineLevel="1">
      <c r="B488" t="s">
        <v>1160</v>
      </c>
      <c r="C488" t="s">
        <v>676</v>
      </c>
      <c r="D488">
        <v>133.05000000000001</v>
      </c>
      <c r="E488">
        <v>136.65</v>
      </c>
      <c r="F488">
        <v>140.34</v>
      </c>
      <c r="G488">
        <v>144.13</v>
      </c>
      <c r="H488">
        <v>148.02000000000001</v>
      </c>
      <c r="I488">
        <v>152.01</v>
      </c>
      <c r="J488">
        <v>156.12</v>
      </c>
      <c r="K488">
        <v>160.33000000000001</v>
      </c>
      <c r="L488">
        <v>164.67</v>
      </c>
      <c r="M488">
        <v>169.12</v>
      </c>
      <c r="N488">
        <v>173.69</v>
      </c>
      <c r="O488">
        <v>178.38</v>
      </c>
      <c r="P488">
        <v>0</v>
      </c>
      <c r="Q488" s="304">
        <v>1857</v>
      </c>
    </row>
    <row r="489" spans="2:17" hidden="1" outlineLevel="1">
      <c r="B489" t="s">
        <v>1161</v>
      </c>
      <c r="C489" t="s">
        <v>676</v>
      </c>
      <c r="D489">
        <v>85.49</v>
      </c>
      <c r="E489">
        <v>87.8</v>
      </c>
      <c r="F489">
        <v>90.17</v>
      </c>
      <c r="G489">
        <v>92.61</v>
      </c>
      <c r="H489">
        <v>95.1</v>
      </c>
      <c r="I489">
        <v>97.67</v>
      </c>
      <c r="J489">
        <v>100.31</v>
      </c>
      <c r="K489">
        <v>103.02</v>
      </c>
      <c r="L489">
        <v>105.8</v>
      </c>
      <c r="M489">
        <v>108.66</v>
      </c>
      <c r="N489">
        <v>111.6</v>
      </c>
      <c r="O489">
        <v>114.61</v>
      </c>
      <c r="P489">
        <v>0</v>
      </c>
      <c r="Q489" s="304">
        <v>1193</v>
      </c>
    </row>
    <row r="490" spans="2:17" hidden="1" outlineLevel="1">
      <c r="B490" t="s">
        <v>1162</v>
      </c>
      <c r="C490" t="s">
        <v>676</v>
      </c>
      <c r="D490">
        <v>127.02</v>
      </c>
      <c r="E490">
        <v>130.46</v>
      </c>
      <c r="F490">
        <v>133.97999999999999</v>
      </c>
      <c r="G490">
        <v>137.6</v>
      </c>
      <c r="H490">
        <v>141.31</v>
      </c>
      <c r="I490">
        <v>145.12</v>
      </c>
      <c r="J490">
        <v>149.05000000000001</v>
      </c>
      <c r="K490">
        <v>153.07</v>
      </c>
      <c r="L490">
        <v>157.21</v>
      </c>
      <c r="M490">
        <v>161.46</v>
      </c>
      <c r="N490">
        <v>165.82</v>
      </c>
      <c r="O490">
        <v>170.3</v>
      </c>
      <c r="P490">
        <v>0</v>
      </c>
      <c r="Q490" s="304">
        <v>1772</v>
      </c>
    </row>
    <row r="491" spans="2:17" hidden="1" outlineLevel="1">
      <c r="B491" t="s">
        <v>1163</v>
      </c>
      <c r="C491" t="s">
        <v>676</v>
      </c>
      <c r="D491">
        <v>85.49</v>
      </c>
      <c r="E491">
        <v>87.8</v>
      </c>
      <c r="F491">
        <v>90.17</v>
      </c>
      <c r="G491">
        <v>92.61</v>
      </c>
      <c r="H491">
        <v>95.1</v>
      </c>
      <c r="I491">
        <v>97.67</v>
      </c>
      <c r="J491">
        <v>100.31</v>
      </c>
      <c r="K491">
        <v>103.02</v>
      </c>
      <c r="L491">
        <v>105.8</v>
      </c>
      <c r="M491">
        <v>108.66</v>
      </c>
      <c r="N491">
        <v>111.6</v>
      </c>
      <c r="O491">
        <v>114.61</v>
      </c>
      <c r="P491">
        <v>0</v>
      </c>
      <c r="Q491" s="304">
        <v>1193</v>
      </c>
    </row>
    <row r="492" spans="2:17" hidden="1" outlineLevel="1">
      <c r="B492" t="s">
        <v>1164</v>
      </c>
      <c r="C492" t="s">
        <v>676</v>
      </c>
      <c r="D492">
        <v>102.47</v>
      </c>
      <c r="E492">
        <v>105.24</v>
      </c>
      <c r="F492">
        <v>108.08</v>
      </c>
      <c r="G492">
        <v>111.01</v>
      </c>
      <c r="H492">
        <v>114</v>
      </c>
      <c r="I492">
        <v>117.07</v>
      </c>
      <c r="J492">
        <v>120.24</v>
      </c>
      <c r="K492">
        <v>123.49</v>
      </c>
      <c r="L492">
        <v>126.82</v>
      </c>
      <c r="M492">
        <v>130.25</v>
      </c>
      <c r="N492">
        <v>133.77000000000001</v>
      </c>
      <c r="O492">
        <v>137.38999999999999</v>
      </c>
      <c r="P492">
        <v>0</v>
      </c>
      <c r="Q492" s="304">
        <v>1430</v>
      </c>
    </row>
    <row r="493" spans="2:17" hidden="1" outlineLevel="1">
      <c r="B493" t="s">
        <v>1165</v>
      </c>
      <c r="C493" t="s">
        <v>676</v>
      </c>
      <c r="D493">
        <v>139.77000000000001</v>
      </c>
      <c r="E493">
        <v>143.55000000000001</v>
      </c>
      <c r="F493">
        <v>147.41999999999999</v>
      </c>
      <c r="G493">
        <v>151.41</v>
      </c>
      <c r="H493">
        <v>155.49</v>
      </c>
      <c r="I493">
        <v>159.68</v>
      </c>
      <c r="J493">
        <v>164</v>
      </c>
      <c r="K493">
        <v>168.43</v>
      </c>
      <c r="L493">
        <v>172.98</v>
      </c>
      <c r="M493">
        <v>177.66</v>
      </c>
      <c r="N493">
        <v>182.46</v>
      </c>
      <c r="O493">
        <v>187.39</v>
      </c>
      <c r="P493">
        <v>0</v>
      </c>
      <c r="Q493" s="304">
        <v>1950</v>
      </c>
    </row>
    <row r="494" spans="2:17" hidden="1" outlineLevel="1">
      <c r="B494" t="s">
        <v>1166</v>
      </c>
      <c r="C494" t="s">
        <v>676</v>
      </c>
      <c r="D494">
        <v>127.63</v>
      </c>
      <c r="E494">
        <v>131.07</v>
      </c>
      <c r="F494">
        <v>134.61000000000001</v>
      </c>
      <c r="G494">
        <v>138.25</v>
      </c>
      <c r="H494">
        <v>141.97999999999999</v>
      </c>
      <c r="I494">
        <v>145.81</v>
      </c>
      <c r="J494">
        <v>149.75</v>
      </c>
      <c r="K494">
        <v>153.79</v>
      </c>
      <c r="L494">
        <v>157.94999999999999</v>
      </c>
      <c r="M494">
        <v>162.22</v>
      </c>
      <c r="N494">
        <v>166.61</v>
      </c>
      <c r="O494">
        <v>171.11</v>
      </c>
      <c r="P494">
        <v>0</v>
      </c>
      <c r="Q494" s="304">
        <v>1781</v>
      </c>
    </row>
    <row r="495" spans="2:17" hidden="1" outlineLevel="1">
      <c r="B495" t="s">
        <v>1167</v>
      </c>
      <c r="C495" t="s">
        <v>676</v>
      </c>
      <c r="D495">
        <v>173.73</v>
      </c>
      <c r="E495">
        <v>178.43</v>
      </c>
      <c r="F495">
        <v>183.25</v>
      </c>
      <c r="G495">
        <v>188.2</v>
      </c>
      <c r="H495">
        <v>193.27</v>
      </c>
      <c r="I495">
        <v>198.49</v>
      </c>
      <c r="J495">
        <v>203.85</v>
      </c>
      <c r="K495">
        <v>209.36</v>
      </c>
      <c r="L495">
        <v>215.02</v>
      </c>
      <c r="M495">
        <v>220.83</v>
      </c>
      <c r="N495">
        <v>226.8</v>
      </c>
      <c r="O495">
        <v>232.92</v>
      </c>
      <c r="P495">
        <v>0</v>
      </c>
      <c r="Q495" s="304">
        <v>2424</v>
      </c>
    </row>
    <row r="496" spans="2:17" hidden="1" outlineLevel="1">
      <c r="B496" t="s">
        <v>1168</v>
      </c>
      <c r="C496" t="s">
        <v>676</v>
      </c>
      <c r="D496">
        <v>107.55</v>
      </c>
      <c r="E496">
        <v>110.46</v>
      </c>
      <c r="F496">
        <v>113.44</v>
      </c>
      <c r="G496">
        <v>116.5</v>
      </c>
      <c r="H496">
        <v>119.65</v>
      </c>
      <c r="I496">
        <v>122.87</v>
      </c>
      <c r="J496">
        <v>126.19</v>
      </c>
      <c r="K496">
        <v>129.6</v>
      </c>
      <c r="L496">
        <v>133.11000000000001</v>
      </c>
      <c r="M496">
        <v>136.69999999999999</v>
      </c>
      <c r="N496">
        <v>140.4</v>
      </c>
      <c r="O496">
        <v>144.19</v>
      </c>
      <c r="P496">
        <v>0</v>
      </c>
      <c r="Q496" s="304">
        <v>1501</v>
      </c>
    </row>
    <row r="497" spans="2:17" hidden="1" outlineLevel="1">
      <c r="B497" t="s">
        <v>1169</v>
      </c>
      <c r="C497" t="s">
        <v>676</v>
      </c>
      <c r="D497">
        <v>123.62</v>
      </c>
      <c r="E497">
        <v>126.96</v>
      </c>
      <c r="F497">
        <v>130.38</v>
      </c>
      <c r="G497">
        <v>133.91</v>
      </c>
      <c r="H497">
        <v>137.52000000000001</v>
      </c>
      <c r="I497">
        <v>141.22999999999999</v>
      </c>
      <c r="J497">
        <v>145.05000000000001</v>
      </c>
      <c r="K497">
        <v>148.96</v>
      </c>
      <c r="L497">
        <v>152.99</v>
      </c>
      <c r="M497">
        <v>157.13</v>
      </c>
      <c r="N497">
        <v>161.37</v>
      </c>
      <c r="O497">
        <v>165.73</v>
      </c>
      <c r="P497">
        <v>0</v>
      </c>
      <c r="Q497" s="304">
        <v>1725</v>
      </c>
    </row>
    <row r="498" spans="2:17" hidden="1" outlineLevel="1">
      <c r="B498" t="s">
        <v>1170</v>
      </c>
      <c r="C498" t="s">
        <v>676</v>
      </c>
      <c r="D498">
        <v>146.24</v>
      </c>
      <c r="E498">
        <v>150.19</v>
      </c>
      <c r="F498">
        <v>154.25</v>
      </c>
      <c r="G498">
        <v>158.41999999999999</v>
      </c>
      <c r="H498">
        <v>162.69</v>
      </c>
      <c r="I498">
        <v>167.07</v>
      </c>
      <c r="J498">
        <v>171.59</v>
      </c>
      <c r="K498">
        <v>176.23</v>
      </c>
      <c r="L498">
        <v>180.99</v>
      </c>
      <c r="M498">
        <v>185.88</v>
      </c>
      <c r="N498">
        <v>190.91</v>
      </c>
      <c r="O498">
        <v>196.06</v>
      </c>
      <c r="P498">
        <v>0</v>
      </c>
      <c r="Q498" s="304">
        <v>2041</v>
      </c>
    </row>
    <row r="499" spans="2:17" hidden="1" outlineLevel="1">
      <c r="B499" t="s">
        <v>1171</v>
      </c>
      <c r="C499" t="s">
        <v>676</v>
      </c>
      <c r="D499">
        <v>275.77</v>
      </c>
      <c r="E499">
        <v>283.22000000000003</v>
      </c>
      <c r="F499">
        <v>290.87</v>
      </c>
      <c r="G499">
        <v>298.73</v>
      </c>
      <c r="H499">
        <v>306.77999999999997</v>
      </c>
      <c r="I499">
        <v>315.06</v>
      </c>
      <c r="J499">
        <v>323.58</v>
      </c>
      <c r="K499">
        <v>332.31</v>
      </c>
      <c r="L499">
        <v>341.3</v>
      </c>
      <c r="M499">
        <v>350.52</v>
      </c>
      <c r="N499">
        <v>360</v>
      </c>
      <c r="O499">
        <v>369.72</v>
      </c>
      <c r="P499">
        <v>0</v>
      </c>
      <c r="Q499" s="304">
        <v>3848</v>
      </c>
    </row>
    <row r="500" spans="2:17" hidden="1" outlineLevel="1">
      <c r="B500" t="s">
        <v>1172</v>
      </c>
      <c r="C500" t="s">
        <v>676</v>
      </c>
      <c r="D500">
        <v>220.61</v>
      </c>
      <c r="E500">
        <v>226.58</v>
      </c>
      <c r="F500">
        <v>232.69</v>
      </c>
      <c r="G500">
        <v>238.98</v>
      </c>
      <c r="H500">
        <v>245.43</v>
      </c>
      <c r="I500">
        <v>252.05</v>
      </c>
      <c r="J500">
        <v>258.86</v>
      </c>
      <c r="K500">
        <v>265.85000000000002</v>
      </c>
      <c r="L500">
        <v>273.04000000000002</v>
      </c>
      <c r="M500">
        <v>280.42</v>
      </c>
      <c r="N500">
        <v>288</v>
      </c>
      <c r="O500">
        <v>295.77999999999997</v>
      </c>
      <c r="P500">
        <v>0</v>
      </c>
      <c r="Q500" s="304">
        <v>3078</v>
      </c>
    </row>
    <row r="501" spans="2:17" hidden="1" outlineLevel="1">
      <c r="B501" t="s">
        <v>1173</v>
      </c>
      <c r="C501" t="s">
        <v>676</v>
      </c>
      <c r="D501">
        <v>127.69</v>
      </c>
      <c r="E501">
        <v>131.13999999999999</v>
      </c>
      <c r="F501">
        <v>134.68</v>
      </c>
      <c r="G501">
        <v>138.32</v>
      </c>
      <c r="H501">
        <v>142.05000000000001</v>
      </c>
      <c r="I501">
        <v>145.88</v>
      </c>
      <c r="J501">
        <v>149.83000000000001</v>
      </c>
      <c r="K501">
        <v>153.87</v>
      </c>
      <c r="L501">
        <v>158.03</v>
      </c>
      <c r="M501">
        <v>162.31</v>
      </c>
      <c r="N501">
        <v>166.69</v>
      </c>
      <c r="O501">
        <v>171.19</v>
      </c>
      <c r="P501">
        <v>0</v>
      </c>
      <c r="Q501" s="304">
        <v>1782</v>
      </c>
    </row>
    <row r="502" spans="2:17" hidden="1" outlineLevel="1">
      <c r="B502" t="s">
        <v>1174</v>
      </c>
      <c r="C502" t="s">
        <v>676</v>
      </c>
      <c r="D502">
        <v>105.57</v>
      </c>
      <c r="E502">
        <v>108.42</v>
      </c>
      <c r="F502">
        <v>111.35</v>
      </c>
      <c r="G502">
        <v>114.36</v>
      </c>
      <c r="H502">
        <v>117.44</v>
      </c>
      <c r="I502">
        <v>120.61</v>
      </c>
      <c r="J502">
        <v>123.87</v>
      </c>
      <c r="K502">
        <v>127.21</v>
      </c>
      <c r="L502">
        <v>130.65</v>
      </c>
      <c r="M502">
        <v>134.18</v>
      </c>
      <c r="N502">
        <v>137.81</v>
      </c>
      <c r="O502">
        <v>141.53</v>
      </c>
      <c r="P502">
        <v>0</v>
      </c>
      <c r="Q502" s="304">
        <v>1473</v>
      </c>
    </row>
    <row r="503" spans="2:17" hidden="1" outlineLevel="1">
      <c r="B503" t="s">
        <v>1175</v>
      </c>
      <c r="C503" t="s">
        <v>676</v>
      </c>
      <c r="D503">
        <v>128.97999999999999</v>
      </c>
      <c r="E503">
        <v>132.47</v>
      </c>
      <c r="F503">
        <v>136.04</v>
      </c>
      <c r="G503">
        <v>139.72</v>
      </c>
      <c r="H503">
        <v>143.49</v>
      </c>
      <c r="I503">
        <v>147.36000000000001</v>
      </c>
      <c r="J503">
        <v>151.34</v>
      </c>
      <c r="K503">
        <v>155.43</v>
      </c>
      <c r="L503">
        <v>159.63</v>
      </c>
      <c r="M503">
        <v>163.94</v>
      </c>
      <c r="N503">
        <v>168.38</v>
      </c>
      <c r="O503">
        <v>172.92</v>
      </c>
      <c r="P503">
        <v>0</v>
      </c>
      <c r="Q503" s="304">
        <v>1800</v>
      </c>
    </row>
    <row r="504" spans="2:17" hidden="1" outlineLevel="1">
      <c r="B504" t="s">
        <v>1176</v>
      </c>
      <c r="C504" t="s">
        <v>676</v>
      </c>
      <c r="D504">
        <v>85.49</v>
      </c>
      <c r="E504">
        <v>87.8</v>
      </c>
      <c r="F504">
        <v>90.17</v>
      </c>
      <c r="G504">
        <v>92.61</v>
      </c>
      <c r="H504">
        <v>95.1</v>
      </c>
      <c r="I504">
        <v>97.67</v>
      </c>
      <c r="J504">
        <v>100.31</v>
      </c>
      <c r="K504">
        <v>103.02</v>
      </c>
      <c r="L504">
        <v>105.8</v>
      </c>
      <c r="M504">
        <v>108.66</v>
      </c>
      <c r="N504">
        <v>111.6</v>
      </c>
      <c r="O504">
        <v>114.61</v>
      </c>
      <c r="P504">
        <v>0</v>
      </c>
      <c r="Q504" s="304">
        <v>1193</v>
      </c>
    </row>
    <row r="505" spans="2:17" hidden="1" outlineLevel="1">
      <c r="B505" t="s">
        <v>1177</v>
      </c>
      <c r="C505" t="s">
        <v>676</v>
      </c>
      <c r="D505">
        <v>152.61000000000001</v>
      </c>
      <c r="E505">
        <v>156.72999999999999</v>
      </c>
      <c r="F505">
        <v>160.96</v>
      </c>
      <c r="G505">
        <v>165.32</v>
      </c>
      <c r="H505">
        <v>169.77</v>
      </c>
      <c r="I505">
        <v>174.35</v>
      </c>
      <c r="J505">
        <v>179.07</v>
      </c>
      <c r="K505">
        <v>183.9</v>
      </c>
      <c r="L505">
        <v>188.87</v>
      </c>
      <c r="M505">
        <v>193.98</v>
      </c>
      <c r="N505">
        <v>199.22</v>
      </c>
      <c r="O505">
        <v>204.6</v>
      </c>
      <c r="P505">
        <v>0</v>
      </c>
      <c r="Q505" s="304">
        <v>2129</v>
      </c>
    </row>
    <row r="506" spans="2:17" hidden="1" outlineLevel="1">
      <c r="B506" t="s">
        <v>1178</v>
      </c>
      <c r="C506" t="s">
        <v>676</v>
      </c>
      <c r="D506">
        <v>85.49</v>
      </c>
      <c r="E506">
        <v>87.8</v>
      </c>
      <c r="F506">
        <v>90.17</v>
      </c>
      <c r="G506">
        <v>92.61</v>
      </c>
      <c r="H506">
        <v>95.1</v>
      </c>
      <c r="I506">
        <v>97.67</v>
      </c>
      <c r="J506">
        <v>100.31</v>
      </c>
      <c r="K506">
        <v>103.02</v>
      </c>
      <c r="L506">
        <v>105.8</v>
      </c>
      <c r="M506">
        <v>108.66</v>
      </c>
      <c r="N506">
        <v>111.6</v>
      </c>
      <c r="O506">
        <v>114.61</v>
      </c>
      <c r="P506">
        <v>0</v>
      </c>
      <c r="Q506" s="304">
        <v>1193</v>
      </c>
    </row>
    <row r="507" spans="2:17" hidden="1" outlineLevel="1">
      <c r="B507" t="s">
        <v>1179</v>
      </c>
      <c r="C507" t="s">
        <v>676</v>
      </c>
      <c r="D507">
        <v>113.2</v>
      </c>
      <c r="E507">
        <v>116.26</v>
      </c>
      <c r="F507">
        <v>119.4</v>
      </c>
      <c r="G507">
        <v>122.63</v>
      </c>
      <c r="H507">
        <v>125.94</v>
      </c>
      <c r="I507">
        <v>129.33000000000001</v>
      </c>
      <c r="J507">
        <v>132.83000000000001</v>
      </c>
      <c r="K507">
        <v>136.41999999999999</v>
      </c>
      <c r="L507">
        <v>140.1</v>
      </c>
      <c r="M507">
        <v>143.88999999999999</v>
      </c>
      <c r="N507">
        <v>147.78</v>
      </c>
      <c r="O507">
        <v>151.77000000000001</v>
      </c>
      <c r="P507">
        <v>0</v>
      </c>
      <c r="Q507" s="304">
        <v>1580</v>
      </c>
    </row>
    <row r="508" spans="2:17" hidden="1" outlineLevel="1">
      <c r="B508" t="s">
        <v>1180</v>
      </c>
      <c r="C508" t="s">
        <v>676</v>
      </c>
      <c r="D508">
        <v>122.23</v>
      </c>
      <c r="E508">
        <v>125.54</v>
      </c>
      <c r="F508">
        <v>128.93</v>
      </c>
      <c r="G508">
        <v>132.41</v>
      </c>
      <c r="H508">
        <v>135.97999999999999</v>
      </c>
      <c r="I508">
        <v>139.65</v>
      </c>
      <c r="J508">
        <v>143.43</v>
      </c>
      <c r="K508">
        <v>147.30000000000001</v>
      </c>
      <c r="L508">
        <v>151.28</v>
      </c>
      <c r="M508">
        <v>155.37</v>
      </c>
      <c r="N508">
        <v>159.57</v>
      </c>
      <c r="O508">
        <v>163.88</v>
      </c>
      <c r="P508">
        <v>0</v>
      </c>
      <c r="Q508" s="304">
        <v>1706</v>
      </c>
    </row>
    <row r="509" spans="2:17" hidden="1" outlineLevel="1">
      <c r="B509" t="s">
        <v>1181</v>
      </c>
      <c r="C509" t="s">
        <v>676</v>
      </c>
      <c r="D509">
        <v>109.72</v>
      </c>
      <c r="E509">
        <v>112.69</v>
      </c>
      <c r="F509">
        <v>115.73</v>
      </c>
      <c r="G509">
        <v>118.86</v>
      </c>
      <c r="H509">
        <v>122.06</v>
      </c>
      <c r="I509">
        <v>125.36</v>
      </c>
      <c r="J509">
        <v>128.75</v>
      </c>
      <c r="K509">
        <v>132.22</v>
      </c>
      <c r="L509">
        <v>135.80000000000001</v>
      </c>
      <c r="M509">
        <v>139.47</v>
      </c>
      <c r="N509">
        <v>143.24</v>
      </c>
      <c r="O509">
        <v>147.1</v>
      </c>
      <c r="P509">
        <v>0</v>
      </c>
      <c r="Q509" s="304">
        <v>1531</v>
      </c>
    </row>
    <row r="510" spans="2:17" hidden="1" outlineLevel="1">
      <c r="B510" t="s">
        <v>1182</v>
      </c>
      <c r="C510" t="s">
        <v>676</v>
      </c>
      <c r="D510">
        <v>114.71</v>
      </c>
      <c r="E510">
        <v>117.81</v>
      </c>
      <c r="F510">
        <v>120.99</v>
      </c>
      <c r="G510">
        <v>124.27</v>
      </c>
      <c r="H510">
        <v>127.62</v>
      </c>
      <c r="I510">
        <v>131.06</v>
      </c>
      <c r="J510">
        <v>134.6</v>
      </c>
      <c r="K510">
        <v>138.24</v>
      </c>
      <c r="L510">
        <v>141.97</v>
      </c>
      <c r="M510">
        <v>145.81</v>
      </c>
      <c r="N510">
        <v>149.75</v>
      </c>
      <c r="O510">
        <v>153.80000000000001</v>
      </c>
      <c r="P510">
        <v>0</v>
      </c>
      <c r="Q510" s="304">
        <v>1601</v>
      </c>
    </row>
    <row r="511" spans="2:17" hidden="1" outlineLevel="1">
      <c r="B511" t="s">
        <v>1183</v>
      </c>
      <c r="C511" t="s">
        <v>676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2:17" hidden="1" outlineLevel="1">
      <c r="B512" t="s">
        <v>1184</v>
      </c>
      <c r="C512" t="s">
        <v>676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hidden="1" outlineLevel="1">
      <c r="B513" t="s">
        <v>1185</v>
      </c>
      <c r="C513" t="s">
        <v>676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hidden="1" outlineLevel="1">
      <c r="B514" t="s">
        <v>1186</v>
      </c>
      <c r="C514" t="s">
        <v>676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hidden="1" outlineLevel="1">
      <c r="B515" t="s">
        <v>1187</v>
      </c>
      <c r="C515" t="s">
        <v>676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hidden="1" outlineLevel="1">
      <c r="B516" t="s">
        <v>1188</v>
      </c>
      <c r="C516" t="s">
        <v>676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hidden="1" outlineLevel="1">
      <c r="B517" t="s">
        <v>1189</v>
      </c>
      <c r="C517" t="s">
        <v>676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hidden="1" outlineLevel="1">
      <c r="B518" t="s">
        <v>1190</v>
      </c>
      <c r="C518" t="s">
        <v>676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hidden="1" outlineLevel="1">
      <c r="B519" t="s">
        <v>1191</v>
      </c>
      <c r="C519" t="s">
        <v>676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hidden="1" outlineLevel="1">
      <c r="B520" t="s">
        <v>1192</v>
      </c>
      <c r="C520" t="s">
        <v>676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hidden="1" outlineLevel="1">
      <c r="B521" t="s">
        <v>1193</v>
      </c>
      <c r="C521" t="s">
        <v>676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hidden="1" outlineLevel="1">
      <c r="B522" t="s">
        <v>1194</v>
      </c>
      <c r="C522" t="s">
        <v>676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1195</v>
      </c>
    </row>
    <row r="524" spans="1:17">
      <c r="B524" t="s">
        <v>1196</v>
      </c>
      <c r="C524" t="s">
        <v>676</v>
      </c>
      <c r="D524">
        <v>147.82</v>
      </c>
      <c r="E524">
        <v>151.82</v>
      </c>
      <c r="F524">
        <v>155.91999999999999</v>
      </c>
      <c r="G524">
        <v>160.13</v>
      </c>
      <c r="H524">
        <v>164.45</v>
      </c>
      <c r="I524">
        <v>168.88</v>
      </c>
      <c r="J524">
        <v>173.45</v>
      </c>
      <c r="K524">
        <v>178.13</v>
      </c>
      <c r="L524">
        <v>182.95</v>
      </c>
      <c r="M524">
        <v>187.89</v>
      </c>
      <c r="N524">
        <v>192.97</v>
      </c>
      <c r="O524">
        <v>198.18</v>
      </c>
      <c r="P524">
        <v>0</v>
      </c>
      <c r="Q524" s="304">
        <v>2063</v>
      </c>
    </row>
    <row r="525" spans="1:17">
      <c r="B525" t="s">
        <v>1197</v>
      </c>
      <c r="C525" t="s">
        <v>676</v>
      </c>
      <c r="D525">
        <v>89.66</v>
      </c>
      <c r="E525">
        <v>92.08</v>
      </c>
      <c r="F525">
        <v>94.57</v>
      </c>
      <c r="G525">
        <v>97.13</v>
      </c>
      <c r="H525">
        <v>99.74</v>
      </c>
      <c r="I525">
        <v>102.43</v>
      </c>
      <c r="J525">
        <v>105.2</v>
      </c>
      <c r="K525">
        <v>108.04</v>
      </c>
      <c r="L525">
        <v>110.97</v>
      </c>
      <c r="M525">
        <v>113.97</v>
      </c>
      <c r="N525">
        <v>117.05</v>
      </c>
      <c r="O525">
        <v>120.21</v>
      </c>
      <c r="P525">
        <v>0</v>
      </c>
      <c r="Q525" s="304">
        <v>1251</v>
      </c>
    </row>
    <row r="526" spans="1:17">
      <c r="B526" t="s">
        <v>1198</v>
      </c>
      <c r="C526" t="s">
        <v>676</v>
      </c>
      <c r="D526">
        <v>162.12</v>
      </c>
      <c r="E526">
        <v>166.5</v>
      </c>
      <c r="F526">
        <v>171</v>
      </c>
      <c r="G526">
        <v>175.62</v>
      </c>
      <c r="H526">
        <v>180.35</v>
      </c>
      <c r="I526">
        <v>185.22</v>
      </c>
      <c r="J526">
        <v>190.23</v>
      </c>
      <c r="K526">
        <v>195.36</v>
      </c>
      <c r="L526">
        <v>200.64</v>
      </c>
      <c r="M526">
        <v>206.07</v>
      </c>
      <c r="N526">
        <v>211.64</v>
      </c>
      <c r="O526">
        <v>217.35</v>
      </c>
      <c r="P526">
        <v>0</v>
      </c>
      <c r="Q526" s="304">
        <v>2262</v>
      </c>
    </row>
    <row r="527" spans="1:17">
      <c r="B527" t="s">
        <v>1199</v>
      </c>
      <c r="C527" t="s">
        <v>676</v>
      </c>
      <c r="D527">
        <v>89.66</v>
      </c>
      <c r="E527">
        <v>92.08</v>
      </c>
      <c r="F527">
        <v>94.57</v>
      </c>
      <c r="G527">
        <v>97.13</v>
      </c>
      <c r="H527">
        <v>99.74</v>
      </c>
      <c r="I527">
        <v>102.43</v>
      </c>
      <c r="J527">
        <v>105.2</v>
      </c>
      <c r="K527">
        <v>108.04</v>
      </c>
      <c r="L527">
        <v>110.97</v>
      </c>
      <c r="M527">
        <v>113.97</v>
      </c>
      <c r="N527">
        <v>117.05</v>
      </c>
      <c r="O527">
        <v>120.21</v>
      </c>
      <c r="P527">
        <v>0</v>
      </c>
      <c r="Q527" s="304">
        <v>1251</v>
      </c>
    </row>
    <row r="528" spans="1:17">
      <c r="B528" t="s">
        <v>1200</v>
      </c>
      <c r="C528" t="s">
        <v>676</v>
      </c>
      <c r="D528">
        <v>119.03</v>
      </c>
      <c r="E528">
        <v>122.25</v>
      </c>
      <c r="F528">
        <v>125.55</v>
      </c>
      <c r="G528">
        <v>128.94</v>
      </c>
      <c r="H528">
        <v>132.41999999999999</v>
      </c>
      <c r="I528">
        <v>135.99</v>
      </c>
      <c r="J528">
        <v>139.66999999999999</v>
      </c>
      <c r="K528">
        <v>143.44</v>
      </c>
      <c r="L528">
        <v>147.31</v>
      </c>
      <c r="M528">
        <v>151.30000000000001</v>
      </c>
      <c r="N528">
        <v>155.38999999999999</v>
      </c>
      <c r="O528">
        <v>159.58000000000001</v>
      </c>
      <c r="P528">
        <v>0</v>
      </c>
      <c r="Q528" s="304">
        <v>1661</v>
      </c>
    </row>
    <row r="529" spans="2:17">
      <c r="B529" t="s">
        <v>1201</v>
      </c>
      <c r="C529" t="s">
        <v>676</v>
      </c>
      <c r="D529">
        <v>73.17</v>
      </c>
      <c r="E529">
        <v>75.150000000000006</v>
      </c>
      <c r="F529">
        <v>77.180000000000007</v>
      </c>
      <c r="G529">
        <v>79.260000000000005</v>
      </c>
      <c r="H529">
        <v>81.400000000000006</v>
      </c>
      <c r="I529">
        <v>83.6</v>
      </c>
      <c r="J529">
        <v>85.86</v>
      </c>
      <c r="K529">
        <v>88.17</v>
      </c>
      <c r="L529">
        <v>90.56</v>
      </c>
      <c r="M529">
        <v>93.01</v>
      </c>
      <c r="N529">
        <v>95.52</v>
      </c>
      <c r="O529">
        <v>98.1</v>
      </c>
      <c r="P529">
        <v>0</v>
      </c>
      <c r="Q529" s="304">
        <v>1021</v>
      </c>
    </row>
    <row r="530" spans="2:17">
      <c r="B530" t="s">
        <v>1202</v>
      </c>
      <c r="C530" t="s">
        <v>676</v>
      </c>
      <c r="D530">
        <v>135.5</v>
      </c>
      <c r="E530">
        <v>139.16</v>
      </c>
      <c r="F530">
        <v>142.91999999999999</v>
      </c>
      <c r="G530">
        <v>146.78</v>
      </c>
      <c r="H530">
        <v>150.74</v>
      </c>
      <c r="I530">
        <v>154.81</v>
      </c>
      <c r="J530">
        <v>158.99</v>
      </c>
      <c r="K530">
        <v>163.29</v>
      </c>
      <c r="L530">
        <v>167.7</v>
      </c>
      <c r="M530">
        <v>172.23</v>
      </c>
      <c r="N530">
        <v>176.89</v>
      </c>
      <c r="O530">
        <v>181.67</v>
      </c>
      <c r="P530">
        <v>0</v>
      </c>
      <c r="Q530" s="304">
        <v>1891</v>
      </c>
    </row>
    <row r="531" spans="2:17">
      <c r="B531" t="s">
        <v>1203</v>
      </c>
      <c r="C531" t="s">
        <v>676</v>
      </c>
      <c r="D531">
        <v>135.69</v>
      </c>
      <c r="E531">
        <v>139.35</v>
      </c>
      <c r="F531">
        <v>143.11000000000001</v>
      </c>
      <c r="G531">
        <v>146.97999999999999</v>
      </c>
      <c r="H531">
        <v>150.94999999999999</v>
      </c>
      <c r="I531">
        <v>155.02000000000001</v>
      </c>
      <c r="J531">
        <v>159.21</v>
      </c>
      <c r="K531">
        <v>163.51</v>
      </c>
      <c r="L531">
        <v>167.93</v>
      </c>
      <c r="M531">
        <v>172.47</v>
      </c>
      <c r="N531">
        <v>177.13</v>
      </c>
      <c r="O531">
        <v>181.91</v>
      </c>
      <c r="P531">
        <v>0</v>
      </c>
      <c r="Q531" s="304">
        <v>1893</v>
      </c>
    </row>
    <row r="532" spans="2:17">
      <c r="B532" t="s">
        <v>1204</v>
      </c>
      <c r="C532" t="s">
        <v>676</v>
      </c>
      <c r="D532">
        <v>190.9</v>
      </c>
      <c r="E532">
        <v>196.06</v>
      </c>
      <c r="F532">
        <v>201.35</v>
      </c>
      <c r="G532">
        <v>206.8</v>
      </c>
      <c r="H532">
        <v>212.37</v>
      </c>
      <c r="I532">
        <v>218.1</v>
      </c>
      <c r="J532">
        <v>224</v>
      </c>
      <c r="K532">
        <v>230.05</v>
      </c>
      <c r="L532">
        <v>236.26</v>
      </c>
      <c r="M532">
        <v>242.65</v>
      </c>
      <c r="N532">
        <v>249.21</v>
      </c>
      <c r="O532">
        <v>255.94</v>
      </c>
      <c r="P532">
        <v>0</v>
      </c>
      <c r="Q532" s="304">
        <v>2664</v>
      </c>
    </row>
    <row r="533" spans="2:17">
      <c r="B533" t="s">
        <v>1205</v>
      </c>
      <c r="C533" t="s">
        <v>676</v>
      </c>
      <c r="D533">
        <v>99.1</v>
      </c>
      <c r="E533">
        <v>101.78</v>
      </c>
      <c r="F533">
        <v>104.53</v>
      </c>
      <c r="G533">
        <v>107.35</v>
      </c>
      <c r="H533">
        <v>110.25</v>
      </c>
      <c r="I533">
        <v>113.22</v>
      </c>
      <c r="J533">
        <v>116.28</v>
      </c>
      <c r="K533">
        <v>119.42</v>
      </c>
      <c r="L533">
        <v>122.65</v>
      </c>
      <c r="M533">
        <v>125.97</v>
      </c>
      <c r="N533">
        <v>129.37</v>
      </c>
      <c r="O533">
        <v>132.86000000000001</v>
      </c>
      <c r="P533">
        <v>0</v>
      </c>
      <c r="Q533" s="304">
        <v>1383</v>
      </c>
    </row>
    <row r="534" spans="2:17">
      <c r="B534" t="s">
        <v>1206</v>
      </c>
      <c r="C534" t="s">
        <v>676</v>
      </c>
      <c r="D534">
        <v>65.56</v>
      </c>
      <c r="E534">
        <v>67.33</v>
      </c>
      <c r="F534">
        <v>69.150000000000006</v>
      </c>
      <c r="G534">
        <v>71.02</v>
      </c>
      <c r="H534">
        <v>72.930000000000007</v>
      </c>
      <c r="I534">
        <v>74.900000000000006</v>
      </c>
      <c r="J534">
        <v>76.92</v>
      </c>
      <c r="K534">
        <v>79</v>
      </c>
      <c r="L534">
        <v>81.13</v>
      </c>
      <c r="M534">
        <v>83.33</v>
      </c>
      <c r="N534">
        <v>85.58</v>
      </c>
      <c r="O534">
        <v>87.89</v>
      </c>
      <c r="P534">
        <v>0</v>
      </c>
      <c r="Q534">
        <v>915</v>
      </c>
    </row>
    <row r="535" spans="2:17">
      <c r="B535" t="s">
        <v>1207</v>
      </c>
      <c r="C535" t="s">
        <v>676</v>
      </c>
      <c r="D535">
        <v>126.36</v>
      </c>
      <c r="E535">
        <v>129.78</v>
      </c>
      <c r="F535">
        <v>133.28</v>
      </c>
      <c r="G535">
        <v>136.88</v>
      </c>
      <c r="H535">
        <v>140.58000000000001</v>
      </c>
      <c r="I535">
        <v>144.37</v>
      </c>
      <c r="J535">
        <v>148.27000000000001</v>
      </c>
      <c r="K535">
        <v>152.27000000000001</v>
      </c>
      <c r="L535">
        <v>156.38999999999999</v>
      </c>
      <c r="M535">
        <v>160.62</v>
      </c>
      <c r="N535">
        <v>164.96</v>
      </c>
      <c r="O535">
        <v>169.41</v>
      </c>
      <c r="P535">
        <v>0</v>
      </c>
      <c r="Q535" s="304">
        <v>1763</v>
      </c>
    </row>
    <row r="536" spans="2:17">
      <c r="B536" t="s">
        <v>1208</v>
      </c>
      <c r="C536" t="s">
        <v>676</v>
      </c>
      <c r="D536">
        <v>126.38</v>
      </c>
      <c r="E536">
        <v>129.79</v>
      </c>
      <c r="F536">
        <v>133.30000000000001</v>
      </c>
      <c r="G536">
        <v>136.9</v>
      </c>
      <c r="H536">
        <v>140.59</v>
      </c>
      <c r="I536">
        <v>144.38</v>
      </c>
      <c r="J536">
        <v>148.29</v>
      </c>
      <c r="K536">
        <v>152.29</v>
      </c>
      <c r="L536">
        <v>156.41</v>
      </c>
      <c r="M536">
        <v>160.63999999999999</v>
      </c>
      <c r="N536">
        <v>164.98</v>
      </c>
      <c r="O536">
        <v>169.43</v>
      </c>
      <c r="P536">
        <v>0</v>
      </c>
      <c r="Q536" s="304">
        <v>1763</v>
      </c>
    </row>
    <row r="537" spans="2:17">
      <c r="B537" t="s">
        <v>1209</v>
      </c>
      <c r="C537" t="s">
        <v>676</v>
      </c>
      <c r="D537">
        <v>96.45</v>
      </c>
      <c r="E537">
        <v>99.06</v>
      </c>
      <c r="F537">
        <v>101.73</v>
      </c>
      <c r="G537">
        <v>104.48</v>
      </c>
      <c r="H537">
        <v>107.3</v>
      </c>
      <c r="I537">
        <v>110.2</v>
      </c>
      <c r="J537">
        <v>113.18</v>
      </c>
      <c r="K537">
        <v>116.23</v>
      </c>
      <c r="L537">
        <v>119.37</v>
      </c>
      <c r="M537">
        <v>122.6</v>
      </c>
      <c r="N537">
        <v>125.91</v>
      </c>
      <c r="O537">
        <v>129.31</v>
      </c>
      <c r="P537">
        <v>0</v>
      </c>
      <c r="Q537" s="304">
        <v>1346</v>
      </c>
    </row>
    <row r="538" spans="2:17">
      <c r="B538" t="s">
        <v>1210</v>
      </c>
      <c r="C538" t="s">
        <v>676</v>
      </c>
      <c r="D538">
        <v>139.62</v>
      </c>
      <c r="E538">
        <v>143.38999999999999</v>
      </c>
      <c r="F538">
        <v>147.26</v>
      </c>
      <c r="G538">
        <v>151.24</v>
      </c>
      <c r="H538">
        <v>155.32</v>
      </c>
      <c r="I538">
        <v>159.51</v>
      </c>
      <c r="J538">
        <v>163.82</v>
      </c>
      <c r="K538">
        <v>168.25</v>
      </c>
      <c r="L538">
        <v>172.79</v>
      </c>
      <c r="M538">
        <v>177.47</v>
      </c>
      <c r="N538">
        <v>182.26</v>
      </c>
      <c r="O538">
        <v>187.18</v>
      </c>
      <c r="P538">
        <v>0</v>
      </c>
      <c r="Q538" s="304">
        <v>1948</v>
      </c>
    </row>
    <row r="539" spans="2:17">
      <c r="B539" t="s">
        <v>1211</v>
      </c>
      <c r="C539" t="s">
        <v>676</v>
      </c>
      <c r="D539">
        <v>191.77</v>
      </c>
      <c r="E539">
        <v>196.96</v>
      </c>
      <c r="F539">
        <v>202.27</v>
      </c>
      <c r="G539">
        <v>207.74</v>
      </c>
      <c r="H539">
        <v>213.34</v>
      </c>
      <c r="I539">
        <v>219.1</v>
      </c>
      <c r="J539">
        <v>225.02</v>
      </c>
      <c r="K539">
        <v>231.1</v>
      </c>
      <c r="L539">
        <v>237.34</v>
      </c>
      <c r="M539">
        <v>243.76</v>
      </c>
      <c r="N539">
        <v>250.35</v>
      </c>
      <c r="O539">
        <v>257.11</v>
      </c>
      <c r="P539">
        <v>0</v>
      </c>
      <c r="Q539" s="304">
        <v>2676</v>
      </c>
    </row>
    <row r="540" spans="2:17">
      <c r="B540" t="s">
        <v>1212</v>
      </c>
      <c r="C540" t="s">
        <v>676</v>
      </c>
      <c r="D540">
        <v>80.900000000000006</v>
      </c>
      <c r="E540">
        <v>83.09</v>
      </c>
      <c r="F540">
        <v>85.33</v>
      </c>
      <c r="G540">
        <v>87.64</v>
      </c>
      <c r="H540">
        <v>90</v>
      </c>
      <c r="I540">
        <v>92.43</v>
      </c>
      <c r="J540">
        <v>94.92</v>
      </c>
      <c r="K540">
        <v>97.49</v>
      </c>
      <c r="L540">
        <v>100.12</v>
      </c>
      <c r="M540">
        <v>102.83</v>
      </c>
      <c r="N540">
        <v>105.61</v>
      </c>
      <c r="O540">
        <v>108.46</v>
      </c>
      <c r="P540">
        <v>0</v>
      </c>
      <c r="Q540" s="304">
        <v>1129</v>
      </c>
    </row>
    <row r="541" spans="2:17">
      <c r="B541" t="s">
        <v>1213</v>
      </c>
      <c r="C541" t="s">
        <v>676</v>
      </c>
      <c r="D541">
        <v>142.93</v>
      </c>
      <c r="E541">
        <v>146.79</v>
      </c>
      <c r="F541">
        <v>150.76</v>
      </c>
      <c r="G541">
        <v>154.83000000000001</v>
      </c>
      <c r="H541">
        <v>159.01</v>
      </c>
      <c r="I541">
        <v>163.29</v>
      </c>
      <c r="J541">
        <v>167.71</v>
      </c>
      <c r="K541">
        <v>172.24</v>
      </c>
      <c r="L541">
        <v>176.89</v>
      </c>
      <c r="M541">
        <v>181.68</v>
      </c>
      <c r="N541">
        <v>186.59</v>
      </c>
      <c r="O541">
        <v>191.63</v>
      </c>
      <c r="P541">
        <v>0</v>
      </c>
      <c r="Q541" s="304">
        <v>1994</v>
      </c>
    </row>
    <row r="542" spans="2:17">
      <c r="B542" t="s">
        <v>1214</v>
      </c>
      <c r="C542" t="s">
        <v>676</v>
      </c>
      <c r="D542">
        <v>174.44</v>
      </c>
      <c r="E542">
        <v>179.15</v>
      </c>
      <c r="F542">
        <v>183.99</v>
      </c>
      <c r="G542">
        <v>188.96</v>
      </c>
      <c r="H542">
        <v>194.06</v>
      </c>
      <c r="I542">
        <v>199.29</v>
      </c>
      <c r="J542">
        <v>204.68</v>
      </c>
      <c r="K542">
        <v>210.2</v>
      </c>
      <c r="L542">
        <v>215.89</v>
      </c>
      <c r="M542">
        <v>221.72</v>
      </c>
      <c r="N542">
        <v>227.72</v>
      </c>
      <c r="O542">
        <v>233.86</v>
      </c>
      <c r="P542">
        <v>0</v>
      </c>
      <c r="Q542" s="304">
        <v>2434</v>
      </c>
    </row>
    <row r="543" spans="2:17">
      <c r="B543" t="s">
        <v>1215</v>
      </c>
      <c r="C543" t="s">
        <v>676</v>
      </c>
      <c r="D543">
        <v>74.66</v>
      </c>
      <c r="E543">
        <v>76.680000000000007</v>
      </c>
      <c r="F543">
        <v>78.75</v>
      </c>
      <c r="G543">
        <v>80.88</v>
      </c>
      <c r="H543">
        <v>83.06</v>
      </c>
      <c r="I543">
        <v>85.3</v>
      </c>
      <c r="J543">
        <v>87.61</v>
      </c>
      <c r="K543">
        <v>89.97</v>
      </c>
      <c r="L543">
        <v>92.4</v>
      </c>
      <c r="M543">
        <v>94.9</v>
      </c>
      <c r="N543">
        <v>97.47</v>
      </c>
      <c r="O543">
        <v>100.1</v>
      </c>
      <c r="P543">
        <v>0</v>
      </c>
      <c r="Q543" s="304">
        <v>1042</v>
      </c>
    </row>
    <row r="544" spans="2:17">
      <c r="B544" t="s">
        <v>1216</v>
      </c>
      <c r="C544" t="s">
        <v>676</v>
      </c>
      <c r="D544">
        <v>135.66999999999999</v>
      </c>
      <c r="E544">
        <v>139.34</v>
      </c>
      <c r="F544">
        <v>143.1</v>
      </c>
      <c r="G544">
        <v>146.97</v>
      </c>
      <c r="H544">
        <v>150.93</v>
      </c>
      <c r="I544">
        <v>155</v>
      </c>
      <c r="J544">
        <v>159.19</v>
      </c>
      <c r="K544">
        <v>163.49</v>
      </c>
      <c r="L544">
        <v>167.91</v>
      </c>
      <c r="M544">
        <v>172.45</v>
      </c>
      <c r="N544">
        <v>177.11</v>
      </c>
      <c r="O544">
        <v>181.89</v>
      </c>
      <c r="P544">
        <v>0</v>
      </c>
      <c r="Q544" s="304">
        <v>1893</v>
      </c>
    </row>
    <row r="545" spans="2:17">
      <c r="B545" t="s">
        <v>1217</v>
      </c>
      <c r="C545" t="s">
        <v>676</v>
      </c>
      <c r="D545">
        <v>169.92</v>
      </c>
      <c r="E545">
        <v>174.52</v>
      </c>
      <c r="F545">
        <v>179.23</v>
      </c>
      <c r="G545">
        <v>184.07</v>
      </c>
      <c r="H545">
        <v>189.04</v>
      </c>
      <c r="I545">
        <v>194.13</v>
      </c>
      <c r="J545">
        <v>199.38</v>
      </c>
      <c r="K545">
        <v>204.77</v>
      </c>
      <c r="L545">
        <v>210.3</v>
      </c>
      <c r="M545">
        <v>215.99</v>
      </c>
      <c r="N545">
        <v>221.83</v>
      </c>
      <c r="O545">
        <v>227.82</v>
      </c>
      <c r="P545">
        <v>0</v>
      </c>
      <c r="Q545" s="304">
        <v>2371</v>
      </c>
    </row>
    <row r="546" spans="2:17">
      <c r="B546" t="s">
        <v>1218</v>
      </c>
      <c r="C546" t="s">
        <v>676</v>
      </c>
      <c r="D546">
        <v>104.8</v>
      </c>
      <c r="E546">
        <v>107.63</v>
      </c>
      <c r="F546">
        <v>110.54</v>
      </c>
      <c r="G546">
        <v>113.52</v>
      </c>
      <c r="H546">
        <v>116.58</v>
      </c>
      <c r="I546">
        <v>119.73</v>
      </c>
      <c r="J546">
        <v>122.97</v>
      </c>
      <c r="K546">
        <v>126.29</v>
      </c>
      <c r="L546">
        <v>129.69999999999999</v>
      </c>
      <c r="M546">
        <v>133.21</v>
      </c>
      <c r="N546">
        <v>136.81</v>
      </c>
      <c r="O546">
        <v>140.5</v>
      </c>
      <c r="P546">
        <v>0</v>
      </c>
      <c r="Q546" s="304">
        <v>1462</v>
      </c>
    </row>
    <row r="547" spans="2:17">
      <c r="B547" t="s">
        <v>1219</v>
      </c>
      <c r="C547" t="s">
        <v>676</v>
      </c>
      <c r="D547">
        <v>73.239999999999995</v>
      </c>
      <c r="E547">
        <v>75.22</v>
      </c>
      <c r="F547">
        <v>77.25</v>
      </c>
      <c r="G547">
        <v>79.34</v>
      </c>
      <c r="H547">
        <v>81.48</v>
      </c>
      <c r="I547">
        <v>83.68</v>
      </c>
      <c r="J547">
        <v>85.94</v>
      </c>
      <c r="K547">
        <v>88.26</v>
      </c>
      <c r="L547">
        <v>90.65</v>
      </c>
      <c r="M547">
        <v>93.1</v>
      </c>
      <c r="N547">
        <v>95.61</v>
      </c>
      <c r="O547">
        <v>98.19</v>
      </c>
      <c r="P547">
        <v>0</v>
      </c>
      <c r="Q547" s="304">
        <v>1022</v>
      </c>
    </row>
    <row r="548" spans="2:17">
      <c r="B548" t="s">
        <v>1220</v>
      </c>
      <c r="C548" t="s">
        <v>676</v>
      </c>
      <c r="D548">
        <v>85.48</v>
      </c>
      <c r="E548">
        <v>87.79</v>
      </c>
      <c r="F548">
        <v>90.16</v>
      </c>
      <c r="G548">
        <v>92.59</v>
      </c>
      <c r="H548">
        <v>95.09</v>
      </c>
      <c r="I548">
        <v>97.65</v>
      </c>
      <c r="J548">
        <v>100.3</v>
      </c>
      <c r="K548">
        <v>103</v>
      </c>
      <c r="L548">
        <v>105.79</v>
      </c>
      <c r="M548">
        <v>108.65</v>
      </c>
      <c r="N548">
        <v>111.59</v>
      </c>
      <c r="O548">
        <v>114.6</v>
      </c>
      <c r="P548">
        <v>0</v>
      </c>
      <c r="Q548" s="304">
        <v>1193</v>
      </c>
    </row>
    <row r="549" spans="2:17">
      <c r="B549" t="s">
        <v>1221</v>
      </c>
      <c r="C549" t="s">
        <v>676</v>
      </c>
      <c r="D549">
        <v>205.83</v>
      </c>
      <c r="E549">
        <v>211.39</v>
      </c>
      <c r="F549">
        <v>217.1</v>
      </c>
      <c r="G549">
        <v>222.97</v>
      </c>
      <c r="H549">
        <v>228.98</v>
      </c>
      <c r="I549">
        <v>235.15</v>
      </c>
      <c r="J549">
        <v>241.51</v>
      </c>
      <c r="K549">
        <v>248.03</v>
      </c>
      <c r="L549">
        <v>254.74</v>
      </c>
      <c r="M549">
        <v>261.63</v>
      </c>
      <c r="N549">
        <v>268.7</v>
      </c>
      <c r="O549">
        <v>275.95</v>
      </c>
      <c r="P549">
        <v>0</v>
      </c>
      <c r="Q549" s="304">
        <v>2872</v>
      </c>
    </row>
    <row r="550" spans="2:17">
      <c r="B550" t="s">
        <v>1222</v>
      </c>
      <c r="C550" t="s">
        <v>676</v>
      </c>
      <c r="D550">
        <v>119.91</v>
      </c>
      <c r="E550">
        <v>123.16</v>
      </c>
      <c r="F550">
        <v>126.48</v>
      </c>
      <c r="G550">
        <v>129.9</v>
      </c>
      <c r="H550">
        <v>133.4</v>
      </c>
      <c r="I550">
        <v>137</v>
      </c>
      <c r="J550">
        <v>140.69999999999999</v>
      </c>
      <c r="K550">
        <v>144.5</v>
      </c>
      <c r="L550">
        <v>148.41</v>
      </c>
      <c r="M550">
        <v>152.41999999999999</v>
      </c>
      <c r="N550">
        <v>156.54</v>
      </c>
      <c r="O550">
        <v>160.77000000000001</v>
      </c>
      <c r="P550">
        <v>0</v>
      </c>
      <c r="Q550" s="304">
        <v>1673</v>
      </c>
    </row>
    <row r="551" spans="2:17">
      <c r="B551" t="s">
        <v>1223</v>
      </c>
      <c r="C551" t="s">
        <v>676</v>
      </c>
      <c r="D551">
        <v>139.1</v>
      </c>
      <c r="E551">
        <v>142.86000000000001</v>
      </c>
      <c r="F551">
        <v>146.72</v>
      </c>
      <c r="G551">
        <v>150.68</v>
      </c>
      <c r="H551">
        <v>154.74</v>
      </c>
      <c r="I551">
        <v>158.91999999999999</v>
      </c>
      <c r="J551">
        <v>163.21</v>
      </c>
      <c r="K551">
        <v>167.62</v>
      </c>
      <c r="L551">
        <v>172.15</v>
      </c>
      <c r="M551">
        <v>176.81</v>
      </c>
      <c r="N551">
        <v>181.59</v>
      </c>
      <c r="O551">
        <v>186.49</v>
      </c>
      <c r="P551">
        <v>0</v>
      </c>
      <c r="Q551" s="304">
        <v>1941</v>
      </c>
    </row>
    <row r="552" spans="2:17">
      <c r="B552" t="s">
        <v>1224</v>
      </c>
      <c r="C552" t="s">
        <v>676</v>
      </c>
      <c r="D552">
        <v>179.43</v>
      </c>
      <c r="E552">
        <v>184.28</v>
      </c>
      <c r="F552">
        <v>189.25</v>
      </c>
      <c r="G552">
        <v>194.37</v>
      </c>
      <c r="H552">
        <v>199.61</v>
      </c>
      <c r="I552">
        <v>204.99</v>
      </c>
      <c r="J552">
        <v>210.54</v>
      </c>
      <c r="K552">
        <v>216.22</v>
      </c>
      <c r="L552">
        <v>222.07</v>
      </c>
      <c r="M552">
        <v>228.07</v>
      </c>
      <c r="N552">
        <v>234.24</v>
      </c>
      <c r="O552">
        <v>240.56</v>
      </c>
      <c r="P552">
        <v>0</v>
      </c>
      <c r="Q552" s="304">
        <v>2504</v>
      </c>
    </row>
    <row r="553" spans="2:17">
      <c r="B553" t="s">
        <v>1225</v>
      </c>
      <c r="C553" t="s">
        <v>676</v>
      </c>
      <c r="D553">
        <v>92.52</v>
      </c>
      <c r="E553">
        <v>95.02</v>
      </c>
      <c r="F553">
        <v>97.59</v>
      </c>
      <c r="G553">
        <v>100.22</v>
      </c>
      <c r="H553">
        <v>102.93</v>
      </c>
      <c r="I553">
        <v>105.7</v>
      </c>
      <c r="J553">
        <v>108.56</v>
      </c>
      <c r="K553">
        <v>111.49</v>
      </c>
      <c r="L553">
        <v>114.51</v>
      </c>
      <c r="M553">
        <v>117.6</v>
      </c>
      <c r="N553">
        <v>120.78</v>
      </c>
      <c r="O553">
        <v>124.04</v>
      </c>
      <c r="P553">
        <v>0</v>
      </c>
      <c r="Q553" s="304">
        <v>1291</v>
      </c>
    </row>
    <row r="554" spans="2:17">
      <c r="B554" t="s">
        <v>1226</v>
      </c>
      <c r="C554" t="s">
        <v>676</v>
      </c>
      <c r="D554">
        <v>148.4</v>
      </c>
      <c r="E554">
        <v>152.41</v>
      </c>
      <c r="F554">
        <v>156.53</v>
      </c>
      <c r="G554">
        <v>160.76</v>
      </c>
      <c r="H554">
        <v>165.09</v>
      </c>
      <c r="I554">
        <v>169.55</v>
      </c>
      <c r="J554">
        <v>174.13</v>
      </c>
      <c r="K554">
        <v>178.83</v>
      </c>
      <c r="L554">
        <v>183.67</v>
      </c>
      <c r="M554">
        <v>188.63</v>
      </c>
      <c r="N554">
        <v>193.73</v>
      </c>
      <c r="O554">
        <v>198.96</v>
      </c>
      <c r="P554">
        <v>0</v>
      </c>
      <c r="Q554" s="304">
        <v>2071</v>
      </c>
    </row>
    <row r="555" spans="2:17">
      <c r="B555" t="s">
        <v>1227</v>
      </c>
      <c r="C555" t="s">
        <v>676</v>
      </c>
      <c r="D555">
        <v>109.46</v>
      </c>
      <c r="E555">
        <v>112.41</v>
      </c>
      <c r="F555">
        <v>115.45</v>
      </c>
      <c r="G555">
        <v>118.57</v>
      </c>
      <c r="H555">
        <v>121.77</v>
      </c>
      <c r="I555">
        <v>125.05</v>
      </c>
      <c r="J555">
        <v>128.43</v>
      </c>
      <c r="K555">
        <v>131.9</v>
      </c>
      <c r="L555">
        <v>135.46</v>
      </c>
      <c r="M555">
        <v>139.13</v>
      </c>
      <c r="N555">
        <v>142.88999999999999</v>
      </c>
      <c r="O555">
        <v>146.75</v>
      </c>
      <c r="P555">
        <v>0</v>
      </c>
      <c r="Q555" s="304">
        <v>1527</v>
      </c>
    </row>
    <row r="556" spans="2:17">
      <c r="B556" t="s">
        <v>1228</v>
      </c>
      <c r="C556" t="s">
        <v>676</v>
      </c>
      <c r="D556">
        <v>125.29</v>
      </c>
      <c r="E556">
        <v>128.66999999999999</v>
      </c>
      <c r="F556">
        <v>132.15</v>
      </c>
      <c r="G556">
        <v>135.72</v>
      </c>
      <c r="H556">
        <v>139.38</v>
      </c>
      <c r="I556">
        <v>143.13999999999999</v>
      </c>
      <c r="J556">
        <v>147.01</v>
      </c>
      <c r="K556">
        <v>150.97999999999999</v>
      </c>
      <c r="L556">
        <v>155.06</v>
      </c>
      <c r="M556">
        <v>159.25</v>
      </c>
      <c r="N556">
        <v>163.55000000000001</v>
      </c>
      <c r="O556">
        <v>167.97</v>
      </c>
      <c r="P556">
        <v>0</v>
      </c>
      <c r="Q556" s="304">
        <v>1748</v>
      </c>
    </row>
    <row r="557" spans="2:17">
      <c r="B557" t="s">
        <v>1229</v>
      </c>
      <c r="C557" t="s">
        <v>676</v>
      </c>
      <c r="D557">
        <v>91.08</v>
      </c>
      <c r="E557">
        <v>93.54</v>
      </c>
      <c r="F557">
        <v>96.07</v>
      </c>
      <c r="G557">
        <v>98.66</v>
      </c>
      <c r="H557">
        <v>101.32</v>
      </c>
      <c r="I557">
        <v>104.06</v>
      </c>
      <c r="J557">
        <v>106.87</v>
      </c>
      <c r="K557">
        <v>109.75</v>
      </c>
      <c r="L557">
        <v>112.72</v>
      </c>
      <c r="M557">
        <v>115.77</v>
      </c>
      <c r="N557">
        <v>118.9</v>
      </c>
      <c r="O557">
        <v>122.11</v>
      </c>
      <c r="P557">
        <v>0</v>
      </c>
      <c r="Q557" s="304">
        <v>1271</v>
      </c>
    </row>
    <row r="558" spans="2:17">
      <c r="B558" t="s">
        <v>1230</v>
      </c>
      <c r="C558" t="s">
        <v>676</v>
      </c>
      <c r="D558">
        <v>143.47999999999999</v>
      </c>
      <c r="E558">
        <v>147.36000000000001</v>
      </c>
      <c r="F558">
        <v>151.34</v>
      </c>
      <c r="G558">
        <v>155.43</v>
      </c>
      <c r="H558">
        <v>159.62</v>
      </c>
      <c r="I558">
        <v>163.92</v>
      </c>
      <c r="J558">
        <v>168.36</v>
      </c>
      <c r="K558">
        <v>172.9</v>
      </c>
      <c r="L558">
        <v>177.58</v>
      </c>
      <c r="M558">
        <v>182.38</v>
      </c>
      <c r="N558">
        <v>187.31</v>
      </c>
      <c r="O558">
        <v>192.36</v>
      </c>
      <c r="P558">
        <v>0</v>
      </c>
      <c r="Q558" s="304">
        <v>2002</v>
      </c>
    </row>
    <row r="559" spans="2:17">
      <c r="B559" t="s">
        <v>1231</v>
      </c>
      <c r="C559" t="s">
        <v>676</v>
      </c>
      <c r="D559">
        <v>82.5</v>
      </c>
      <c r="E559">
        <v>84.73</v>
      </c>
      <c r="F559">
        <v>87.02</v>
      </c>
      <c r="G559">
        <v>89.37</v>
      </c>
      <c r="H559">
        <v>91.78</v>
      </c>
      <c r="I559">
        <v>94.26</v>
      </c>
      <c r="J559">
        <v>96.81</v>
      </c>
      <c r="K559">
        <v>99.42</v>
      </c>
      <c r="L559">
        <v>102.11</v>
      </c>
      <c r="M559">
        <v>104.87</v>
      </c>
      <c r="N559">
        <v>107.71</v>
      </c>
      <c r="O559">
        <v>110.61</v>
      </c>
      <c r="P559">
        <v>0</v>
      </c>
      <c r="Q559" s="304">
        <v>1151</v>
      </c>
    </row>
    <row r="560" spans="2:17">
      <c r="B560" t="s">
        <v>1232</v>
      </c>
      <c r="C560" t="s">
        <v>676</v>
      </c>
      <c r="D560">
        <v>90.72</v>
      </c>
      <c r="E560">
        <v>93.17</v>
      </c>
      <c r="F560">
        <v>95.68</v>
      </c>
      <c r="G560">
        <v>98.27</v>
      </c>
      <c r="H560">
        <v>100.92</v>
      </c>
      <c r="I560">
        <v>103.64</v>
      </c>
      <c r="J560">
        <v>106.44</v>
      </c>
      <c r="K560">
        <v>109.32</v>
      </c>
      <c r="L560">
        <v>112.27</v>
      </c>
      <c r="M560">
        <v>115.31</v>
      </c>
      <c r="N560">
        <v>118.43</v>
      </c>
      <c r="O560">
        <v>121.62</v>
      </c>
      <c r="P560">
        <v>0</v>
      </c>
      <c r="Q560" s="304">
        <v>1266</v>
      </c>
    </row>
    <row r="561" spans="2:17">
      <c r="B561" t="s">
        <v>1233</v>
      </c>
      <c r="C561" t="s">
        <v>676</v>
      </c>
      <c r="D561">
        <v>135.38</v>
      </c>
      <c r="E561">
        <v>139.04</v>
      </c>
      <c r="F561">
        <v>142.79</v>
      </c>
      <c r="G561">
        <v>146.65</v>
      </c>
      <c r="H561">
        <v>150.61000000000001</v>
      </c>
      <c r="I561">
        <v>154.66999999999999</v>
      </c>
      <c r="J561">
        <v>158.85</v>
      </c>
      <c r="K561">
        <v>163.13999999999999</v>
      </c>
      <c r="L561">
        <v>167.55</v>
      </c>
      <c r="M561">
        <v>172.08</v>
      </c>
      <c r="N561">
        <v>176.73</v>
      </c>
      <c r="O561">
        <v>181.5</v>
      </c>
      <c r="P561">
        <v>0</v>
      </c>
      <c r="Q561" s="304">
        <v>1889</v>
      </c>
    </row>
    <row r="562" spans="2:17">
      <c r="B562" t="s">
        <v>1234</v>
      </c>
      <c r="C562" t="s">
        <v>676</v>
      </c>
      <c r="D562">
        <v>168.17</v>
      </c>
      <c r="E562">
        <v>172.71</v>
      </c>
      <c r="F562">
        <v>177.38</v>
      </c>
      <c r="G562">
        <v>182.17</v>
      </c>
      <c r="H562">
        <v>187.08</v>
      </c>
      <c r="I562">
        <v>192.13</v>
      </c>
      <c r="J562">
        <v>197.32</v>
      </c>
      <c r="K562">
        <v>202.65</v>
      </c>
      <c r="L562">
        <v>208.13</v>
      </c>
      <c r="M562">
        <v>213.76</v>
      </c>
      <c r="N562">
        <v>219.53</v>
      </c>
      <c r="O562">
        <v>225.46</v>
      </c>
      <c r="P562">
        <v>0</v>
      </c>
      <c r="Q562" s="304">
        <v>2346</v>
      </c>
    </row>
    <row r="563" spans="2:17">
      <c r="B563" t="s">
        <v>1235</v>
      </c>
      <c r="C563" t="s">
        <v>676</v>
      </c>
      <c r="D563">
        <v>109.62</v>
      </c>
      <c r="E563">
        <v>112.58</v>
      </c>
      <c r="F563">
        <v>115.62</v>
      </c>
      <c r="G563">
        <v>118.74</v>
      </c>
      <c r="H563">
        <v>121.95</v>
      </c>
      <c r="I563">
        <v>125.23</v>
      </c>
      <c r="J563">
        <v>128.62</v>
      </c>
      <c r="K563">
        <v>132.09</v>
      </c>
      <c r="L563">
        <v>135.66</v>
      </c>
      <c r="M563">
        <v>139.33000000000001</v>
      </c>
      <c r="N563">
        <v>143.1</v>
      </c>
      <c r="O563">
        <v>146.96</v>
      </c>
      <c r="P563">
        <v>0</v>
      </c>
      <c r="Q563" s="304">
        <v>1530</v>
      </c>
    </row>
    <row r="564" spans="2:17">
      <c r="B564" t="s">
        <v>1236</v>
      </c>
      <c r="C564" t="s">
        <v>676</v>
      </c>
      <c r="D564">
        <v>157.30000000000001</v>
      </c>
      <c r="E564">
        <v>161.55000000000001</v>
      </c>
      <c r="F564">
        <v>165.91</v>
      </c>
      <c r="G564">
        <v>170.39</v>
      </c>
      <c r="H564">
        <v>174.99</v>
      </c>
      <c r="I564">
        <v>179.71</v>
      </c>
      <c r="J564">
        <v>184.57</v>
      </c>
      <c r="K564">
        <v>189.55</v>
      </c>
      <c r="L564">
        <v>194.67</v>
      </c>
      <c r="M564">
        <v>199.94</v>
      </c>
      <c r="N564">
        <v>205.34</v>
      </c>
      <c r="O564">
        <v>210.88</v>
      </c>
      <c r="P564">
        <v>0</v>
      </c>
      <c r="Q564" s="304">
        <v>2195</v>
      </c>
    </row>
    <row r="565" spans="2:17">
      <c r="B565" t="s">
        <v>1237</v>
      </c>
      <c r="C565" t="s">
        <v>676</v>
      </c>
      <c r="D565">
        <v>173.1</v>
      </c>
      <c r="E565">
        <v>177.78</v>
      </c>
      <c r="F565">
        <v>182.58</v>
      </c>
      <c r="G565">
        <v>187.52</v>
      </c>
      <c r="H565">
        <v>192.57</v>
      </c>
      <c r="I565">
        <v>197.76</v>
      </c>
      <c r="J565">
        <v>203.11</v>
      </c>
      <c r="K565">
        <v>208.6</v>
      </c>
      <c r="L565">
        <v>214.23</v>
      </c>
      <c r="M565">
        <v>220.03</v>
      </c>
      <c r="N565">
        <v>225.97</v>
      </c>
      <c r="O565">
        <v>232.08</v>
      </c>
      <c r="P565">
        <v>0</v>
      </c>
      <c r="Q565" s="304">
        <v>2415</v>
      </c>
    </row>
    <row r="566" spans="2:17">
      <c r="B566" t="s">
        <v>1238</v>
      </c>
      <c r="C566" t="s">
        <v>676</v>
      </c>
      <c r="D566">
        <v>101.81</v>
      </c>
      <c r="E566">
        <v>104.56</v>
      </c>
      <c r="F566">
        <v>107.38</v>
      </c>
      <c r="G566">
        <v>110.29</v>
      </c>
      <c r="H566">
        <v>113.26</v>
      </c>
      <c r="I566">
        <v>116.32</v>
      </c>
      <c r="J566">
        <v>119.46</v>
      </c>
      <c r="K566">
        <v>122.69</v>
      </c>
      <c r="L566">
        <v>126</v>
      </c>
      <c r="M566">
        <v>129.41</v>
      </c>
      <c r="N566">
        <v>132.91</v>
      </c>
      <c r="O566">
        <v>136.5</v>
      </c>
      <c r="P566">
        <v>0</v>
      </c>
      <c r="Q566" s="304">
        <v>1421</v>
      </c>
    </row>
    <row r="567" spans="2:17">
      <c r="B567" t="s">
        <v>1239</v>
      </c>
      <c r="C567" t="s">
        <v>676</v>
      </c>
      <c r="D567">
        <v>89.66</v>
      </c>
      <c r="E567">
        <v>92.08</v>
      </c>
      <c r="F567">
        <v>94.57</v>
      </c>
      <c r="G567">
        <v>97.13</v>
      </c>
      <c r="H567">
        <v>99.74</v>
      </c>
      <c r="I567">
        <v>102.43</v>
      </c>
      <c r="J567">
        <v>105.2</v>
      </c>
      <c r="K567">
        <v>108.04</v>
      </c>
      <c r="L567">
        <v>110.97</v>
      </c>
      <c r="M567">
        <v>113.97</v>
      </c>
      <c r="N567">
        <v>117.05</v>
      </c>
      <c r="O567">
        <v>120.21</v>
      </c>
      <c r="P567">
        <v>0</v>
      </c>
      <c r="Q567" s="304">
        <v>1251</v>
      </c>
    </row>
    <row r="568" spans="2:17">
      <c r="B568" t="s">
        <v>1240</v>
      </c>
      <c r="C568" t="s">
        <v>676</v>
      </c>
      <c r="D568">
        <v>151.63999999999999</v>
      </c>
      <c r="E568">
        <v>155.74</v>
      </c>
      <c r="F568">
        <v>159.94</v>
      </c>
      <c r="G568">
        <v>164.26</v>
      </c>
      <c r="H568">
        <v>168.69</v>
      </c>
      <c r="I568">
        <v>173.24</v>
      </c>
      <c r="J568">
        <v>177.93</v>
      </c>
      <c r="K568">
        <v>182.73</v>
      </c>
      <c r="L568">
        <v>187.67</v>
      </c>
      <c r="M568">
        <v>192.75</v>
      </c>
      <c r="N568">
        <v>197.96</v>
      </c>
      <c r="O568">
        <v>203.3</v>
      </c>
      <c r="P568">
        <v>0</v>
      </c>
      <c r="Q568" s="304">
        <v>2116</v>
      </c>
    </row>
    <row r="569" spans="2:17">
      <c r="B569" t="s">
        <v>1241</v>
      </c>
      <c r="C569" t="s">
        <v>676</v>
      </c>
      <c r="D569">
        <v>86.76</v>
      </c>
      <c r="E569">
        <v>89.11</v>
      </c>
      <c r="F569">
        <v>91.52</v>
      </c>
      <c r="G569">
        <v>93.99</v>
      </c>
      <c r="H569">
        <v>96.52</v>
      </c>
      <c r="I569">
        <v>99.13</v>
      </c>
      <c r="J569">
        <v>101.81</v>
      </c>
      <c r="K569">
        <v>104.56</v>
      </c>
      <c r="L569">
        <v>107.38</v>
      </c>
      <c r="M569">
        <v>110.29</v>
      </c>
      <c r="N569">
        <v>113.27</v>
      </c>
      <c r="O569">
        <v>116.32</v>
      </c>
      <c r="P569">
        <v>0</v>
      </c>
      <c r="Q569" s="304">
        <v>1211</v>
      </c>
    </row>
    <row r="570" spans="2:17">
      <c r="B570" t="s">
        <v>1242</v>
      </c>
      <c r="C570" t="s">
        <v>676</v>
      </c>
      <c r="D570">
        <v>89.66</v>
      </c>
      <c r="E570">
        <v>92.08</v>
      </c>
      <c r="F570">
        <v>94.57</v>
      </c>
      <c r="G570">
        <v>97.13</v>
      </c>
      <c r="H570">
        <v>99.74</v>
      </c>
      <c r="I570">
        <v>102.43</v>
      </c>
      <c r="J570">
        <v>105.2</v>
      </c>
      <c r="K570">
        <v>108.04</v>
      </c>
      <c r="L570">
        <v>110.97</v>
      </c>
      <c r="M570">
        <v>113.97</v>
      </c>
      <c r="N570">
        <v>117.05</v>
      </c>
      <c r="O570">
        <v>120.21</v>
      </c>
      <c r="P570">
        <v>0</v>
      </c>
      <c r="Q570" s="304">
        <v>1251</v>
      </c>
    </row>
    <row r="571" spans="2:17">
      <c r="B571" t="s">
        <v>1243</v>
      </c>
      <c r="C571" t="s">
        <v>676</v>
      </c>
      <c r="D571">
        <v>184.86</v>
      </c>
      <c r="E571">
        <v>189.85</v>
      </c>
      <c r="F571">
        <v>194.98</v>
      </c>
      <c r="G571">
        <v>200.25</v>
      </c>
      <c r="H571">
        <v>205.65</v>
      </c>
      <c r="I571">
        <v>211.19</v>
      </c>
      <c r="J571">
        <v>216.9</v>
      </c>
      <c r="K571">
        <v>222.76</v>
      </c>
      <c r="L571">
        <v>228.78</v>
      </c>
      <c r="M571">
        <v>234.97</v>
      </c>
      <c r="N571">
        <v>241.32</v>
      </c>
      <c r="O571">
        <v>247.83</v>
      </c>
      <c r="P571">
        <v>0</v>
      </c>
      <c r="Q571" s="304">
        <v>2579</v>
      </c>
    </row>
    <row r="572" spans="2:17">
      <c r="B572" t="s">
        <v>1244</v>
      </c>
      <c r="C572" t="s">
        <v>676</v>
      </c>
      <c r="D572">
        <v>86.76</v>
      </c>
      <c r="E572">
        <v>89.11</v>
      </c>
      <c r="F572">
        <v>91.52</v>
      </c>
      <c r="G572">
        <v>93.99</v>
      </c>
      <c r="H572">
        <v>96.52</v>
      </c>
      <c r="I572">
        <v>99.13</v>
      </c>
      <c r="J572">
        <v>101.81</v>
      </c>
      <c r="K572">
        <v>104.56</v>
      </c>
      <c r="L572">
        <v>107.38</v>
      </c>
      <c r="M572">
        <v>110.29</v>
      </c>
      <c r="N572">
        <v>113.27</v>
      </c>
      <c r="O572">
        <v>116.32</v>
      </c>
      <c r="P572">
        <v>0</v>
      </c>
      <c r="Q572" s="304">
        <v>1211</v>
      </c>
    </row>
    <row r="573" spans="2:17">
      <c r="B573" t="s">
        <v>1245</v>
      </c>
      <c r="C573" t="s">
        <v>676</v>
      </c>
      <c r="D573">
        <v>132.16999999999999</v>
      </c>
      <c r="E573">
        <v>135.75</v>
      </c>
      <c r="F573">
        <v>139.41</v>
      </c>
      <c r="G573">
        <v>143.18</v>
      </c>
      <c r="H573">
        <v>147.04</v>
      </c>
      <c r="I573">
        <v>151</v>
      </c>
      <c r="J573">
        <v>155.09</v>
      </c>
      <c r="K573">
        <v>159.28</v>
      </c>
      <c r="L573">
        <v>163.58000000000001</v>
      </c>
      <c r="M573">
        <v>168</v>
      </c>
      <c r="N573">
        <v>172.54</v>
      </c>
      <c r="O573">
        <v>177.2</v>
      </c>
      <c r="P573">
        <v>0</v>
      </c>
      <c r="Q573" s="304">
        <v>1844</v>
      </c>
    </row>
    <row r="574" spans="2:17">
      <c r="B574" t="s">
        <v>1246</v>
      </c>
      <c r="C574" t="s">
        <v>676</v>
      </c>
      <c r="D574">
        <v>166.26</v>
      </c>
      <c r="E574">
        <v>170.75</v>
      </c>
      <c r="F574">
        <v>175.36</v>
      </c>
      <c r="G574">
        <v>180.1</v>
      </c>
      <c r="H574">
        <v>184.96</v>
      </c>
      <c r="I574">
        <v>189.95</v>
      </c>
      <c r="J574">
        <v>195.08</v>
      </c>
      <c r="K574">
        <v>200.35</v>
      </c>
      <c r="L574">
        <v>205.77</v>
      </c>
      <c r="M574">
        <v>211.33</v>
      </c>
      <c r="N574">
        <v>217.04</v>
      </c>
      <c r="O574">
        <v>222.9</v>
      </c>
      <c r="P574">
        <v>0</v>
      </c>
      <c r="Q574" s="304">
        <v>2320</v>
      </c>
    </row>
    <row r="575" spans="2:17">
      <c r="B575" t="s">
        <v>1247</v>
      </c>
      <c r="C575" t="s">
        <v>676</v>
      </c>
      <c r="D575">
        <v>85.01</v>
      </c>
      <c r="E575">
        <v>87.31</v>
      </c>
      <c r="F575">
        <v>89.67</v>
      </c>
      <c r="G575">
        <v>92.09</v>
      </c>
      <c r="H575">
        <v>94.57</v>
      </c>
      <c r="I575">
        <v>97.12</v>
      </c>
      <c r="J575">
        <v>99.75</v>
      </c>
      <c r="K575">
        <v>102.44</v>
      </c>
      <c r="L575">
        <v>105.21</v>
      </c>
      <c r="M575">
        <v>108.06</v>
      </c>
      <c r="N575">
        <v>110.98</v>
      </c>
      <c r="O575">
        <v>113.97</v>
      </c>
      <c r="P575">
        <v>0</v>
      </c>
      <c r="Q575" s="304">
        <v>1186</v>
      </c>
    </row>
    <row r="576" spans="2:17">
      <c r="B576" t="s">
        <v>1248</v>
      </c>
      <c r="C576" t="s">
        <v>676</v>
      </c>
      <c r="D576">
        <v>137.5</v>
      </c>
      <c r="E576">
        <v>141.22</v>
      </c>
      <c r="F576">
        <v>145.03</v>
      </c>
      <c r="G576">
        <v>148.94999999999999</v>
      </c>
      <c r="H576">
        <v>152.97</v>
      </c>
      <c r="I576">
        <v>157.09</v>
      </c>
      <c r="J576">
        <v>161.34</v>
      </c>
      <c r="K576">
        <v>165.7</v>
      </c>
      <c r="L576">
        <v>170.18</v>
      </c>
      <c r="M576">
        <v>174.78</v>
      </c>
      <c r="N576">
        <v>179.5</v>
      </c>
      <c r="O576">
        <v>184.35</v>
      </c>
      <c r="P576">
        <v>0</v>
      </c>
      <c r="Q576" s="304">
        <v>1919</v>
      </c>
    </row>
    <row r="577" spans="2:17">
      <c r="B577" t="s">
        <v>1249</v>
      </c>
      <c r="C577" t="s">
        <v>676</v>
      </c>
      <c r="D577">
        <v>174.03</v>
      </c>
      <c r="E577">
        <v>178.73</v>
      </c>
      <c r="F577">
        <v>183.56</v>
      </c>
      <c r="G577">
        <v>188.52</v>
      </c>
      <c r="H577">
        <v>193.6</v>
      </c>
      <c r="I577">
        <v>198.82</v>
      </c>
      <c r="J577">
        <v>204.2</v>
      </c>
      <c r="K577">
        <v>209.71</v>
      </c>
      <c r="L577">
        <v>215.38</v>
      </c>
      <c r="M577">
        <v>221.21</v>
      </c>
      <c r="N577">
        <v>227.18</v>
      </c>
      <c r="O577">
        <v>233.32</v>
      </c>
      <c r="P577">
        <v>0</v>
      </c>
      <c r="Q577" s="304">
        <v>2428</v>
      </c>
    </row>
    <row r="578" spans="2:17">
      <c r="B578" t="s">
        <v>1250</v>
      </c>
      <c r="C578" t="s">
        <v>676</v>
      </c>
      <c r="D578">
        <v>101.06</v>
      </c>
      <c r="E578">
        <v>103.8</v>
      </c>
      <c r="F578">
        <v>106.6</v>
      </c>
      <c r="G578">
        <v>109.48</v>
      </c>
      <c r="H578">
        <v>112.43</v>
      </c>
      <c r="I578">
        <v>115.46</v>
      </c>
      <c r="J578">
        <v>118.59</v>
      </c>
      <c r="K578">
        <v>121.79</v>
      </c>
      <c r="L578">
        <v>125.08</v>
      </c>
      <c r="M578">
        <v>128.46</v>
      </c>
      <c r="N578">
        <v>131.93</v>
      </c>
      <c r="O578">
        <v>135.5</v>
      </c>
      <c r="P578">
        <v>0</v>
      </c>
      <c r="Q578" s="304">
        <v>1410</v>
      </c>
    </row>
    <row r="579" spans="2:17">
      <c r="B579" t="s">
        <v>1251</v>
      </c>
      <c r="C579" t="s">
        <v>676</v>
      </c>
      <c r="D579">
        <v>59.85</v>
      </c>
      <c r="E579">
        <v>61.46</v>
      </c>
      <c r="F579">
        <v>63.12</v>
      </c>
      <c r="G579">
        <v>64.83</v>
      </c>
      <c r="H579">
        <v>66.58</v>
      </c>
      <c r="I579">
        <v>68.37</v>
      </c>
      <c r="J579">
        <v>70.22</v>
      </c>
      <c r="K579">
        <v>72.12</v>
      </c>
      <c r="L579">
        <v>74.069999999999993</v>
      </c>
      <c r="M579">
        <v>76.069999999999993</v>
      </c>
      <c r="N579">
        <v>78.13</v>
      </c>
      <c r="O579">
        <v>80.239999999999995</v>
      </c>
      <c r="P579">
        <v>0</v>
      </c>
      <c r="Q579">
        <v>835</v>
      </c>
    </row>
    <row r="580" spans="2:17">
      <c r="B580" t="s">
        <v>1252</v>
      </c>
      <c r="C580" t="s">
        <v>676</v>
      </c>
      <c r="D580">
        <v>73.44</v>
      </c>
      <c r="E580">
        <v>75.42</v>
      </c>
      <c r="F580">
        <v>77.459999999999994</v>
      </c>
      <c r="G580">
        <v>79.55</v>
      </c>
      <c r="H580">
        <v>81.7</v>
      </c>
      <c r="I580">
        <v>83.9</v>
      </c>
      <c r="J580">
        <v>86.17</v>
      </c>
      <c r="K580">
        <v>88.5</v>
      </c>
      <c r="L580">
        <v>90.89</v>
      </c>
      <c r="M580">
        <v>93.35</v>
      </c>
      <c r="N580">
        <v>95.87</v>
      </c>
      <c r="O580">
        <v>98.46</v>
      </c>
      <c r="P580">
        <v>0</v>
      </c>
      <c r="Q580" s="304">
        <v>1025</v>
      </c>
    </row>
    <row r="581" spans="2:17">
      <c r="B581" t="s">
        <v>1253</v>
      </c>
      <c r="C581" t="s">
        <v>676</v>
      </c>
      <c r="D581">
        <v>179.33</v>
      </c>
      <c r="E581">
        <v>184.18</v>
      </c>
      <c r="F581">
        <v>189.15</v>
      </c>
      <c r="G581">
        <v>194.26</v>
      </c>
      <c r="H581">
        <v>199.5</v>
      </c>
      <c r="I581">
        <v>204.88</v>
      </c>
      <c r="J581">
        <v>210.42</v>
      </c>
      <c r="K581">
        <v>216.1</v>
      </c>
      <c r="L581">
        <v>221.94</v>
      </c>
      <c r="M581">
        <v>227.94</v>
      </c>
      <c r="N581">
        <v>234.11</v>
      </c>
      <c r="O581">
        <v>240.43</v>
      </c>
      <c r="P581">
        <v>0</v>
      </c>
      <c r="Q581" s="304">
        <v>2502</v>
      </c>
    </row>
    <row r="582" spans="2:17">
      <c r="B582" t="s">
        <v>1254</v>
      </c>
      <c r="C582" t="s">
        <v>676</v>
      </c>
      <c r="D582">
        <v>120.25</v>
      </c>
      <c r="E582">
        <v>123.5</v>
      </c>
      <c r="F582">
        <v>126.83</v>
      </c>
      <c r="G582">
        <v>130.26</v>
      </c>
      <c r="H582">
        <v>133.77000000000001</v>
      </c>
      <c r="I582">
        <v>137.38</v>
      </c>
      <c r="J582">
        <v>141.09</v>
      </c>
      <c r="K582">
        <v>144.9</v>
      </c>
      <c r="L582">
        <v>148.82</v>
      </c>
      <c r="M582">
        <v>152.84</v>
      </c>
      <c r="N582">
        <v>156.97</v>
      </c>
      <c r="O582">
        <v>161.21</v>
      </c>
      <c r="P582">
        <v>0</v>
      </c>
      <c r="Q582" s="304">
        <v>1678</v>
      </c>
    </row>
    <row r="583" spans="2:17">
      <c r="B583" t="s">
        <v>1255</v>
      </c>
      <c r="C583" t="s">
        <v>676</v>
      </c>
      <c r="D583">
        <v>130.86000000000001</v>
      </c>
      <c r="E583">
        <v>134.4</v>
      </c>
      <c r="F583">
        <v>138.03</v>
      </c>
      <c r="G583">
        <v>141.76</v>
      </c>
      <c r="H583">
        <v>145.58000000000001</v>
      </c>
      <c r="I583">
        <v>149.51</v>
      </c>
      <c r="J583">
        <v>153.55000000000001</v>
      </c>
      <c r="K583">
        <v>157.69</v>
      </c>
      <c r="L583">
        <v>161.96</v>
      </c>
      <c r="M583">
        <v>166.34</v>
      </c>
      <c r="N583">
        <v>170.83</v>
      </c>
      <c r="O583">
        <v>175.44</v>
      </c>
      <c r="P583">
        <v>0</v>
      </c>
      <c r="Q583" s="304">
        <v>1826</v>
      </c>
    </row>
    <row r="584" spans="2:17">
      <c r="B584" t="s">
        <v>1256</v>
      </c>
      <c r="C584" t="s">
        <v>676</v>
      </c>
      <c r="D584">
        <v>139.54</v>
      </c>
      <c r="E584">
        <v>143.32</v>
      </c>
      <c r="F584">
        <v>147.18</v>
      </c>
      <c r="G584">
        <v>151.16</v>
      </c>
      <c r="H584">
        <v>155.24</v>
      </c>
      <c r="I584">
        <v>159.43</v>
      </c>
      <c r="J584">
        <v>163.74</v>
      </c>
      <c r="K584">
        <v>168.16</v>
      </c>
      <c r="L584">
        <v>172.7</v>
      </c>
      <c r="M584">
        <v>177.37</v>
      </c>
      <c r="N584">
        <v>182.17</v>
      </c>
      <c r="O584">
        <v>187.09</v>
      </c>
      <c r="P584">
        <v>0</v>
      </c>
      <c r="Q584" s="304">
        <v>1947</v>
      </c>
    </row>
    <row r="585" spans="2:17">
      <c r="B585" t="s">
        <v>1257</v>
      </c>
      <c r="C585" t="s">
        <v>676</v>
      </c>
      <c r="D585">
        <v>89.66</v>
      </c>
      <c r="E585">
        <v>92.08</v>
      </c>
      <c r="F585">
        <v>94.57</v>
      </c>
      <c r="G585">
        <v>97.13</v>
      </c>
      <c r="H585">
        <v>99.74</v>
      </c>
      <c r="I585">
        <v>102.43</v>
      </c>
      <c r="J585">
        <v>105.2</v>
      </c>
      <c r="K585">
        <v>108.04</v>
      </c>
      <c r="L585">
        <v>110.97</v>
      </c>
      <c r="M585">
        <v>113.97</v>
      </c>
      <c r="N585">
        <v>117.05</v>
      </c>
      <c r="O585">
        <v>120.21</v>
      </c>
      <c r="P585">
        <v>0</v>
      </c>
      <c r="Q585" s="304">
        <v>1251</v>
      </c>
    </row>
    <row r="586" spans="2:17">
      <c r="B586" t="s">
        <v>1258</v>
      </c>
      <c r="C586" t="s">
        <v>676</v>
      </c>
      <c r="D586">
        <v>89.66</v>
      </c>
      <c r="E586">
        <v>92.08</v>
      </c>
      <c r="F586">
        <v>94.57</v>
      </c>
      <c r="G586">
        <v>97.13</v>
      </c>
      <c r="H586">
        <v>99.74</v>
      </c>
      <c r="I586">
        <v>102.43</v>
      </c>
      <c r="J586">
        <v>105.2</v>
      </c>
      <c r="K586">
        <v>108.04</v>
      </c>
      <c r="L586">
        <v>110.97</v>
      </c>
      <c r="M586">
        <v>113.97</v>
      </c>
      <c r="N586">
        <v>117.05</v>
      </c>
      <c r="O586">
        <v>120.21</v>
      </c>
      <c r="P586">
        <v>0</v>
      </c>
      <c r="Q586" s="304">
        <v>1251</v>
      </c>
    </row>
    <row r="587" spans="2:17">
      <c r="B587" t="s">
        <v>1259</v>
      </c>
      <c r="C587" t="s">
        <v>676</v>
      </c>
      <c r="D587">
        <v>107.48</v>
      </c>
      <c r="E587">
        <v>110.38</v>
      </c>
      <c r="F587">
        <v>113.36</v>
      </c>
      <c r="G587">
        <v>116.42</v>
      </c>
      <c r="H587">
        <v>119.56</v>
      </c>
      <c r="I587">
        <v>122.79</v>
      </c>
      <c r="J587">
        <v>126.11</v>
      </c>
      <c r="K587">
        <v>129.51</v>
      </c>
      <c r="L587">
        <v>133.01</v>
      </c>
      <c r="M587">
        <v>136.61000000000001</v>
      </c>
      <c r="N587">
        <v>140.30000000000001</v>
      </c>
      <c r="O587">
        <v>144.09</v>
      </c>
      <c r="P587">
        <v>0</v>
      </c>
      <c r="Q587" s="304">
        <v>1500</v>
      </c>
    </row>
    <row r="588" spans="2:17">
      <c r="B588" t="s">
        <v>1260</v>
      </c>
      <c r="C588" t="s">
        <v>676</v>
      </c>
      <c r="D588">
        <v>146.59</v>
      </c>
      <c r="E588">
        <v>150.55000000000001</v>
      </c>
      <c r="F588">
        <v>154.61000000000001</v>
      </c>
      <c r="G588">
        <v>158.79</v>
      </c>
      <c r="H588">
        <v>163.08000000000001</v>
      </c>
      <c r="I588">
        <v>167.47</v>
      </c>
      <c r="J588">
        <v>172</v>
      </c>
      <c r="K588">
        <v>176.65</v>
      </c>
      <c r="L588">
        <v>181.42</v>
      </c>
      <c r="M588">
        <v>186.33</v>
      </c>
      <c r="N588">
        <v>191.36</v>
      </c>
      <c r="O588">
        <v>196.53</v>
      </c>
      <c r="P588">
        <v>0</v>
      </c>
      <c r="Q588" s="304">
        <v>2045</v>
      </c>
    </row>
    <row r="589" spans="2:17">
      <c r="B589" t="s">
        <v>1261</v>
      </c>
      <c r="C589" t="s">
        <v>676</v>
      </c>
      <c r="D589">
        <v>133.85</v>
      </c>
      <c r="E589">
        <v>137.47</v>
      </c>
      <c r="F589">
        <v>141.18</v>
      </c>
      <c r="G589">
        <v>145</v>
      </c>
      <c r="H589">
        <v>148.91</v>
      </c>
      <c r="I589">
        <v>152.91999999999999</v>
      </c>
      <c r="J589">
        <v>157.06</v>
      </c>
      <c r="K589">
        <v>161.30000000000001</v>
      </c>
      <c r="L589">
        <v>165.66</v>
      </c>
      <c r="M589">
        <v>170.14</v>
      </c>
      <c r="N589">
        <v>174.74</v>
      </c>
      <c r="O589">
        <v>179.46</v>
      </c>
      <c r="P589">
        <v>0</v>
      </c>
      <c r="Q589" s="304">
        <v>1868</v>
      </c>
    </row>
    <row r="590" spans="2:17">
      <c r="B590" t="s">
        <v>1262</v>
      </c>
      <c r="C590" t="s">
        <v>676</v>
      </c>
      <c r="D590">
        <v>182.21</v>
      </c>
      <c r="E590">
        <v>187.14</v>
      </c>
      <c r="F590">
        <v>192.19</v>
      </c>
      <c r="G590">
        <v>197.38</v>
      </c>
      <c r="H590">
        <v>202.71</v>
      </c>
      <c r="I590">
        <v>208.17</v>
      </c>
      <c r="J590">
        <v>213.8</v>
      </c>
      <c r="K590">
        <v>219.57</v>
      </c>
      <c r="L590">
        <v>225.51</v>
      </c>
      <c r="M590">
        <v>231.61</v>
      </c>
      <c r="N590">
        <v>237.87</v>
      </c>
      <c r="O590">
        <v>244.29</v>
      </c>
      <c r="P590">
        <v>0</v>
      </c>
      <c r="Q590" s="304">
        <v>2542</v>
      </c>
    </row>
    <row r="591" spans="2:17">
      <c r="B591" t="s">
        <v>1263</v>
      </c>
      <c r="C591" t="s">
        <v>676</v>
      </c>
      <c r="D591">
        <v>112.8</v>
      </c>
      <c r="E591">
        <v>115.85</v>
      </c>
      <c r="F591">
        <v>118.97</v>
      </c>
      <c r="G591">
        <v>122.19</v>
      </c>
      <c r="H591">
        <v>125.48</v>
      </c>
      <c r="I591">
        <v>128.87</v>
      </c>
      <c r="J591">
        <v>132.35</v>
      </c>
      <c r="K591">
        <v>135.93</v>
      </c>
      <c r="L591">
        <v>139.6</v>
      </c>
      <c r="M591">
        <v>143.38</v>
      </c>
      <c r="N591">
        <v>147.25</v>
      </c>
      <c r="O591">
        <v>151.22999999999999</v>
      </c>
      <c r="P591">
        <v>0</v>
      </c>
      <c r="Q591" s="304">
        <v>1574</v>
      </c>
    </row>
    <row r="592" spans="2:17">
      <c r="B592" t="s">
        <v>1264</v>
      </c>
      <c r="C592" t="s">
        <v>676</v>
      </c>
      <c r="D592">
        <v>129.65</v>
      </c>
      <c r="E592">
        <v>133.15</v>
      </c>
      <c r="F592">
        <v>136.75</v>
      </c>
      <c r="G592">
        <v>140.44</v>
      </c>
      <c r="H592">
        <v>144.22999999999999</v>
      </c>
      <c r="I592">
        <v>148.12</v>
      </c>
      <c r="J592">
        <v>152.12</v>
      </c>
      <c r="K592">
        <v>156.22999999999999</v>
      </c>
      <c r="L592">
        <v>160.46</v>
      </c>
      <c r="M592">
        <v>164.79</v>
      </c>
      <c r="N592">
        <v>169.25</v>
      </c>
      <c r="O592">
        <v>173.82</v>
      </c>
      <c r="P592">
        <v>0</v>
      </c>
      <c r="Q592" s="304">
        <v>1809</v>
      </c>
    </row>
    <row r="593" spans="2:17">
      <c r="B593" t="s">
        <v>1265</v>
      </c>
      <c r="C593" t="s">
        <v>676</v>
      </c>
      <c r="D593">
        <v>153.38</v>
      </c>
      <c r="E593">
        <v>157.52000000000001</v>
      </c>
      <c r="F593">
        <v>161.77000000000001</v>
      </c>
      <c r="G593">
        <v>166.15</v>
      </c>
      <c r="H593">
        <v>170.63</v>
      </c>
      <c r="I593">
        <v>175.23</v>
      </c>
      <c r="J593">
        <v>179.97</v>
      </c>
      <c r="K593">
        <v>184.83</v>
      </c>
      <c r="L593">
        <v>189.82</v>
      </c>
      <c r="M593">
        <v>194.95</v>
      </c>
      <c r="N593">
        <v>200.22</v>
      </c>
      <c r="O593">
        <v>205.63</v>
      </c>
      <c r="P593">
        <v>0</v>
      </c>
      <c r="Q593" s="304">
        <v>2140</v>
      </c>
    </row>
    <row r="594" spans="2:17">
      <c r="B594" t="s">
        <v>1266</v>
      </c>
      <c r="C594" t="s">
        <v>676</v>
      </c>
      <c r="D594">
        <v>289.23</v>
      </c>
      <c r="E594">
        <v>297.04000000000002</v>
      </c>
      <c r="F594">
        <v>305.06</v>
      </c>
      <c r="G594">
        <v>313.31</v>
      </c>
      <c r="H594">
        <v>321.76</v>
      </c>
      <c r="I594">
        <v>330.43</v>
      </c>
      <c r="J594">
        <v>339.37</v>
      </c>
      <c r="K594">
        <v>348.53</v>
      </c>
      <c r="L594">
        <v>357.95</v>
      </c>
      <c r="M594">
        <v>367.63</v>
      </c>
      <c r="N594">
        <v>377.57</v>
      </c>
      <c r="O594">
        <v>387.76</v>
      </c>
      <c r="P594">
        <v>0</v>
      </c>
      <c r="Q594" s="304">
        <v>4036</v>
      </c>
    </row>
    <row r="595" spans="2:17">
      <c r="B595" t="s">
        <v>1267</v>
      </c>
      <c r="C595" t="s">
        <v>676</v>
      </c>
      <c r="D595">
        <v>231.38</v>
      </c>
      <c r="E595">
        <v>237.63</v>
      </c>
      <c r="F595">
        <v>244.05</v>
      </c>
      <c r="G595">
        <v>250.65</v>
      </c>
      <c r="H595">
        <v>257.39999999999998</v>
      </c>
      <c r="I595">
        <v>264.35000000000002</v>
      </c>
      <c r="J595">
        <v>271.49</v>
      </c>
      <c r="K595">
        <v>278.82</v>
      </c>
      <c r="L595">
        <v>286.36</v>
      </c>
      <c r="M595">
        <v>294.10000000000002</v>
      </c>
      <c r="N595">
        <v>302.05</v>
      </c>
      <c r="O595">
        <v>310.20999999999998</v>
      </c>
      <c r="P595">
        <v>0</v>
      </c>
      <c r="Q595" s="304">
        <v>3228</v>
      </c>
    </row>
    <row r="596" spans="2:17">
      <c r="B596" t="s">
        <v>1268</v>
      </c>
      <c r="C596" t="s">
        <v>676</v>
      </c>
      <c r="D596">
        <v>133.91999999999999</v>
      </c>
      <c r="E596">
        <v>137.54</v>
      </c>
      <c r="F596">
        <v>141.25</v>
      </c>
      <c r="G596">
        <v>145.07</v>
      </c>
      <c r="H596">
        <v>148.97999999999999</v>
      </c>
      <c r="I596">
        <v>153</v>
      </c>
      <c r="J596">
        <v>157.13999999999999</v>
      </c>
      <c r="K596">
        <v>161.38</v>
      </c>
      <c r="L596">
        <v>165.74</v>
      </c>
      <c r="M596">
        <v>170.23</v>
      </c>
      <c r="N596">
        <v>174.83</v>
      </c>
      <c r="O596">
        <v>179.55</v>
      </c>
      <c r="P596">
        <v>0</v>
      </c>
      <c r="Q596" s="304">
        <v>1869</v>
      </c>
    </row>
    <row r="597" spans="2:17">
      <c r="B597" t="s">
        <v>1269</v>
      </c>
      <c r="C597" t="s">
        <v>676</v>
      </c>
      <c r="D597">
        <v>110.72</v>
      </c>
      <c r="E597">
        <v>113.71</v>
      </c>
      <c r="F597">
        <v>116.78</v>
      </c>
      <c r="G597">
        <v>119.94</v>
      </c>
      <c r="H597">
        <v>123.17</v>
      </c>
      <c r="I597">
        <v>126.49</v>
      </c>
      <c r="J597">
        <v>129.91</v>
      </c>
      <c r="K597">
        <v>133.41999999999999</v>
      </c>
      <c r="L597">
        <v>137.03</v>
      </c>
      <c r="M597">
        <v>140.72999999999999</v>
      </c>
      <c r="N597">
        <v>144.54</v>
      </c>
      <c r="O597">
        <v>148.44</v>
      </c>
      <c r="P597">
        <v>0</v>
      </c>
      <c r="Q597" s="304">
        <v>1545</v>
      </c>
    </row>
    <row r="598" spans="2:17">
      <c r="B598" t="s">
        <v>1270</v>
      </c>
      <c r="C598" t="s">
        <v>676</v>
      </c>
      <c r="D598">
        <v>135.27000000000001</v>
      </c>
      <c r="E598">
        <v>138.93</v>
      </c>
      <c r="F598">
        <v>142.68</v>
      </c>
      <c r="G598">
        <v>146.54</v>
      </c>
      <c r="H598">
        <v>150.49</v>
      </c>
      <c r="I598">
        <v>154.55000000000001</v>
      </c>
      <c r="J598">
        <v>158.72999999999999</v>
      </c>
      <c r="K598">
        <v>163.01</v>
      </c>
      <c r="L598">
        <v>167.42</v>
      </c>
      <c r="M598">
        <v>171.95</v>
      </c>
      <c r="N598">
        <v>176.59</v>
      </c>
      <c r="O598">
        <v>181.36</v>
      </c>
      <c r="P598">
        <v>0</v>
      </c>
      <c r="Q598" s="304">
        <v>1888</v>
      </c>
    </row>
    <row r="599" spans="2:17">
      <c r="B599" t="s">
        <v>1271</v>
      </c>
      <c r="C599" t="s">
        <v>676</v>
      </c>
      <c r="D599">
        <v>89.66</v>
      </c>
      <c r="E599">
        <v>92.08</v>
      </c>
      <c r="F599">
        <v>94.57</v>
      </c>
      <c r="G599">
        <v>97.13</v>
      </c>
      <c r="H599">
        <v>99.74</v>
      </c>
      <c r="I599">
        <v>102.43</v>
      </c>
      <c r="J599">
        <v>105.2</v>
      </c>
      <c r="K599">
        <v>108.04</v>
      </c>
      <c r="L599">
        <v>110.97</v>
      </c>
      <c r="M599">
        <v>113.97</v>
      </c>
      <c r="N599">
        <v>117.05</v>
      </c>
      <c r="O599">
        <v>120.21</v>
      </c>
      <c r="P599">
        <v>0</v>
      </c>
      <c r="Q599" s="304">
        <v>1251</v>
      </c>
    </row>
    <row r="600" spans="2:17">
      <c r="B600" t="s">
        <v>1272</v>
      </c>
      <c r="C600" t="s">
        <v>676</v>
      </c>
      <c r="D600">
        <v>89.66</v>
      </c>
      <c r="E600">
        <v>92.08</v>
      </c>
      <c r="F600">
        <v>94.57</v>
      </c>
      <c r="G600">
        <v>97.13</v>
      </c>
      <c r="H600">
        <v>99.74</v>
      </c>
      <c r="I600">
        <v>102.43</v>
      </c>
      <c r="J600">
        <v>105.2</v>
      </c>
      <c r="K600">
        <v>108.04</v>
      </c>
      <c r="L600">
        <v>110.97</v>
      </c>
      <c r="M600">
        <v>113.97</v>
      </c>
      <c r="N600">
        <v>117.05</v>
      </c>
      <c r="O600">
        <v>120.21</v>
      </c>
      <c r="P600">
        <v>0</v>
      </c>
      <c r="Q600" s="304">
        <v>1251</v>
      </c>
    </row>
    <row r="601" spans="2:17">
      <c r="B601" t="s">
        <v>1273</v>
      </c>
      <c r="C601" t="s">
        <v>676</v>
      </c>
      <c r="D601">
        <v>96.73</v>
      </c>
      <c r="E601">
        <v>99.34</v>
      </c>
      <c r="F601">
        <v>102.02</v>
      </c>
      <c r="G601">
        <v>104.78</v>
      </c>
      <c r="H601">
        <v>107.61</v>
      </c>
      <c r="I601">
        <v>110.51</v>
      </c>
      <c r="J601">
        <v>113.5</v>
      </c>
      <c r="K601">
        <v>116.56</v>
      </c>
      <c r="L601">
        <v>119.71</v>
      </c>
      <c r="M601">
        <v>122.95</v>
      </c>
      <c r="N601">
        <v>126.27</v>
      </c>
      <c r="O601">
        <v>129.68</v>
      </c>
      <c r="P601">
        <v>0</v>
      </c>
      <c r="Q601" s="304">
        <v>1350</v>
      </c>
    </row>
    <row r="602" spans="2:17">
      <c r="B602" t="s">
        <v>1274</v>
      </c>
      <c r="C602" t="s">
        <v>676</v>
      </c>
      <c r="D602">
        <v>147.44</v>
      </c>
      <c r="E602">
        <v>151.41999999999999</v>
      </c>
      <c r="F602">
        <v>155.51</v>
      </c>
      <c r="G602">
        <v>159.71</v>
      </c>
      <c r="H602">
        <v>164.02</v>
      </c>
      <c r="I602">
        <v>168.44</v>
      </c>
      <c r="J602">
        <v>173</v>
      </c>
      <c r="K602">
        <v>177.67</v>
      </c>
      <c r="L602">
        <v>182.47</v>
      </c>
      <c r="M602">
        <v>187.41</v>
      </c>
      <c r="N602">
        <v>192.47</v>
      </c>
      <c r="O602">
        <v>197.67</v>
      </c>
      <c r="P602">
        <v>0</v>
      </c>
      <c r="Q602" s="304">
        <v>2057</v>
      </c>
    </row>
    <row r="603" spans="2:17">
      <c r="B603" t="s">
        <v>1275</v>
      </c>
      <c r="C603" t="s">
        <v>676</v>
      </c>
      <c r="D603">
        <v>145.49</v>
      </c>
      <c r="E603">
        <v>149.43</v>
      </c>
      <c r="F603">
        <v>153.46</v>
      </c>
      <c r="G603">
        <v>157.61000000000001</v>
      </c>
      <c r="H603">
        <v>161.86000000000001</v>
      </c>
      <c r="I603">
        <v>166.22</v>
      </c>
      <c r="J603">
        <v>170.72</v>
      </c>
      <c r="K603">
        <v>175.33</v>
      </c>
      <c r="L603">
        <v>180.06</v>
      </c>
      <c r="M603">
        <v>184.93</v>
      </c>
      <c r="N603">
        <v>189.93</v>
      </c>
      <c r="O603">
        <v>195.06</v>
      </c>
      <c r="P603">
        <v>0</v>
      </c>
      <c r="Q603" s="304">
        <v>2030</v>
      </c>
    </row>
    <row r="604" spans="2:17">
      <c r="B604" t="s">
        <v>1276</v>
      </c>
      <c r="C604" t="s">
        <v>676</v>
      </c>
      <c r="D604">
        <v>179.23</v>
      </c>
      <c r="E604">
        <v>184.07</v>
      </c>
      <c r="F604">
        <v>189.04</v>
      </c>
      <c r="G604">
        <v>194.15</v>
      </c>
      <c r="H604">
        <v>199.39</v>
      </c>
      <c r="I604">
        <v>204.76</v>
      </c>
      <c r="J604">
        <v>210.3</v>
      </c>
      <c r="K604">
        <v>215.98</v>
      </c>
      <c r="L604">
        <v>221.82</v>
      </c>
      <c r="M604">
        <v>227.81</v>
      </c>
      <c r="N604">
        <v>233.97</v>
      </c>
      <c r="O604">
        <v>240.29</v>
      </c>
      <c r="P604">
        <v>0</v>
      </c>
      <c r="Q604" s="304">
        <v>2501</v>
      </c>
    </row>
    <row r="605" spans="2:17">
      <c r="B605" t="s">
        <v>1277</v>
      </c>
      <c r="C605" t="s">
        <v>676</v>
      </c>
      <c r="D605">
        <v>89.66</v>
      </c>
      <c r="E605">
        <v>92.08</v>
      </c>
      <c r="F605">
        <v>94.57</v>
      </c>
      <c r="G605">
        <v>97.13</v>
      </c>
      <c r="H605">
        <v>99.74</v>
      </c>
      <c r="I605">
        <v>102.43</v>
      </c>
      <c r="J605">
        <v>105.2</v>
      </c>
      <c r="K605">
        <v>108.04</v>
      </c>
      <c r="L605">
        <v>110.97</v>
      </c>
      <c r="M605">
        <v>113.97</v>
      </c>
      <c r="N605">
        <v>117.05</v>
      </c>
      <c r="O605">
        <v>120.21</v>
      </c>
      <c r="P605">
        <v>0</v>
      </c>
      <c r="Q605" s="304">
        <v>1251</v>
      </c>
    </row>
    <row r="606" spans="2:17">
      <c r="B606" t="s">
        <v>1278</v>
      </c>
      <c r="C606" t="s">
        <v>676</v>
      </c>
      <c r="D606">
        <v>167.02</v>
      </c>
      <c r="E606">
        <v>171.53</v>
      </c>
      <c r="F606">
        <v>176.16</v>
      </c>
      <c r="G606">
        <v>180.93</v>
      </c>
      <c r="H606">
        <v>185.81</v>
      </c>
      <c r="I606">
        <v>190.82</v>
      </c>
      <c r="J606">
        <v>195.98</v>
      </c>
      <c r="K606">
        <v>201.27</v>
      </c>
      <c r="L606">
        <v>206.71</v>
      </c>
      <c r="M606">
        <v>212.3</v>
      </c>
      <c r="N606">
        <v>218.04</v>
      </c>
      <c r="O606">
        <v>223.92</v>
      </c>
      <c r="P606">
        <v>0</v>
      </c>
      <c r="Q606" s="304">
        <v>2330</v>
      </c>
    </row>
    <row r="607" spans="2:17">
      <c r="B607" t="s">
        <v>1279</v>
      </c>
      <c r="C607" t="s">
        <v>676</v>
      </c>
      <c r="D607">
        <v>74.7</v>
      </c>
      <c r="E607">
        <v>76.72</v>
      </c>
      <c r="F607">
        <v>78.790000000000006</v>
      </c>
      <c r="G607">
        <v>80.92</v>
      </c>
      <c r="H607">
        <v>83.1</v>
      </c>
      <c r="I607">
        <v>85.34</v>
      </c>
      <c r="J607">
        <v>87.65</v>
      </c>
      <c r="K607">
        <v>90.02</v>
      </c>
      <c r="L607">
        <v>92.45</v>
      </c>
      <c r="M607">
        <v>94.95</v>
      </c>
      <c r="N607">
        <v>97.52</v>
      </c>
      <c r="O607">
        <v>100.15</v>
      </c>
      <c r="P607">
        <v>0</v>
      </c>
      <c r="Q607" s="304">
        <v>1042</v>
      </c>
    </row>
    <row r="608" spans="2:17">
      <c r="B608" t="s">
        <v>1280</v>
      </c>
      <c r="C608" t="s">
        <v>676</v>
      </c>
      <c r="D608">
        <v>120.31</v>
      </c>
      <c r="E608">
        <v>123.56</v>
      </c>
      <c r="F608">
        <v>126.9</v>
      </c>
      <c r="G608">
        <v>130.33000000000001</v>
      </c>
      <c r="H608">
        <v>133.84</v>
      </c>
      <c r="I608">
        <v>137.44999999999999</v>
      </c>
      <c r="J608">
        <v>141.16999999999999</v>
      </c>
      <c r="K608">
        <v>144.97999999999999</v>
      </c>
      <c r="L608">
        <v>148.9</v>
      </c>
      <c r="M608">
        <v>152.93</v>
      </c>
      <c r="N608">
        <v>157.06</v>
      </c>
      <c r="O608">
        <v>161.30000000000001</v>
      </c>
      <c r="P608">
        <v>0</v>
      </c>
      <c r="Q608" s="304">
        <v>1679</v>
      </c>
    </row>
    <row r="609" spans="1:17">
      <c r="B609" t="s">
        <v>1281</v>
      </c>
      <c r="C609" t="s">
        <v>676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B610" t="s">
        <v>1282</v>
      </c>
      <c r="C610" t="s">
        <v>676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B611" t="s">
        <v>1283</v>
      </c>
      <c r="C611" t="s">
        <v>676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>
      <c r="B612" t="s">
        <v>1284</v>
      </c>
      <c r="C612" t="s">
        <v>676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>
      <c r="B613" t="s">
        <v>1285</v>
      </c>
      <c r="C613" t="s">
        <v>676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>
      <c r="B614" t="s">
        <v>1286</v>
      </c>
      <c r="C614" t="s">
        <v>676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B615" t="s">
        <v>1287</v>
      </c>
      <c r="C615" t="s">
        <v>676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>
      <c r="B616" t="s">
        <v>1288</v>
      </c>
      <c r="C616" t="s">
        <v>676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B617" t="s">
        <v>1289</v>
      </c>
      <c r="C617" t="s">
        <v>676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B618" t="s">
        <v>1290</v>
      </c>
      <c r="C618" t="s">
        <v>676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B619" t="s">
        <v>1291</v>
      </c>
      <c r="C619" t="s">
        <v>676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B620" t="s">
        <v>1292</v>
      </c>
      <c r="C620" t="s">
        <v>676</v>
      </c>
      <c r="D620">
        <v>92.98</v>
      </c>
      <c r="E620">
        <v>95.49</v>
      </c>
      <c r="F620">
        <v>98.07</v>
      </c>
      <c r="G620">
        <v>100.72</v>
      </c>
      <c r="H620">
        <v>103.43</v>
      </c>
      <c r="I620">
        <v>106.22</v>
      </c>
      <c r="J620">
        <v>109.1</v>
      </c>
      <c r="K620">
        <v>112.04</v>
      </c>
      <c r="L620">
        <v>115.07</v>
      </c>
      <c r="M620">
        <v>118.18</v>
      </c>
      <c r="N620">
        <v>121.38</v>
      </c>
      <c r="O620">
        <v>124.65</v>
      </c>
      <c r="P620">
        <v>0</v>
      </c>
      <c r="Q620" s="304">
        <v>1297</v>
      </c>
    </row>
    <row r="621" spans="1:17">
      <c r="B621" t="s">
        <v>1293</v>
      </c>
      <c r="C621" t="s">
        <v>676</v>
      </c>
      <c r="D621">
        <v>109.62</v>
      </c>
      <c r="E621">
        <v>112.58</v>
      </c>
      <c r="F621">
        <v>115.62</v>
      </c>
      <c r="G621">
        <v>118.74</v>
      </c>
      <c r="H621">
        <v>121.95</v>
      </c>
      <c r="I621">
        <v>125.23</v>
      </c>
      <c r="J621">
        <v>128.62</v>
      </c>
      <c r="K621">
        <v>132.09</v>
      </c>
      <c r="L621">
        <v>135.66</v>
      </c>
      <c r="M621">
        <v>139.33000000000001</v>
      </c>
      <c r="N621">
        <v>143.1</v>
      </c>
      <c r="O621">
        <v>146.96</v>
      </c>
      <c r="P621">
        <v>0</v>
      </c>
      <c r="Q621" s="304">
        <v>1530</v>
      </c>
    </row>
    <row r="622" spans="1:17" collapsed="1">
      <c r="A622" t="s">
        <v>1294</v>
      </c>
    </row>
    <row r="623" spans="1:17" hidden="1" outlineLevel="1">
      <c r="B623" t="s">
        <v>1295</v>
      </c>
      <c r="C623" t="s">
        <v>676</v>
      </c>
      <c r="D623">
        <v>97.17</v>
      </c>
      <c r="E623">
        <v>99.79</v>
      </c>
      <c r="F623">
        <v>102.49</v>
      </c>
      <c r="G623">
        <v>105.26</v>
      </c>
      <c r="H623">
        <v>108.1</v>
      </c>
      <c r="I623">
        <v>111.01</v>
      </c>
      <c r="J623">
        <v>114.01</v>
      </c>
      <c r="K623">
        <v>117.09</v>
      </c>
      <c r="L623">
        <v>120.26</v>
      </c>
      <c r="M623">
        <v>123.51</v>
      </c>
      <c r="N623">
        <v>126.85</v>
      </c>
      <c r="O623">
        <v>130.27000000000001</v>
      </c>
      <c r="P623">
        <v>0</v>
      </c>
      <c r="Q623" s="304">
        <v>1356</v>
      </c>
    </row>
    <row r="624" spans="1:17" hidden="1" outlineLevel="1">
      <c r="B624" t="s">
        <v>1296</v>
      </c>
      <c r="C624" t="s">
        <v>676</v>
      </c>
      <c r="D624">
        <v>59.73</v>
      </c>
      <c r="E624">
        <v>61.35</v>
      </c>
      <c r="F624">
        <v>63</v>
      </c>
      <c r="G624">
        <v>64.7</v>
      </c>
      <c r="H624">
        <v>66.45</v>
      </c>
      <c r="I624">
        <v>68.239999999999995</v>
      </c>
      <c r="J624">
        <v>70.09</v>
      </c>
      <c r="K624">
        <v>71.98</v>
      </c>
      <c r="L624">
        <v>73.92</v>
      </c>
      <c r="M624">
        <v>75.92</v>
      </c>
      <c r="N624">
        <v>77.98</v>
      </c>
      <c r="O624">
        <v>80.08</v>
      </c>
      <c r="P624">
        <v>0</v>
      </c>
      <c r="Q624">
        <v>833</v>
      </c>
    </row>
    <row r="625" spans="2:17" hidden="1" outlineLevel="1">
      <c r="B625" t="s">
        <v>1297</v>
      </c>
      <c r="C625" t="s">
        <v>676</v>
      </c>
      <c r="D625">
        <v>110.61</v>
      </c>
      <c r="E625">
        <v>113.6</v>
      </c>
      <c r="F625">
        <v>116.67</v>
      </c>
      <c r="G625">
        <v>119.82</v>
      </c>
      <c r="H625">
        <v>123.05</v>
      </c>
      <c r="I625">
        <v>126.37</v>
      </c>
      <c r="J625">
        <v>129.79</v>
      </c>
      <c r="K625">
        <v>133.29</v>
      </c>
      <c r="L625">
        <v>136.9</v>
      </c>
      <c r="M625">
        <v>140.6</v>
      </c>
      <c r="N625">
        <v>144.4</v>
      </c>
      <c r="O625">
        <v>148.30000000000001</v>
      </c>
      <c r="P625">
        <v>0</v>
      </c>
      <c r="Q625" s="304">
        <v>1543</v>
      </c>
    </row>
    <row r="626" spans="2:17" hidden="1" outlineLevel="1">
      <c r="B626" t="s">
        <v>1298</v>
      </c>
      <c r="C626" t="s">
        <v>676</v>
      </c>
      <c r="D626">
        <v>77</v>
      </c>
      <c r="E626">
        <v>79.08</v>
      </c>
      <c r="F626">
        <v>81.22</v>
      </c>
      <c r="G626">
        <v>83.41</v>
      </c>
      <c r="H626">
        <v>85.66</v>
      </c>
      <c r="I626">
        <v>87.97</v>
      </c>
      <c r="J626">
        <v>90.35</v>
      </c>
      <c r="K626">
        <v>92.79</v>
      </c>
      <c r="L626">
        <v>95.3</v>
      </c>
      <c r="M626">
        <v>97.88</v>
      </c>
      <c r="N626">
        <v>100.52</v>
      </c>
      <c r="O626">
        <v>103.23</v>
      </c>
      <c r="P626">
        <v>0</v>
      </c>
      <c r="Q626" s="304">
        <v>1074</v>
      </c>
    </row>
    <row r="627" spans="2:17" hidden="1" outlineLevel="1">
      <c r="B627" t="s">
        <v>1299</v>
      </c>
      <c r="C627" t="s">
        <v>676</v>
      </c>
      <c r="D627">
        <v>53.52</v>
      </c>
      <c r="E627">
        <v>54.96</v>
      </c>
      <c r="F627">
        <v>56.45</v>
      </c>
      <c r="G627">
        <v>57.97</v>
      </c>
      <c r="H627">
        <v>59.53</v>
      </c>
      <c r="I627">
        <v>61.14</v>
      </c>
      <c r="J627">
        <v>62.79</v>
      </c>
      <c r="K627">
        <v>64.489999999999995</v>
      </c>
      <c r="L627">
        <v>66.23</v>
      </c>
      <c r="M627">
        <v>68.02</v>
      </c>
      <c r="N627">
        <v>69.86</v>
      </c>
      <c r="O627">
        <v>71.75</v>
      </c>
      <c r="P627">
        <v>0</v>
      </c>
      <c r="Q627">
        <v>747</v>
      </c>
    </row>
    <row r="628" spans="2:17" hidden="1" outlineLevel="1">
      <c r="B628" t="s">
        <v>1300</v>
      </c>
      <c r="C628" t="s">
        <v>676</v>
      </c>
      <c r="D628">
        <v>80.61</v>
      </c>
      <c r="E628">
        <v>82.79</v>
      </c>
      <c r="F628">
        <v>85.03</v>
      </c>
      <c r="G628">
        <v>87.33</v>
      </c>
      <c r="H628">
        <v>89.68</v>
      </c>
      <c r="I628">
        <v>92.1</v>
      </c>
      <c r="J628">
        <v>94.59</v>
      </c>
      <c r="K628">
        <v>97.14</v>
      </c>
      <c r="L628">
        <v>99.77</v>
      </c>
      <c r="M628">
        <v>102.47</v>
      </c>
      <c r="N628">
        <v>105.24</v>
      </c>
      <c r="O628">
        <v>108.08</v>
      </c>
      <c r="P628">
        <v>0</v>
      </c>
      <c r="Q628" s="304">
        <v>1125</v>
      </c>
    </row>
    <row r="629" spans="2:17" hidden="1" outlineLevel="1">
      <c r="B629" t="s">
        <v>1301</v>
      </c>
      <c r="C629" t="s">
        <v>676</v>
      </c>
      <c r="D629">
        <v>80.349999999999994</v>
      </c>
      <c r="E629">
        <v>82.52</v>
      </c>
      <c r="F629">
        <v>84.75</v>
      </c>
      <c r="G629">
        <v>87.04</v>
      </c>
      <c r="H629">
        <v>89.39</v>
      </c>
      <c r="I629">
        <v>91.8</v>
      </c>
      <c r="J629">
        <v>94.28</v>
      </c>
      <c r="K629">
        <v>96.83</v>
      </c>
      <c r="L629">
        <v>99.44</v>
      </c>
      <c r="M629">
        <v>102.13</v>
      </c>
      <c r="N629">
        <v>104.89</v>
      </c>
      <c r="O629">
        <v>107.73</v>
      </c>
      <c r="P629">
        <v>0</v>
      </c>
      <c r="Q629" s="304">
        <v>1121</v>
      </c>
    </row>
    <row r="630" spans="2:17" hidden="1" outlineLevel="1">
      <c r="B630" t="s">
        <v>1302</v>
      </c>
      <c r="C630" t="s">
        <v>676</v>
      </c>
      <c r="D630">
        <v>35.31</v>
      </c>
      <c r="E630">
        <v>36.270000000000003</v>
      </c>
      <c r="F630">
        <v>37.25</v>
      </c>
      <c r="G630">
        <v>38.26</v>
      </c>
      <c r="H630">
        <v>39.29</v>
      </c>
      <c r="I630">
        <v>40.35</v>
      </c>
      <c r="J630">
        <v>41.44</v>
      </c>
      <c r="K630">
        <v>42.56</v>
      </c>
      <c r="L630">
        <v>43.71</v>
      </c>
      <c r="M630">
        <v>44.89</v>
      </c>
      <c r="N630">
        <v>46.1</v>
      </c>
      <c r="O630">
        <v>47.35</v>
      </c>
      <c r="P630">
        <v>0</v>
      </c>
      <c r="Q630">
        <v>493</v>
      </c>
    </row>
    <row r="631" spans="2:17" hidden="1" outlineLevel="1">
      <c r="B631" t="s">
        <v>1303</v>
      </c>
      <c r="C631" t="s">
        <v>676</v>
      </c>
      <c r="D631">
        <v>109.47</v>
      </c>
      <c r="E631">
        <v>112.43</v>
      </c>
      <c r="F631">
        <v>115.47</v>
      </c>
      <c r="G631">
        <v>118.59</v>
      </c>
      <c r="H631">
        <v>121.79</v>
      </c>
      <c r="I631">
        <v>125.07</v>
      </c>
      <c r="J631">
        <v>128.44999999999999</v>
      </c>
      <c r="K631">
        <v>131.91999999999999</v>
      </c>
      <c r="L631">
        <v>135.49</v>
      </c>
      <c r="M631">
        <v>139.15</v>
      </c>
      <c r="N631">
        <v>142.91</v>
      </c>
      <c r="O631">
        <v>146.77000000000001</v>
      </c>
      <c r="P631">
        <v>0</v>
      </c>
      <c r="Q631" s="304">
        <v>1528</v>
      </c>
    </row>
    <row r="632" spans="2:17" hidden="1" outlineLevel="1">
      <c r="B632" t="s">
        <v>1304</v>
      </c>
      <c r="C632" t="s">
        <v>676</v>
      </c>
      <c r="D632">
        <v>100.1</v>
      </c>
      <c r="E632">
        <v>102.8</v>
      </c>
      <c r="F632">
        <v>105.58</v>
      </c>
      <c r="G632">
        <v>108.43</v>
      </c>
      <c r="H632">
        <v>111.36</v>
      </c>
      <c r="I632">
        <v>114.36</v>
      </c>
      <c r="J632">
        <v>117.45</v>
      </c>
      <c r="K632">
        <v>120.62</v>
      </c>
      <c r="L632">
        <v>123.88</v>
      </c>
      <c r="M632">
        <v>127.23</v>
      </c>
      <c r="N632">
        <v>130.66999999999999</v>
      </c>
      <c r="O632">
        <v>134.19999999999999</v>
      </c>
      <c r="P632">
        <v>0</v>
      </c>
      <c r="Q632" s="304">
        <v>1397</v>
      </c>
    </row>
    <row r="633" spans="2:17" hidden="1" outlineLevel="1">
      <c r="B633" t="s">
        <v>1305</v>
      </c>
      <c r="C633" t="s">
        <v>676</v>
      </c>
      <c r="D633">
        <v>102.27</v>
      </c>
      <c r="E633">
        <v>105.04</v>
      </c>
      <c r="F633">
        <v>107.87</v>
      </c>
      <c r="G633">
        <v>110.79</v>
      </c>
      <c r="H633">
        <v>113.78</v>
      </c>
      <c r="I633">
        <v>116.85</v>
      </c>
      <c r="J633">
        <v>120.01</v>
      </c>
      <c r="K633">
        <v>123.25</v>
      </c>
      <c r="L633">
        <v>126.58</v>
      </c>
      <c r="M633">
        <v>130</v>
      </c>
      <c r="N633">
        <v>133.51</v>
      </c>
      <c r="O633">
        <v>137.12</v>
      </c>
      <c r="P633">
        <v>0</v>
      </c>
      <c r="Q633" s="304">
        <v>1427</v>
      </c>
    </row>
    <row r="634" spans="2:17" hidden="1" outlineLevel="1">
      <c r="B634" t="s">
        <v>1306</v>
      </c>
      <c r="C634" t="s">
        <v>676</v>
      </c>
      <c r="D634">
        <v>74.349999999999994</v>
      </c>
      <c r="E634">
        <v>76.36</v>
      </c>
      <c r="F634">
        <v>78.42</v>
      </c>
      <c r="G634">
        <v>80.540000000000006</v>
      </c>
      <c r="H634">
        <v>82.71</v>
      </c>
      <c r="I634">
        <v>84.94</v>
      </c>
      <c r="J634">
        <v>87.24</v>
      </c>
      <c r="K634">
        <v>89.6</v>
      </c>
      <c r="L634">
        <v>92.02</v>
      </c>
      <c r="M634">
        <v>94.51</v>
      </c>
      <c r="N634">
        <v>97.06</v>
      </c>
      <c r="O634">
        <v>99.68</v>
      </c>
      <c r="P634">
        <v>0</v>
      </c>
      <c r="Q634" s="304">
        <v>1037</v>
      </c>
    </row>
    <row r="635" spans="2:17" hidden="1" outlineLevel="1">
      <c r="B635" t="s">
        <v>1307</v>
      </c>
      <c r="C635" t="s">
        <v>676</v>
      </c>
      <c r="D635">
        <v>127.04</v>
      </c>
      <c r="E635">
        <v>130.47</v>
      </c>
      <c r="F635">
        <v>133.99</v>
      </c>
      <c r="G635">
        <v>137.62</v>
      </c>
      <c r="H635">
        <v>141.33000000000001</v>
      </c>
      <c r="I635">
        <v>145.13999999999999</v>
      </c>
      <c r="J635">
        <v>149.06</v>
      </c>
      <c r="K635">
        <v>153.09</v>
      </c>
      <c r="L635">
        <v>157.22</v>
      </c>
      <c r="M635">
        <v>161.47999999999999</v>
      </c>
      <c r="N635">
        <v>165.84</v>
      </c>
      <c r="O635">
        <v>170.32</v>
      </c>
      <c r="P635">
        <v>0</v>
      </c>
      <c r="Q635" s="304">
        <v>1773</v>
      </c>
    </row>
    <row r="636" spans="2:17" hidden="1" outlineLevel="1">
      <c r="B636" t="s">
        <v>1308</v>
      </c>
      <c r="C636" t="s">
        <v>676</v>
      </c>
      <c r="D636">
        <v>82.48</v>
      </c>
      <c r="E636">
        <v>84.71</v>
      </c>
      <c r="F636">
        <v>87</v>
      </c>
      <c r="G636">
        <v>89.35</v>
      </c>
      <c r="H636">
        <v>91.76</v>
      </c>
      <c r="I636">
        <v>94.23</v>
      </c>
      <c r="J636">
        <v>96.78</v>
      </c>
      <c r="K636">
        <v>99.4</v>
      </c>
      <c r="L636">
        <v>102.08</v>
      </c>
      <c r="M636">
        <v>104.84</v>
      </c>
      <c r="N636">
        <v>107.68</v>
      </c>
      <c r="O636">
        <v>110.58</v>
      </c>
      <c r="P636">
        <v>0</v>
      </c>
      <c r="Q636" s="304">
        <v>1151</v>
      </c>
    </row>
    <row r="637" spans="2:17" hidden="1" outlineLevel="1">
      <c r="B637" t="s">
        <v>1309</v>
      </c>
      <c r="C637" t="s">
        <v>676</v>
      </c>
      <c r="D637">
        <v>89.52</v>
      </c>
      <c r="E637">
        <v>91.94</v>
      </c>
      <c r="F637">
        <v>94.42</v>
      </c>
      <c r="G637">
        <v>96.97</v>
      </c>
      <c r="H637">
        <v>99.59</v>
      </c>
      <c r="I637">
        <v>102.27</v>
      </c>
      <c r="J637">
        <v>105.04</v>
      </c>
      <c r="K637">
        <v>107.87</v>
      </c>
      <c r="L637">
        <v>110.79</v>
      </c>
      <c r="M637">
        <v>113.78</v>
      </c>
      <c r="N637">
        <v>116.86</v>
      </c>
      <c r="O637">
        <v>120.02</v>
      </c>
      <c r="P637">
        <v>0</v>
      </c>
      <c r="Q637" s="304">
        <v>1249</v>
      </c>
    </row>
    <row r="638" spans="2:17" hidden="1" outlineLevel="1">
      <c r="B638" t="s">
        <v>1310</v>
      </c>
      <c r="C638" t="s">
        <v>676</v>
      </c>
      <c r="D638">
        <v>106.83</v>
      </c>
      <c r="E638">
        <v>109.71</v>
      </c>
      <c r="F638">
        <v>112.67</v>
      </c>
      <c r="G638">
        <v>115.72</v>
      </c>
      <c r="H638">
        <v>118.84</v>
      </c>
      <c r="I638">
        <v>122.05</v>
      </c>
      <c r="J638">
        <v>125.35</v>
      </c>
      <c r="K638">
        <v>128.72999999999999</v>
      </c>
      <c r="L638">
        <v>132.21</v>
      </c>
      <c r="M638">
        <v>135.78</v>
      </c>
      <c r="N638">
        <v>139.44999999999999</v>
      </c>
      <c r="O638">
        <v>143.22</v>
      </c>
      <c r="P638">
        <v>0</v>
      </c>
      <c r="Q638" s="304">
        <v>1491</v>
      </c>
    </row>
    <row r="639" spans="2:17" hidden="1" outlineLevel="1">
      <c r="B639" t="s">
        <v>1311</v>
      </c>
      <c r="C639" t="s">
        <v>676</v>
      </c>
      <c r="D639">
        <v>75.239999999999995</v>
      </c>
      <c r="E639">
        <v>77.27</v>
      </c>
      <c r="F639">
        <v>79.36</v>
      </c>
      <c r="G639">
        <v>81.5</v>
      </c>
      <c r="H639">
        <v>83.7</v>
      </c>
      <c r="I639">
        <v>85.96</v>
      </c>
      <c r="J639">
        <v>88.28</v>
      </c>
      <c r="K639">
        <v>90.67</v>
      </c>
      <c r="L639">
        <v>93.12</v>
      </c>
      <c r="M639">
        <v>95.64</v>
      </c>
      <c r="N639">
        <v>98.22</v>
      </c>
      <c r="O639">
        <v>100.87</v>
      </c>
      <c r="P639">
        <v>0</v>
      </c>
      <c r="Q639" s="304">
        <v>1050</v>
      </c>
    </row>
    <row r="640" spans="2:17" hidden="1" outlineLevel="1">
      <c r="B640" t="s">
        <v>1312</v>
      </c>
      <c r="C640" t="s">
        <v>676</v>
      </c>
      <c r="D640">
        <v>98.21</v>
      </c>
      <c r="E640">
        <v>100.87</v>
      </c>
      <c r="F640">
        <v>103.59</v>
      </c>
      <c r="G640">
        <v>106.39</v>
      </c>
      <c r="H640">
        <v>109.26</v>
      </c>
      <c r="I640">
        <v>112.21</v>
      </c>
      <c r="J640">
        <v>115.24</v>
      </c>
      <c r="K640">
        <v>118.35</v>
      </c>
      <c r="L640">
        <v>121.55</v>
      </c>
      <c r="M640">
        <v>124.84</v>
      </c>
      <c r="N640">
        <v>128.21</v>
      </c>
      <c r="O640">
        <v>131.66999999999999</v>
      </c>
      <c r="P640">
        <v>0</v>
      </c>
      <c r="Q640" s="304">
        <v>1370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workbookViewId="0">
      <selection activeCell="N24" sqref="N24"/>
    </sheetView>
  </sheetViews>
  <sheetFormatPr defaultRowHeight="15"/>
  <cols>
    <col min="1" max="1" width="22.5703125" customWidth="1"/>
    <col min="3" max="3" width="15.85546875" customWidth="1"/>
  </cols>
  <sheetData>
    <row r="1" spans="1:20">
      <c r="A1" t="s">
        <v>632</v>
      </c>
      <c r="C1" t="s">
        <v>633</v>
      </c>
      <c r="G1" t="s">
        <v>634</v>
      </c>
    </row>
    <row r="2" spans="1:20">
      <c r="A2" t="s">
        <v>635</v>
      </c>
      <c r="C2" t="s">
        <v>636</v>
      </c>
      <c r="H2" t="s">
        <v>637</v>
      </c>
    </row>
    <row r="3" spans="1:20">
      <c r="A3" t="s">
        <v>638</v>
      </c>
      <c r="C3" t="s">
        <v>639</v>
      </c>
      <c r="H3" t="s">
        <v>640</v>
      </c>
    </row>
    <row r="4" spans="1:20">
      <c r="A4" s="303">
        <v>41193.455555555556</v>
      </c>
      <c r="C4" s="302">
        <v>40086</v>
      </c>
      <c r="H4" t="s">
        <v>641</v>
      </c>
    </row>
    <row r="6" spans="1:20">
      <c r="A6" t="s">
        <v>642</v>
      </c>
      <c r="C6" t="s">
        <v>643</v>
      </c>
      <c r="D6" t="s">
        <v>644</v>
      </c>
      <c r="E6" t="s">
        <v>645</v>
      </c>
      <c r="F6" t="s">
        <v>646</v>
      </c>
      <c r="G6" t="s">
        <v>647</v>
      </c>
      <c r="H6" t="s">
        <v>648</v>
      </c>
      <c r="I6" t="s">
        <v>649</v>
      </c>
      <c r="J6" t="s">
        <v>650</v>
      </c>
      <c r="K6" t="s">
        <v>651</v>
      </c>
      <c r="L6" t="s">
        <v>652</v>
      </c>
      <c r="M6" t="s">
        <v>653</v>
      </c>
      <c r="N6" t="s">
        <v>654</v>
      </c>
      <c r="O6" t="s">
        <v>655</v>
      </c>
      <c r="P6" t="s">
        <v>656</v>
      </c>
      <c r="Q6" t="s">
        <v>657</v>
      </c>
      <c r="R6" t="s">
        <v>658</v>
      </c>
    </row>
    <row r="7" spans="1:20">
      <c r="B7" t="s">
        <v>660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304">
        <v>192005</v>
      </c>
      <c r="L7" s="304">
        <v>653127</v>
      </c>
      <c r="M7" s="304">
        <v>1006086</v>
      </c>
      <c r="N7" s="304">
        <v>941943</v>
      </c>
      <c r="O7" s="304">
        <v>1332</v>
      </c>
      <c r="P7">
        <v>0</v>
      </c>
      <c r="Q7">
        <v>0</v>
      </c>
      <c r="R7" s="304">
        <v>2794493</v>
      </c>
    </row>
    <row r="8" spans="1:20">
      <c r="A8" t="s">
        <v>661</v>
      </c>
    </row>
    <row r="9" spans="1:20">
      <c r="B9" t="s">
        <v>660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304">
        <v>192005</v>
      </c>
      <c r="L9" s="304">
        <v>653127</v>
      </c>
      <c r="M9" s="304">
        <v>1006086</v>
      </c>
      <c r="N9" s="304">
        <v>941943</v>
      </c>
      <c r="O9" s="304">
        <v>1332</v>
      </c>
      <c r="P9">
        <v>0</v>
      </c>
      <c r="Q9">
        <v>0</v>
      </c>
      <c r="R9" s="304">
        <v>2794493</v>
      </c>
    </row>
    <row r="14" spans="1:20">
      <c r="A14" s="305" t="s">
        <v>632</v>
      </c>
      <c r="B14" s="305"/>
      <c r="C14" s="305" t="s">
        <v>633</v>
      </c>
      <c r="D14" s="305"/>
      <c r="E14" s="305"/>
      <c r="F14" s="305"/>
      <c r="G14" s="305" t="s">
        <v>634</v>
      </c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</row>
    <row r="15" spans="1:20">
      <c r="A15" s="305" t="s">
        <v>635</v>
      </c>
      <c r="B15" s="305"/>
      <c r="C15" s="305" t="s">
        <v>636</v>
      </c>
      <c r="D15" s="305"/>
      <c r="E15" s="305"/>
      <c r="F15" s="305"/>
      <c r="G15" s="305"/>
      <c r="H15" s="305" t="s">
        <v>637</v>
      </c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</row>
    <row r="16" spans="1:20">
      <c r="A16" s="305" t="s">
        <v>638</v>
      </c>
      <c r="B16" s="305"/>
      <c r="C16" s="305" t="s">
        <v>639</v>
      </c>
      <c r="D16" s="305"/>
      <c r="E16" s="305"/>
      <c r="F16" s="305"/>
      <c r="G16" s="305"/>
      <c r="H16" s="305" t="s">
        <v>640</v>
      </c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</row>
    <row r="17" spans="1:20">
      <c r="A17" s="306">
        <v>41193.459722222222</v>
      </c>
      <c r="B17" s="305"/>
      <c r="C17" s="307">
        <v>40086</v>
      </c>
      <c r="D17" s="305"/>
      <c r="E17" s="305"/>
      <c r="F17" s="305"/>
      <c r="G17" s="305"/>
      <c r="H17" s="305" t="s">
        <v>641</v>
      </c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</row>
    <row r="18" spans="1:20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</row>
    <row r="19" spans="1:20">
      <c r="A19" s="305" t="s">
        <v>642</v>
      </c>
      <c r="B19" s="305"/>
      <c r="C19" s="305"/>
      <c r="D19" s="305" t="s">
        <v>643</v>
      </c>
      <c r="E19" s="305" t="s">
        <v>644</v>
      </c>
      <c r="F19" s="305" t="s">
        <v>645</v>
      </c>
      <c r="G19" s="305" t="s">
        <v>646</v>
      </c>
      <c r="H19" s="305" t="s">
        <v>647</v>
      </c>
      <c r="I19" s="305" t="s">
        <v>648</v>
      </c>
      <c r="J19" s="305" t="s">
        <v>649</v>
      </c>
      <c r="K19" s="305" t="s">
        <v>650</v>
      </c>
      <c r="L19" s="305" t="s">
        <v>651</v>
      </c>
      <c r="M19" s="305" t="s">
        <v>652</v>
      </c>
      <c r="N19" s="305" t="s">
        <v>653</v>
      </c>
      <c r="O19" s="305" t="s">
        <v>654</v>
      </c>
      <c r="P19" s="305" t="s">
        <v>655</v>
      </c>
      <c r="Q19" s="305" t="s">
        <v>656</v>
      </c>
      <c r="R19" s="305" t="s">
        <v>657</v>
      </c>
      <c r="S19" s="305" t="s">
        <v>658</v>
      </c>
      <c r="T19" s="305"/>
    </row>
    <row r="20" spans="1:20">
      <c r="A20" s="305" t="s">
        <v>659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</row>
    <row r="21" spans="1:20">
      <c r="A21" s="305"/>
      <c r="B21" s="305" t="s">
        <v>662</v>
      </c>
      <c r="C21" s="305" t="s">
        <v>660</v>
      </c>
      <c r="D21" s="305">
        <v>0</v>
      </c>
      <c r="E21" s="305">
        <v>0</v>
      </c>
      <c r="F21" s="305">
        <v>0</v>
      </c>
      <c r="G21" s="305">
        <v>0</v>
      </c>
      <c r="H21" s="305">
        <v>0</v>
      </c>
      <c r="I21" s="305">
        <v>0</v>
      </c>
      <c r="J21" s="305">
        <v>0</v>
      </c>
      <c r="K21" s="305">
        <v>0</v>
      </c>
      <c r="L21" s="308">
        <v>1908</v>
      </c>
      <c r="M21" s="308">
        <v>6332</v>
      </c>
      <c r="N21" s="308">
        <v>9516</v>
      </c>
      <c r="O21" s="308">
        <v>8692</v>
      </c>
      <c r="P21" s="305">
        <v>12</v>
      </c>
      <c r="Q21" s="305">
        <v>0</v>
      </c>
      <c r="R21" s="305">
        <v>0</v>
      </c>
      <c r="S21" s="308">
        <v>26460</v>
      </c>
      <c r="T21" s="305"/>
    </row>
    <row r="22" spans="1:20">
      <c r="A22" s="305" t="s">
        <v>663</v>
      </c>
      <c r="B22" s="305"/>
      <c r="C22" s="305" t="s">
        <v>660</v>
      </c>
      <c r="D22" s="305">
        <v>0</v>
      </c>
      <c r="E22" s="305">
        <v>0</v>
      </c>
      <c r="F22" s="305">
        <v>0</v>
      </c>
      <c r="G22" s="305">
        <v>0</v>
      </c>
      <c r="H22" s="305">
        <v>0</v>
      </c>
      <c r="I22" s="305">
        <v>0</v>
      </c>
      <c r="J22" s="305">
        <v>0</v>
      </c>
      <c r="K22" s="305">
        <v>0</v>
      </c>
      <c r="L22" s="308">
        <v>1908</v>
      </c>
      <c r="M22" s="308">
        <v>6332</v>
      </c>
      <c r="N22" s="308">
        <v>9516</v>
      </c>
      <c r="O22" s="308">
        <v>8692</v>
      </c>
      <c r="P22" s="305">
        <v>12</v>
      </c>
      <c r="Q22" s="305">
        <v>0</v>
      </c>
      <c r="R22" s="305">
        <v>0</v>
      </c>
      <c r="S22" s="308">
        <v>26460</v>
      </c>
      <c r="T22" s="305"/>
    </row>
    <row r="23" spans="1:20">
      <c r="A23" s="305" t="s">
        <v>661</v>
      </c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</row>
    <row r="24" spans="1:20">
      <c r="A24" s="305"/>
      <c r="B24" s="305"/>
      <c r="C24" s="305" t="s">
        <v>660</v>
      </c>
      <c r="D24" s="305">
        <v>0</v>
      </c>
      <c r="E24" s="305">
        <v>0</v>
      </c>
      <c r="F24" s="305">
        <v>0</v>
      </c>
      <c r="G24" s="305">
        <v>0</v>
      </c>
      <c r="H24" s="305">
        <v>0</v>
      </c>
      <c r="I24" s="305">
        <v>0</v>
      </c>
      <c r="J24" s="305">
        <v>0</v>
      </c>
      <c r="K24" s="305">
        <v>0</v>
      </c>
      <c r="L24" s="308">
        <v>1908</v>
      </c>
      <c r="M24" s="308">
        <v>6332</v>
      </c>
      <c r="N24" s="308">
        <v>9516</v>
      </c>
      <c r="O24" s="308">
        <v>8692</v>
      </c>
      <c r="P24" s="305">
        <v>12</v>
      </c>
      <c r="Q24" s="305">
        <v>0</v>
      </c>
      <c r="R24" s="305">
        <v>0</v>
      </c>
      <c r="S24" s="308">
        <v>26460</v>
      </c>
      <c r="T24" s="305"/>
    </row>
    <row r="25" spans="1:20">
      <c r="A25" s="305"/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</row>
  </sheetData>
  <pageMargins left="0.7" right="0.7" top="0.75" bottom="0.75" header="0.3" footer="0.3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9" sqref="D9"/>
    </sheetView>
  </sheetViews>
  <sheetFormatPr defaultRowHeight="15"/>
  <cols>
    <col min="1" max="1" width="32.5703125" bestFit="1" customWidth="1"/>
    <col min="2" max="2" width="4.5703125" bestFit="1" customWidth="1"/>
    <col min="3" max="3" width="11.140625" bestFit="1" customWidth="1"/>
    <col min="4" max="6" width="11.140625" customWidth="1"/>
    <col min="7" max="7" width="11.140625" bestFit="1" customWidth="1"/>
    <col min="8" max="8" width="10" bestFit="1" customWidth="1"/>
  </cols>
  <sheetData>
    <row r="1" spans="1:8" ht="15.75">
      <c r="A1" s="158" t="s">
        <v>259</v>
      </c>
      <c r="B1" s="158" t="s">
        <v>15</v>
      </c>
      <c r="C1" s="158" t="s">
        <v>260</v>
      </c>
      <c r="D1" s="158" t="s">
        <v>261</v>
      </c>
      <c r="E1" s="158"/>
      <c r="F1" s="158"/>
      <c r="G1" s="159" t="s">
        <v>262</v>
      </c>
      <c r="H1" s="158"/>
    </row>
    <row r="2" spans="1:8">
      <c r="A2" t="s">
        <v>263</v>
      </c>
      <c r="B2">
        <v>1</v>
      </c>
      <c r="C2" s="47">
        <f>B2*'Winding and Curing Tooling'!G22</f>
        <v>83948.824999999997</v>
      </c>
      <c r="D2" s="160">
        <v>0</v>
      </c>
      <c r="E2" s="160"/>
      <c r="F2" s="160"/>
      <c r="G2" s="161">
        <v>0</v>
      </c>
      <c r="H2" s="160"/>
    </row>
    <row r="3" spans="1:8">
      <c r="A3" t="s">
        <v>264</v>
      </c>
      <c r="B3">
        <v>1</v>
      </c>
      <c r="C3" s="47">
        <f>'Winding and Curing Tooling'!I31</f>
        <v>29964</v>
      </c>
      <c r="D3" s="160">
        <v>0</v>
      </c>
      <c r="E3" s="160"/>
      <c r="F3" s="160"/>
      <c r="G3" s="161">
        <v>0</v>
      </c>
      <c r="H3" s="160"/>
    </row>
    <row r="4" spans="1:8">
      <c r="A4" t="s">
        <v>265</v>
      </c>
      <c r="B4">
        <v>1</v>
      </c>
      <c r="C4" s="47">
        <f>B4*'Winding and Curing Tooling'!G88</f>
        <v>127610.825</v>
      </c>
      <c r="D4" s="47">
        <f>'Winding and Curing Tooling'!O88</f>
        <v>178221.04356060608</v>
      </c>
      <c r="E4" s="47"/>
      <c r="F4" s="47"/>
      <c r="G4" s="162">
        <f>B4*'Winding and Curing Tooling'!O88</f>
        <v>178221.04356060608</v>
      </c>
      <c r="H4" s="47"/>
    </row>
    <row r="5" spans="1:8">
      <c r="A5" t="s">
        <v>266</v>
      </c>
      <c r="B5">
        <v>1</v>
      </c>
      <c r="C5" s="47">
        <f>'Winding and Curing Tooling'!G91</f>
        <v>38880</v>
      </c>
      <c r="D5" s="47">
        <f>'Winding and Curing Tooling'!O91</f>
        <v>36288</v>
      </c>
      <c r="E5" s="47"/>
      <c r="F5" s="47"/>
      <c r="G5" s="162">
        <f>'Winding and Curing Tooling'!O91</f>
        <v>36288</v>
      </c>
      <c r="H5" s="47"/>
    </row>
    <row r="6" spans="1:8">
      <c r="A6" t="s">
        <v>267</v>
      </c>
      <c r="B6">
        <v>1</v>
      </c>
      <c r="C6" s="47">
        <f>B6*'Reaction and Impre. Tooling'!J67</f>
        <v>192103.46999999997</v>
      </c>
      <c r="D6" s="47">
        <f>'Reaction and Impre. Tooling'!S67</f>
        <v>276029.52520661167</v>
      </c>
      <c r="E6" s="47"/>
      <c r="F6" s="47"/>
      <c r="G6" s="162">
        <f>'Reaction and Impre. Tooling'!AB67</f>
        <v>100129.2483884298</v>
      </c>
      <c r="H6" s="47"/>
    </row>
    <row r="7" spans="1:8">
      <c r="A7" t="s">
        <v>268</v>
      </c>
      <c r="B7">
        <v>1</v>
      </c>
      <c r="C7" s="47">
        <f>'Reaction and Impre. Tooling'!J70</f>
        <v>24192</v>
      </c>
      <c r="D7" s="47">
        <f>'Reaction and Impre. Tooling'!R70</f>
        <v>24192</v>
      </c>
      <c r="E7" s="47"/>
      <c r="F7" s="47"/>
      <c r="G7" s="162">
        <f>'Reaction and Impre. Tooling'!AA70</f>
        <v>15552</v>
      </c>
      <c r="H7" s="47"/>
    </row>
    <row r="8" spans="1:8" ht="15.75">
      <c r="A8" s="163" t="s">
        <v>269</v>
      </c>
      <c r="B8" s="163"/>
      <c r="C8" s="164">
        <f>SUM(C2:C7)</f>
        <v>496699.12</v>
      </c>
      <c r="D8" s="164">
        <f>SUM(D2:D7)</f>
        <v>514730.56876721774</v>
      </c>
      <c r="E8" s="164"/>
      <c r="F8" s="164"/>
      <c r="G8" s="165">
        <f>SUM(G2:G7)</f>
        <v>330190.29194903589</v>
      </c>
      <c r="H8" s="164"/>
    </row>
    <row r="9" spans="1:8">
      <c r="A9" s="166" t="s">
        <v>270</v>
      </c>
      <c r="B9">
        <v>1</v>
      </c>
      <c r="C9" s="47">
        <f>B9*('Coil Parts'!J30+'Coil Parts'!G34)</f>
        <v>39431.930000000008</v>
      </c>
      <c r="D9" s="47">
        <f>B9*('Coil Parts'!S30+'Coil Parts'!P34)</f>
        <v>50580.091136363641</v>
      </c>
      <c r="E9" s="47"/>
      <c r="F9" s="47"/>
      <c r="G9" s="162">
        <f>B9*('Coil Parts'!S30+'Coil Parts'!P34)</f>
        <v>50580.091136363641</v>
      </c>
      <c r="H9" s="47"/>
    </row>
    <row r="10" spans="1:8" ht="15.75">
      <c r="A10" s="163" t="s">
        <v>271</v>
      </c>
      <c r="C10" s="164">
        <f>SUM(C8:C9)</f>
        <v>536131.05000000005</v>
      </c>
      <c r="D10" s="164">
        <f>SUM(D8:D9)</f>
        <v>565310.65990358137</v>
      </c>
      <c r="E10" s="164"/>
      <c r="F10" s="164"/>
      <c r="G10" s="165">
        <f>SUM(G8:G9)</f>
        <v>380770.38308539952</v>
      </c>
      <c r="H10" s="164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8"/>
  <sheetViews>
    <sheetView workbookViewId="0">
      <selection activeCell="L22" sqref="L22"/>
    </sheetView>
  </sheetViews>
  <sheetFormatPr defaultRowHeight="12.75"/>
  <cols>
    <col min="1" max="1" width="25.7109375" style="482" customWidth="1"/>
    <col min="2" max="2" width="7" style="482" customWidth="1"/>
    <col min="3" max="3" width="9.140625" style="482"/>
    <col min="4" max="4" width="11.42578125" style="482" customWidth="1"/>
    <col min="5" max="5" width="17.5703125" style="482" customWidth="1"/>
    <col min="6" max="6" width="12.42578125" style="482" customWidth="1"/>
    <col min="7" max="7" width="11.85546875" style="482" customWidth="1"/>
    <col min="8" max="8" width="18.28515625" style="482" customWidth="1"/>
    <col min="9" max="9" width="13.42578125" style="483" customWidth="1"/>
    <col min="10" max="16384" width="9.140625" style="482"/>
  </cols>
  <sheetData>
    <row r="3" spans="1:19" ht="20.25">
      <c r="A3" s="481" t="s">
        <v>1783</v>
      </c>
    </row>
    <row r="5" spans="1:19" ht="15">
      <c r="A5" s="484"/>
      <c r="B5" s="484"/>
      <c r="C5" s="485" t="s">
        <v>1750</v>
      </c>
      <c r="D5" s="486"/>
      <c r="E5" s="487"/>
      <c r="F5" s="488">
        <f>150/120</f>
        <v>1.25</v>
      </c>
      <c r="G5" s="489"/>
      <c r="H5" s="484"/>
      <c r="I5" s="490"/>
      <c r="J5" s="484"/>
    </row>
    <row r="6" spans="1:19" ht="15">
      <c r="A6" s="484" t="s">
        <v>1784</v>
      </c>
      <c r="B6" s="484"/>
      <c r="C6" s="491" t="s">
        <v>1751</v>
      </c>
      <c r="D6" s="492"/>
      <c r="E6" s="493"/>
      <c r="F6" s="488">
        <f>1.38/1.5</f>
        <v>0.91999999999999993</v>
      </c>
      <c r="G6" s="489"/>
      <c r="H6" s="484"/>
      <c r="I6" s="490"/>
      <c r="J6" s="484"/>
    </row>
    <row r="7" spans="1:19" ht="15.75">
      <c r="A7" s="484"/>
      <c r="B7" s="484"/>
      <c r="C7" s="491" t="s">
        <v>1752</v>
      </c>
      <c r="D7" s="492"/>
      <c r="E7" s="493"/>
      <c r="F7" s="494">
        <f>4/3</f>
        <v>1.3333333333333333</v>
      </c>
      <c r="G7" s="489"/>
      <c r="H7" s="484"/>
      <c r="I7" s="490"/>
      <c r="J7" s="484"/>
      <c r="S7" s="46"/>
    </row>
    <row r="8" spans="1:19" ht="15">
      <c r="A8" s="484"/>
      <c r="B8" s="484"/>
      <c r="C8" s="495" t="s">
        <v>1753</v>
      </c>
      <c r="D8" s="492"/>
      <c r="E8" s="493"/>
      <c r="F8" s="497">
        <f>300*F5*F6*F7+25</f>
        <v>485</v>
      </c>
      <c r="G8" s="489"/>
      <c r="H8" s="484"/>
      <c r="I8" s="541" t="s">
        <v>1785</v>
      </c>
      <c r="J8" s="484"/>
    </row>
    <row r="9" spans="1:19" ht="15">
      <c r="A9" s="484"/>
      <c r="B9" s="484"/>
      <c r="C9" s="491" t="s">
        <v>1754</v>
      </c>
      <c r="D9" s="492"/>
      <c r="E9" s="493"/>
      <c r="F9" s="494">
        <f>(0.85/0.778)^2</f>
        <v>1.1936545489390105</v>
      </c>
      <c r="G9" s="489"/>
      <c r="H9" s="484"/>
      <c r="I9" s="490"/>
      <c r="J9" s="484"/>
    </row>
    <row r="10" spans="1:19" ht="15">
      <c r="A10" s="484"/>
      <c r="B10" s="484"/>
      <c r="C10" s="495" t="s">
        <v>1755</v>
      </c>
      <c r="D10" s="492"/>
      <c r="E10" s="493"/>
      <c r="F10" s="496">
        <f>F8*40*1.05</f>
        <v>20370</v>
      </c>
      <c r="G10" s="488" t="s">
        <v>1756</v>
      </c>
      <c r="H10" s="484"/>
      <c r="I10" s="490"/>
      <c r="J10" s="484"/>
    </row>
    <row r="11" spans="1:19" ht="15">
      <c r="A11" s="484"/>
      <c r="B11" s="484"/>
      <c r="C11" s="495" t="s">
        <v>1757</v>
      </c>
      <c r="D11" s="492"/>
      <c r="E11" s="493"/>
      <c r="F11" s="496">
        <f>F10*1.1</f>
        <v>22407</v>
      </c>
      <c r="G11" s="488" t="s">
        <v>1756</v>
      </c>
      <c r="H11" s="484"/>
      <c r="I11" s="490"/>
      <c r="J11" s="484"/>
    </row>
    <row r="12" spans="1:19" ht="15.75">
      <c r="A12" s="484"/>
      <c r="B12" s="484"/>
      <c r="C12" s="495" t="s">
        <v>1758</v>
      </c>
      <c r="D12" s="492"/>
      <c r="E12" s="493"/>
      <c r="F12" s="497">
        <f>F11/((238/F9)/F9)</f>
        <v>134.14178218326879</v>
      </c>
      <c r="G12" s="488" t="s">
        <v>1759</v>
      </c>
      <c r="H12" s="498" t="s">
        <v>1760</v>
      </c>
      <c r="I12" s="499">
        <f>F12*H23</f>
        <v>0</v>
      </c>
      <c r="J12" s="484"/>
    </row>
    <row r="13" spans="1:19" ht="15.75">
      <c r="A13" s="484"/>
      <c r="B13" s="484"/>
      <c r="C13" s="500" t="s">
        <v>1761</v>
      </c>
      <c r="D13" s="492"/>
      <c r="E13" s="493"/>
      <c r="F13" s="501">
        <f>F12*'[2]Cost Basis'!C10</f>
        <v>200797.37031726379</v>
      </c>
      <c r="G13" s="489"/>
      <c r="H13" s="492"/>
      <c r="I13" s="502"/>
      <c r="J13" s="484"/>
    </row>
    <row r="14" spans="1:19" ht="15.75">
      <c r="A14" s="484"/>
      <c r="B14" s="484"/>
      <c r="C14" s="500" t="s">
        <v>1762</v>
      </c>
      <c r="D14" s="492"/>
      <c r="E14" s="493"/>
      <c r="F14" s="501">
        <f>'[2]Cost Basis'!S8/2</f>
        <v>18782.608695652176</v>
      </c>
      <c r="G14" s="489"/>
      <c r="H14" s="492"/>
      <c r="I14" s="502"/>
      <c r="J14" s="484"/>
    </row>
    <row r="15" spans="1:19" ht="15.75">
      <c r="A15" s="484"/>
      <c r="B15" s="484"/>
      <c r="C15" s="503" t="s">
        <v>1763</v>
      </c>
      <c r="D15" s="504"/>
      <c r="E15" s="505"/>
      <c r="F15" s="501">
        <f>F8*'[2]Cost Basis'!G10</f>
        <v>7605.5760000000009</v>
      </c>
      <c r="G15" s="489"/>
      <c r="H15" s="492"/>
      <c r="I15" s="502"/>
      <c r="J15" s="484"/>
    </row>
    <row r="16" spans="1:19" ht="15.75">
      <c r="A16" s="484"/>
      <c r="B16" s="484"/>
      <c r="C16" s="506" t="s">
        <v>1764</v>
      </c>
      <c r="D16" s="484"/>
      <c r="E16" s="484"/>
      <c r="F16" s="507">
        <f>F13+F14+F15</f>
        <v>227185.55501291598</v>
      </c>
      <c r="G16" s="484"/>
      <c r="H16" s="498" t="s">
        <v>1786</v>
      </c>
      <c r="I16" s="508">
        <f>F16*H23</f>
        <v>0</v>
      </c>
      <c r="J16" s="484"/>
    </row>
    <row r="17" spans="1:10" ht="15.75">
      <c r="A17" s="484"/>
      <c r="B17" s="484"/>
      <c r="C17" s="506"/>
      <c r="D17" s="484"/>
      <c r="E17" s="484"/>
      <c r="F17" s="507"/>
      <c r="G17" s="484"/>
      <c r="H17" s="492"/>
      <c r="I17" s="508"/>
      <c r="J17" s="484"/>
    </row>
    <row r="18" spans="1:10" ht="15.75">
      <c r="A18" s="484"/>
      <c r="B18" s="484"/>
      <c r="C18" s="509" t="s">
        <v>1765</v>
      </c>
      <c r="D18" s="510">
        <v>0.1</v>
      </c>
      <c r="E18" s="484"/>
      <c r="F18" s="511">
        <f>F16*0.1</f>
        <v>22718.555501291601</v>
      </c>
      <c r="G18" s="484"/>
      <c r="H18" s="492" t="s">
        <v>1766</v>
      </c>
      <c r="I18" s="508">
        <f>F18*14</f>
        <v>318059.77701808244</v>
      </c>
      <c r="J18" s="484"/>
    </row>
    <row r="19" spans="1:10" ht="15.75">
      <c r="A19" s="484"/>
      <c r="B19" s="484"/>
      <c r="C19" s="506" t="s">
        <v>1767</v>
      </c>
      <c r="D19" s="484"/>
      <c r="E19" s="484"/>
      <c r="F19" s="511">
        <f>5*'[2]Cost Basis'!G17</f>
        <v>27500</v>
      </c>
      <c r="G19" s="484"/>
      <c r="H19" s="492" t="s">
        <v>1768</v>
      </c>
      <c r="I19" s="508">
        <f>F19*H23</f>
        <v>0</v>
      </c>
      <c r="J19" s="484"/>
    </row>
    <row r="20" spans="1:10" ht="15.75">
      <c r="A20" s="484"/>
      <c r="B20" s="484"/>
      <c r="C20" s="484"/>
      <c r="D20" s="484"/>
      <c r="E20" s="506" t="s">
        <v>1787</v>
      </c>
      <c r="F20" s="507">
        <f>SUM(F16:F19)</f>
        <v>277404.11051420757</v>
      </c>
      <c r="G20" s="484"/>
      <c r="H20" s="484"/>
      <c r="I20" s="542">
        <f>SUM(I16:I19)</f>
        <v>318059.77701808244</v>
      </c>
      <c r="J20" s="484"/>
    </row>
    <row r="21" spans="1:10" ht="15.75">
      <c r="A21" s="488"/>
      <c r="B21" s="512">
        <v>2012</v>
      </c>
      <c r="C21" s="512">
        <v>2013</v>
      </c>
      <c r="D21" s="512">
        <v>2014</v>
      </c>
      <c r="E21" s="512">
        <v>2015</v>
      </c>
      <c r="F21" s="512">
        <v>2016</v>
      </c>
      <c r="G21" s="512">
        <v>2017</v>
      </c>
      <c r="H21" s="513" t="s">
        <v>153</v>
      </c>
      <c r="I21" s="514"/>
      <c r="J21" s="484"/>
    </row>
    <row r="22" spans="1:10" ht="15.75">
      <c r="A22" s="488"/>
      <c r="B22" s="488"/>
      <c r="C22" s="488"/>
      <c r="D22" s="488"/>
      <c r="E22" s="488"/>
      <c r="F22" s="488"/>
      <c r="G22" s="488"/>
      <c r="H22" s="488"/>
      <c r="I22" s="514"/>
      <c r="J22" s="484"/>
    </row>
    <row r="23" spans="1:10" ht="15.75">
      <c r="A23" s="515" t="s">
        <v>1769</v>
      </c>
      <c r="B23" s="488"/>
      <c r="C23" s="512">
        <v>0</v>
      </c>
      <c r="D23" s="512">
        <v>0</v>
      </c>
      <c r="E23" s="512">
        <v>0</v>
      </c>
      <c r="F23" s="512">
        <v>0</v>
      </c>
      <c r="G23" s="512">
        <v>0</v>
      </c>
      <c r="H23" s="512">
        <f>SUM(D23:G23)</f>
        <v>0</v>
      </c>
      <c r="I23" s="514"/>
      <c r="J23" s="484"/>
    </row>
    <row r="24" spans="1:10" ht="15.75">
      <c r="A24" s="516" t="s">
        <v>1770</v>
      </c>
      <c r="B24" s="488"/>
      <c r="C24" s="517">
        <f>C23*$F$12</f>
        <v>0</v>
      </c>
      <c r="D24" s="517">
        <f>D23*$F$12</f>
        <v>0</v>
      </c>
      <c r="E24" s="517">
        <f>E23*$F$12</f>
        <v>0</v>
      </c>
      <c r="F24" s="517">
        <f>F23*$F$12</f>
        <v>0</v>
      </c>
      <c r="G24" s="517">
        <f>G23*$F$12</f>
        <v>0</v>
      </c>
      <c r="H24" s="518">
        <f>SUM(D24:G24)</f>
        <v>0</v>
      </c>
      <c r="I24" s="514"/>
      <c r="J24" s="484"/>
    </row>
    <row r="25" spans="1:10" ht="15">
      <c r="A25" s="519" t="s">
        <v>1771</v>
      </c>
      <c r="B25" s="488"/>
      <c r="C25" s="513"/>
      <c r="D25" s="513"/>
      <c r="E25" s="513"/>
      <c r="F25" s="488"/>
      <c r="G25" s="488"/>
      <c r="H25" s="518">
        <f>SUM(C25:G25)</f>
        <v>0</v>
      </c>
      <c r="I25" s="490"/>
      <c r="J25" s="484"/>
    </row>
    <row r="26" spans="1:10" ht="15">
      <c r="A26" s="484"/>
      <c r="B26" s="484"/>
      <c r="C26" s="484"/>
      <c r="D26" s="484"/>
      <c r="E26" s="484"/>
      <c r="F26" s="484"/>
      <c r="G26" s="484"/>
      <c r="H26" s="484"/>
      <c r="I26" s="490"/>
      <c r="J26" s="484"/>
    </row>
    <row r="27" spans="1:10" ht="15">
      <c r="A27" s="484"/>
      <c r="B27" s="484"/>
      <c r="C27" s="484"/>
      <c r="D27" s="484"/>
      <c r="E27" s="484"/>
      <c r="F27" s="484"/>
      <c r="G27" s="484"/>
      <c r="H27" s="484"/>
      <c r="I27" s="490"/>
      <c r="J27" s="484"/>
    </row>
    <row r="28" spans="1:10" ht="15">
      <c r="A28" s="484"/>
      <c r="B28" s="484"/>
      <c r="C28" s="484"/>
      <c r="D28" s="484"/>
      <c r="E28" s="484"/>
      <c r="F28" s="484"/>
      <c r="G28" s="484"/>
      <c r="H28" s="484"/>
      <c r="I28" s="490"/>
      <c r="J28" s="484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0"/>
  <sheetViews>
    <sheetView workbookViewId="0">
      <selection activeCell="O7" sqref="O7"/>
    </sheetView>
  </sheetViews>
  <sheetFormatPr defaultRowHeight="15"/>
  <cols>
    <col min="3" max="3" width="19" bestFit="1" customWidth="1"/>
    <col min="4" max="4" width="10.85546875" bestFit="1" customWidth="1"/>
    <col min="5" max="5" width="12.28515625" customWidth="1"/>
    <col min="6" max="6" width="11" customWidth="1"/>
    <col min="7" max="7" width="10.42578125" bestFit="1" customWidth="1"/>
    <col min="8" max="8" width="8.42578125" bestFit="1" customWidth="1"/>
    <col min="9" max="9" width="10" customWidth="1"/>
    <col min="10" max="10" width="11.5703125" bestFit="1" customWidth="1"/>
    <col min="11" max="11" width="20.140625" customWidth="1"/>
    <col min="12" max="12" width="20.42578125" bestFit="1" customWidth="1"/>
    <col min="13" max="13" width="9.5703125" bestFit="1" customWidth="1"/>
    <col min="14" max="14" width="9.5703125" customWidth="1"/>
    <col min="15" max="15" width="9.42578125" bestFit="1" customWidth="1"/>
    <col min="16" max="16" width="10.42578125" bestFit="1" customWidth="1"/>
    <col min="17" max="17" width="8.42578125" bestFit="1" customWidth="1"/>
    <col min="18" max="18" width="9.42578125" bestFit="1" customWidth="1"/>
    <col min="19" max="19" width="11.28515625" bestFit="1" customWidth="1"/>
    <col min="20" max="20" width="19.85546875" customWidth="1"/>
    <col min="21" max="21" width="12.85546875" customWidth="1"/>
    <col min="22" max="22" width="9.5703125" bestFit="1" customWidth="1"/>
    <col min="24" max="24" width="10.42578125" bestFit="1" customWidth="1"/>
    <col min="25" max="25" width="9.42578125" customWidth="1"/>
    <col min="26" max="26" width="11.28515625" bestFit="1" customWidth="1"/>
  </cols>
  <sheetData>
    <row r="1" spans="3:19">
      <c r="C1" s="167" t="s">
        <v>272</v>
      </c>
      <c r="D1" t="s">
        <v>273</v>
      </c>
      <c r="F1" t="s">
        <v>274</v>
      </c>
      <c r="M1" t="s">
        <v>273</v>
      </c>
      <c r="O1" t="s">
        <v>275</v>
      </c>
    </row>
    <row r="2" spans="3:19" ht="15.75" thickBot="1">
      <c r="C2" s="167"/>
      <c r="D2" s="168" t="s">
        <v>276</v>
      </c>
      <c r="E2" s="45"/>
      <c r="F2" s="46">
        <f>150/120</f>
        <v>1.25</v>
      </c>
      <c r="L2" s="167"/>
      <c r="M2" s="169" t="s">
        <v>277</v>
      </c>
      <c r="N2" s="167"/>
      <c r="O2" s="46">
        <f>4.5/3.3</f>
        <v>1.3636363636363638</v>
      </c>
    </row>
    <row r="3" spans="3:19" ht="32.25" thickBot="1">
      <c r="C3" s="170" t="s">
        <v>220</v>
      </c>
      <c r="D3" s="171" t="s">
        <v>278</v>
      </c>
      <c r="E3" s="171" t="s">
        <v>279</v>
      </c>
      <c r="F3" s="171" t="s">
        <v>280</v>
      </c>
      <c r="G3" s="171" t="s">
        <v>281</v>
      </c>
      <c r="H3" s="172" t="s">
        <v>282</v>
      </c>
      <c r="I3" s="171" t="s">
        <v>283</v>
      </c>
      <c r="J3" s="171" t="s">
        <v>284</v>
      </c>
      <c r="L3" s="170" t="s">
        <v>220</v>
      </c>
      <c r="M3" s="171" t="s">
        <v>278</v>
      </c>
      <c r="N3" s="171" t="s">
        <v>279</v>
      </c>
      <c r="O3" s="171" t="s">
        <v>280</v>
      </c>
      <c r="P3" s="171" t="s">
        <v>281</v>
      </c>
      <c r="Q3" s="172" t="s">
        <v>282</v>
      </c>
      <c r="R3" s="171" t="s">
        <v>283</v>
      </c>
      <c r="S3" s="171" t="s">
        <v>284</v>
      </c>
    </row>
    <row r="4" spans="3:19" ht="16.5" thickBot="1">
      <c r="C4" s="173" t="s">
        <v>285</v>
      </c>
      <c r="D4" s="591">
        <f>$D42*$F$2</f>
        <v>1852.4375</v>
      </c>
      <c r="E4" s="174">
        <f t="shared" ref="E4:E23" si="0">$E42*$F$2</f>
        <v>193.75</v>
      </c>
      <c r="F4" s="175" t="s">
        <v>286</v>
      </c>
      <c r="G4" s="176">
        <v>484122</v>
      </c>
      <c r="H4" s="176">
        <v>1</v>
      </c>
      <c r="I4" s="592">
        <f>D4*H4</f>
        <v>1852.4375</v>
      </c>
      <c r="J4" s="592">
        <f>I4+(E4+E5)*H4</f>
        <v>2252.4375</v>
      </c>
      <c r="L4" s="173" t="s">
        <v>285</v>
      </c>
      <c r="M4" s="591">
        <f>$D42*$F$2</f>
        <v>1852.4375</v>
      </c>
      <c r="N4" s="174">
        <f t="shared" ref="N4:N23" si="1">$E42*$F$2</f>
        <v>193.75</v>
      </c>
      <c r="O4" s="175" t="s">
        <v>286</v>
      </c>
      <c r="P4" s="176">
        <v>484122</v>
      </c>
      <c r="Q4" s="176">
        <v>1</v>
      </c>
      <c r="R4" s="592">
        <f>M4*Q4</f>
        <v>1852.4375</v>
      </c>
      <c r="S4" s="592">
        <f>R4+(N4+N5)*Q4</f>
        <v>2252.4375</v>
      </c>
    </row>
    <row r="5" spans="3:19" ht="16.5" thickBot="1">
      <c r="C5" s="173" t="s">
        <v>287</v>
      </c>
      <c r="D5" s="591"/>
      <c r="E5" s="174">
        <f t="shared" si="0"/>
        <v>206.25</v>
      </c>
      <c r="F5" s="175" t="s">
        <v>286</v>
      </c>
      <c r="G5" s="176">
        <v>484135</v>
      </c>
      <c r="H5" s="176">
        <v>1</v>
      </c>
      <c r="I5" s="593"/>
      <c r="J5" s="593"/>
      <c r="L5" s="173" t="s">
        <v>287</v>
      </c>
      <c r="M5" s="591"/>
      <c r="N5" s="174">
        <f t="shared" si="1"/>
        <v>206.25</v>
      </c>
      <c r="O5" s="175" t="s">
        <v>286</v>
      </c>
      <c r="P5" s="176">
        <v>484135</v>
      </c>
      <c r="Q5" s="176">
        <v>1</v>
      </c>
      <c r="R5" s="593"/>
      <c r="S5" s="593"/>
    </row>
    <row r="6" spans="3:19" ht="16.5" thickBot="1">
      <c r="C6" s="173" t="s">
        <v>288</v>
      </c>
      <c r="D6" s="177">
        <f t="shared" ref="D6:D25" si="2">$D44*$F$2</f>
        <v>662.0625</v>
      </c>
      <c r="E6" s="174">
        <f t="shared" si="0"/>
        <v>193.75</v>
      </c>
      <c r="F6" s="175" t="s">
        <v>286</v>
      </c>
      <c r="G6" s="176">
        <v>484123</v>
      </c>
      <c r="H6" s="176">
        <v>1</v>
      </c>
      <c r="I6" s="178">
        <f>D6*H6</f>
        <v>662.0625</v>
      </c>
      <c r="J6" s="177">
        <f>I6+E6*H6</f>
        <v>855.8125</v>
      </c>
      <c r="L6" s="173" t="s">
        <v>288</v>
      </c>
      <c r="M6" s="177">
        <f t="shared" ref="M6:M25" si="3">$D44*$F$2</f>
        <v>662.0625</v>
      </c>
      <c r="N6" s="174">
        <f t="shared" si="1"/>
        <v>193.75</v>
      </c>
      <c r="O6" s="175" t="s">
        <v>286</v>
      </c>
      <c r="P6" s="176">
        <v>484123</v>
      </c>
      <c r="Q6" s="176">
        <v>1</v>
      </c>
      <c r="R6" s="178">
        <f>M6*Q6</f>
        <v>662.0625</v>
      </c>
      <c r="S6" s="177">
        <f>R6+N6*Q6</f>
        <v>855.8125</v>
      </c>
    </row>
    <row r="7" spans="3:19" ht="16.5" thickBot="1">
      <c r="C7" s="173" t="s">
        <v>289</v>
      </c>
      <c r="D7" s="177">
        <f t="shared" si="2"/>
        <v>642</v>
      </c>
      <c r="E7" s="174">
        <f t="shared" si="0"/>
        <v>206.25</v>
      </c>
      <c r="F7" s="175" t="s">
        <v>286</v>
      </c>
      <c r="G7" s="176">
        <v>484132</v>
      </c>
      <c r="H7" s="176">
        <v>1</v>
      </c>
      <c r="I7" s="178">
        <f t="shared" ref="I7:I25" si="4">D7*H7</f>
        <v>642</v>
      </c>
      <c r="J7" s="177">
        <f t="shared" ref="J7:J25" si="5">I7+E7*H7</f>
        <v>848.25</v>
      </c>
      <c r="L7" s="173" t="s">
        <v>289</v>
      </c>
      <c r="M7" s="177">
        <f t="shared" si="3"/>
        <v>642</v>
      </c>
      <c r="N7" s="174">
        <f t="shared" si="1"/>
        <v>206.25</v>
      </c>
      <c r="O7" s="175" t="s">
        <v>286</v>
      </c>
      <c r="P7" s="176">
        <v>484132</v>
      </c>
      <c r="Q7" s="176">
        <v>1</v>
      </c>
      <c r="R7" s="178">
        <f t="shared" ref="R7:R25" si="6">M7*Q7</f>
        <v>642</v>
      </c>
      <c r="S7" s="177">
        <f t="shared" ref="S7:S25" si="7">R7+N7*Q7</f>
        <v>848.25</v>
      </c>
    </row>
    <row r="8" spans="3:19" ht="16.5" thickBot="1">
      <c r="C8" s="173" t="s">
        <v>290</v>
      </c>
      <c r="D8" s="177">
        <f t="shared" si="2"/>
        <v>407.9375</v>
      </c>
      <c r="E8" s="174">
        <f t="shared" si="0"/>
        <v>193.75</v>
      </c>
      <c r="F8" s="175" t="s">
        <v>286</v>
      </c>
      <c r="G8" s="176">
        <v>484120</v>
      </c>
      <c r="H8" s="176">
        <v>6</v>
      </c>
      <c r="I8" s="178">
        <f t="shared" si="4"/>
        <v>2447.625</v>
      </c>
      <c r="J8" s="177">
        <f t="shared" si="5"/>
        <v>3610.125</v>
      </c>
      <c r="L8" s="173" t="s">
        <v>290</v>
      </c>
      <c r="M8" s="177">
        <f t="shared" si="3"/>
        <v>407.9375</v>
      </c>
      <c r="N8" s="174">
        <f t="shared" si="1"/>
        <v>193.75</v>
      </c>
      <c r="O8" s="175" t="s">
        <v>286</v>
      </c>
      <c r="P8" s="176">
        <v>484120</v>
      </c>
      <c r="Q8" s="179">
        <v>11</v>
      </c>
      <c r="R8" s="178">
        <f t="shared" si="6"/>
        <v>4487.3125</v>
      </c>
      <c r="S8" s="177">
        <f t="shared" si="7"/>
        <v>6618.5625</v>
      </c>
    </row>
    <row r="9" spans="3:19" ht="16.5" thickBot="1">
      <c r="C9" s="173" t="s">
        <v>291</v>
      </c>
      <c r="D9" s="177">
        <f t="shared" si="2"/>
        <v>528.25</v>
      </c>
      <c r="E9" s="174">
        <f t="shared" si="0"/>
        <v>193.75</v>
      </c>
      <c r="F9" s="175" t="s">
        <v>286</v>
      </c>
      <c r="G9" s="176">
        <v>484121</v>
      </c>
      <c r="H9" s="176">
        <v>1</v>
      </c>
      <c r="I9" s="178">
        <f t="shared" si="4"/>
        <v>528.25</v>
      </c>
      <c r="J9" s="177">
        <f t="shared" si="5"/>
        <v>722</v>
      </c>
      <c r="L9" s="173" t="s">
        <v>291</v>
      </c>
      <c r="M9" s="177">
        <f t="shared" si="3"/>
        <v>528.25</v>
      </c>
      <c r="N9" s="174">
        <f t="shared" si="1"/>
        <v>193.75</v>
      </c>
      <c r="O9" s="175" t="s">
        <v>286</v>
      </c>
      <c r="P9" s="176">
        <v>484121</v>
      </c>
      <c r="Q9" s="176">
        <v>1</v>
      </c>
      <c r="R9" s="178">
        <f t="shared" si="6"/>
        <v>528.25</v>
      </c>
      <c r="S9" s="177">
        <f t="shared" si="7"/>
        <v>722</v>
      </c>
    </row>
    <row r="10" spans="3:19" ht="16.5" thickBot="1">
      <c r="C10" s="173" t="s">
        <v>292</v>
      </c>
      <c r="D10" s="177">
        <f t="shared" si="2"/>
        <v>454.75</v>
      </c>
      <c r="E10" s="174">
        <f t="shared" si="0"/>
        <v>206.25</v>
      </c>
      <c r="F10" s="175" t="s">
        <v>286</v>
      </c>
      <c r="G10" s="176">
        <v>484130</v>
      </c>
      <c r="H10" s="176">
        <v>6</v>
      </c>
      <c r="I10" s="178">
        <f t="shared" si="4"/>
        <v>2728.5</v>
      </c>
      <c r="J10" s="177">
        <f t="shared" si="5"/>
        <v>3966</v>
      </c>
      <c r="L10" s="173" t="s">
        <v>292</v>
      </c>
      <c r="M10" s="177">
        <f t="shared" si="3"/>
        <v>454.75</v>
      </c>
      <c r="N10" s="174">
        <f t="shared" si="1"/>
        <v>206.25</v>
      </c>
      <c r="O10" s="175" t="s">
        <v>286</v>
      </c>
      <c r="P10" s="176">
        <v>484130</v>
      </c>
      <c r="Q10" s="179">
        <v>11</v>
      </c>
      <c r="R10" s="178">
        <f t="shared" si="6"/>
        <v>5002.25</v>
      </c>
      <c r="S10" s="177">
        <f t="shared" si="7"/>
        <v>7271</v>
      </c>
    </row>
    <row r="11" spans="3:19" ht="16.5" thickBot="1">
      <c r="C11" s="173" t="s">
        <v>293</v>
      </c>
      <c r="D11" s="177">
        <f t="shared" si="2"/>
        <v>601.875</v>
      </c>
      <c r="E11" s="174">
        <f t="shared" si="0"/>
        <v>206.25</v>
      </c>
      <c r="F11" s="175" t="s">
        <v>286</v>
      </c>
      <c r="G11" s="176">
        <v>484131</v>
      </c>
      <c r="H11" s="176">
        <v>1</v>
      </c>
      <c r="I11" s="178">
        <f t="shared" si="4"/>
        <v>601.875</v>
      </c>
      <c r="J11" s="177">
        <f t="shared" si="5"/>
        <v>808.125</v>
      </c>
      <c r="L11" s="173" t="s">
        <v>293</v>
      </c>
      <c r="M11" s="177">
        <f t="shared" si="3"/>
        <v>601.875</v>
      </c>
      <c r="N11" s="174">
        <f t="shared" si="1"/>
        <v>206.25</v>
      </c>
      <c r="O11" s="175" t="s">
        <v>286</v>
      </c>
      <c r="P11" s="176">
        <v>484131</v>
      </c>
      <c r="Q11" s="176">
        <v>1</v>
      </c>
      <c r="R11" s="178">
        <f t="shared" si="6"/>
        <v>601.875</v>
      </c>
      <c r="S11" s="177">
        <f t="shared" si="7"/>
        <v>808.125</v>
      </c>
    </row>
    <row r="12" spans="3:19" ht="16.5" thickBot="1">
      <c r="C12" s="173" t="s">
        <v>294</v>
      </c>
      <c r="D12" s="177">
        <f t="shared" si="2"/>
        <v>656.25</v>
      </c>
      <c r="E12" s="174">
        <f t="shared" si="0"/>
        <v>218.75</v>
      </c>
      <c r="F12" s="180" t="s">
        <v>295</v>
      </c>
      <c r="G12" s="176">
        <v>484129</v>
      </c>
      <c r="H12" s="176">
        <v>1</v>
      </c>
      <c r="I12" s="178">
        <f t="shared" si="4"/>
        <v>656.25</v>
      </c>
      <c r="J12" s="177">
        <f t="shared" si="5"/>
        <v>875</v>
      </c>
      <c r="L12" s="173" t="s">
        <v>294</v>
      </c>
      <c r="M12" s="177">
        <f t="shared" si="3"/>
        <v>656.25</v>
      </c>
      <c r="N12" s="174">
        <f t="shared" si="1"/>
        <v>218.75</v>
      </c>
      <c r="O12" s="180" t="s">
        <v>295</v>
      </c>
      <c r="P12" s="176">
        <v>484129</v>
      </c>
      <c r="Q12" s="176">
        <v>1</v>
      </c>
      <c r="R12" s="178">
        <f t="shared" si="6"/>
        <v>656.25</v>
      </c>
      <c r="S12" s="177">
        <f t="shared" si="7"/>
        <v>875</v>
      </c>
    </row>
    <row r="13" spans="3:19" ht="16.5" thickBot="1">
      <c r="C13" s="173" t="s">
        <v>296</v>
      </c>
      <c r="D13" s="177">
        <f t="shared" si="2"/>
        <v>682.125</v>
      </c>
      <c r="E13" s="174">
        <f t="shared" si="0"/>
        <v>206.25</v>
      </c>
      <c r="F13" s="180" t="s">
        <v>295</v>
      </c>
      <c r="G13" s="176">
        <v>484128</v>
      </c>
      <c r="H13" s="176">
        <v>1</v>
      </c>
      <c r="I13" s="178">
        <f t="shared" si="4"/>
        <v>682.125</v>
      </c>
      <c r="J13" s="177">
        <f t="shared" si="5"/>
        <v>888.375</v>
      </c>
      <c r="L13" s="173" t="s">
        <v>296</v>
      </c>
      <c r="M13" s="177">
        <f t="shared" si="3"/>
        <v>682.125</v>
      </c>
      <c r="N13" s="174">
        <f t="shared" si="1"/>
        <v>206.25</v>
      </c>
      <c r="O13" s="180" t="s">
        <v>295</v>
      </c>
      <c r="P13" s="176">
        <v>484128</v>
      </c>
      <c r="Q13" s="176">
        <v>1</v>
      </c>
      <c r="R13" s="178">
        <f t="shared" si="6"/>
        <v>682.125</v>
      </c>
      <c r="S13" s="177">
        <f t="shared" si="7"/>
        <v>888.375</v>
      </c>
    </row>
    <row r="14" spans="3:19" ht="19.5" customHeight="1" thickBot="1">
      <c r="C14" s="173" t="s">
        <v>297</v>
      </c>
      <c r="D14" s="177">
        <f t="shared" si="2"/>
        <v>581.8125</v>
      </c>
      <c r="E14" s="174">
        <f t="shared" si="0"/>
        <v>193.75</v>
      </c>
      <c r="F14" s="176" t="s">
        <v>295</v>
      </c>
      <c r="G14" s="176">
        <v>484127</v>
      </c>
      <c r="H14" s="176">
        <v>1</v>
      </c>
      <c r="I14" s="178">
        <f t="shared" si="4"/>
        <v>581.8125</v>
      </c>
      <c r="J14" s="177">
        <f t="shared" si="5"/>
        <v>775.5625</v>
      </c>
      <c r="L14" s="173" t="s">
        <v>297</v>
      </c>
      <c r="M14" s="177">
        <f t="shared" si="3"/>
        <v>581.8125</v>
      </c>
      <c r="N14" s="174">
        <f t="shared" si="1"/>
        <v>193.75</v>
      </c>
      <c r="O14" s="176" t="s">
        <v>295</v>
      </c>
      <c r="P14" s="176">
        <v>484127</v>
      </c>
      <c r="Q14" s="176">
        <v>1</v>
      </c>
      <c r="R14" s="178">
        <f t="shared" si="6"/>
        <v>581.8125</v>
      </c>
      <c r="S14" s="177">
        <f t="shared" si="7"/>
        <v>775.5625</v>
      </c>
    </row>
    <row r="15" spans="3:19" ht="19.5" customHeight="1" thickBot="1">
      <c r="C15" s="173" t="s">
        <v>298</v>
      </c>
      <c r="D15" s="177">
        <f t="shared" si="2"/>
        <v>561.75</v>
      </c>
      <c r="E15" s="174">
        <f t="shared" si="0"/>
        <v>193.75</v>
      </c>
      <c r="F15" s="176" t="s">
        <v>295</v>
      </c>
      <c r="G15" s="176">
        <v>484126</v>
      </c>
      <c r="H15" s="176">
        <v>1</v>
      </c>
      <c r="I15" s="178">
        <f t="shared" si="4"/>
        <v>561.75</v>
      </c>
      <c r="J15" s="177">
        <f t="shared" si="5"/>
        <v>755.5</v>
      </c>
      <c r="L15" s="173" t="s">
        <v>298</v>
      </c>
      <c r="M15" s="177">
        <f t="shared" si="3"/>
        <v>561.75</v>
      </c>
      <c r="N15" s="174">
        <f t="shared" si="1"/>
        <v>193.75</v>
      </c>
      <c r="O15" s="176" t="s">
        <v>295</v>
      </c>
      <c r="P15" s="176">
        <v>484126</v>
      </c>
      <c r="Q15" s="176">
        <v>1</v>
      </c>
      <c r="R15" s="178">
        <f t="shared" si="6"/>
        <v>561.75</v>
      </c>
      <c r="S15" s="177">
        <f t="shared" si="7"/>
        <v>755.5</v>
      </c>
    </row>
    <row r="16" spans="3:19" ht="16.5" thickBot="1">
      <c r="C16" s="173" t="s">
        <v>299</v>
      </c>
      <c r="D16" s="177">
        <f t="shared" si="2"/>
        <v>800</v>
      </c>
      <c r="E16" s="174">
        <f t="shared" si="0"/>
        <v>206.25</v>
      </c>
      <c r="F16" s="176" t="s">
        <v>295</v>
      </c>
      <c r="G16" s="176">
        <v>484125</v>
      </c>
      <c r="H16" s="176">
        <v>1</v>
      </c>
      <c r="I16" s="178">
        <f t="shared" si="4"/>
        <v>800</v>
      </c>
      <c r="J16" s="177">
        <f t="shared" si="5"/>
        <v>1006.25</v>
      </c>
      <c r="L16" s="173" t="s">
        <v>299</v>
      </c>
      <c r="M16" s="177">
        <f t="shared" si="3"/>
        <v>800</v>
      </c>
      <c r="N16" s="174">
        <f t="shared" si="1"/>
        <v>206.25</v>
      </c>
      <c r="O16" s="176" t="s">
        <v>295</v>
      </c>
      <c r="P16" s="176">
        <v>484125</v>
      </c>
      <c r="Q16" s="176">
        <v>1</v>
      </c>
      <c r="R16" s="178">
        <f t="shared" si="6"/>
        <v>800</v>
      </c>
      <c r="S16" s="177">
        <f t="shared" si="7"/>
        <v>1006.25</v>
      </c>
    </row>
    <row r="17" spans="3:19" ht="16.5" thickBot="1">
      <c r="C17" s="173" t="s">
        <v>300</v>
      </c>
      <c r="D17" s="177">
        <f t="shared" si="2"/>
        <v>588.5</v>
      </c>
      <c r="E17" s="174">
        <f t="shared" si="0"/>
        <v>206.25</v>
      </c>
      <c r="F17" s="176" t="s">
        <v>295</v>
      </c>
      <c r="G17" s="176">
        <v>484124</v>
      </c>
      <c r="H17" s="176">
        <v>1</v>
      </c>
      <c r="I17" s="178">
        <f t="shared" si="4"/>
        <v>588.5</v>
      </c>
      <c r="J17" s="177">
        <f t="shared" si="5"/>
        <v>794.75</v>
      </c>
      <c r="L17" s="173" t="s">
        <v>300</v>
      </c>
      <c r="M17" s="177">
        <f t="shared" si="3"/>
        <v>588.5</v>
      </c>
      <c r="N17" s="174">
        <f t="shared" si="1"/>
        <v>206.25</v>
      </c>
      <c r="O17" s="176" t="s">
        <v>295</v>
      </c>
      <c r="P17" s="176">
        <v>484124</v>
      </c>
      <c r="Q17" s="176">
        <v>1</v>
      </c>
      <c r="R17" s="178">
        <f t="shared" si="6"/>
        <v>588.5</v>
      </c>
      <c r="S17" s="177">
        <f t="shared" si="7"/>
        <v>794.75</v>
      </c>
    </row>
    <row r="18" spans="3:19" ht="16.5" thickBot="1">
      <c r="C18" s="173" t="s">
        <v>301</v>
      </c>
      <c r="D18" s="177">
        <f t="shared" si="2"/>
        <v>815.875</v>
      </c>
      <c r="E18" s="174">
        <f t="shared" si="0"/>
        <v>206.25</v>
      </c>
      <c r="F18" s="176" t="s">
        <v>295</v>
      </c>
      <c r="G18" s="176">
        <v>484133</v>
      </c>
      <c r="H18" s="176">
        <v>1</v>
      </c>
      <c r="I18" s="178">
        <f t="shared" si="4"/>
        <v>815.875</v>
      </c>
      <c r="J18" s="177">
        <f t="shared" si="5"/>
        <v>1022.125</v>
      </c>
      <c r="L18" s="173" t="s">
        <v>301</v>
      </c>
      <c r="M18" s="177">
        <f t="shared" si="3"/>
        <v>815.875</v>
      </c>
      <c r="N18" s="174">
        <f t="shared" si="1"/>
        <v>206.25</v>
      </c>
      <c r="O18" s="176" t="s">
        <v>295</v>
      </c>
      <c r="P18" s="176">
        <v>484133</v>
      </c>
      <c r="Q18" s="176">
        <v>1</v>
      </c>
      <c r="R18" s="178">
        <f t="shared" si="6"/>
        <v>815.875</v>
      </c>
      <c r="S18" s="177">
        <f t="shared" si="7"/>
        <v>1022.125</v>
      </c>
    </row>
    <row r="19" spans="3:19" ht="16.5" thickBot="1">
      <c r="C19" s="173" t="s">
        <v>302</v>
      </c>
      <c r="D19" s="177">
        <f t="shared" si="2"/>
        <v>795.8125</v>
      </c>
      <c r="E19" s="174">
        <f t="shared" si="0"/>
        <v>206.25</v>
      </c>
      <c r="F19" s="176" t="s">
        <v>295</v>
      </c>
      <c r="G19" s="176">
        <v>484134</v>
      </c>
      <c r="H19" s="176">
        <v>1</v>
      </c>
      <c r="I19" s="178">
        <f t="shared" si="4"/>
        <v>795.8125</v>
      </c>
      <c r="J19" s="177">
        <f t="shared" si="5"/>
        <v>1002.0625</v>
      </c>
      <c r="L19" s="173" t="s">
        <v>302</v>
      </c>
      <c r="M19" s="177">
        <f t="shared" si="3"/>
        <v>795.8125</v>
      </c>
      <c r="N19" s="174">
        <f t="shared" si="1"/>
        <v>206.25</v>
      </c>
      <c r="O19" s="176" t="s">
        <v>295</v>
      </c>
      <c r="P19" s="176">
        <v>484134</v>
      </c>
      <c r="Q19" s="176">
        <v>1</v>
      </c>
      <c r="R19" s="178">
        <f t="shared" si="6"/>
        <v>795.8125</v>
      </c>
      <c r="S19" s="177">
        <f t="shared" si="7"/>
        <v>1002.0625</v>
      </c>
    </row>
    <row r="20" spans="3:19" ht="16.5" customHeight="1" thickBot="1">
      <c r="C20" s="173" t="s">
        <v>303</v>
      </c>
      <c r="D20" s="177">
        <f t="shared" si="2"/>
        <v>1037.5</v>
      </c>
      <c r="E20" s="174">
        <f t="shared" si="0"/>
        <v>218.75</v>
      </c>
      <c r="F20" s="176" t="s">
        <v>295</v>
      </c>
      <c r="G20" s="176">
        <v>484139</v>
      </c>
      <c r="H20" s="176">
        <v>1</v>
      </c>
      <c r="I20" s="178">
        <f t="shared" si="4"/>
        <v>1037.5</v>
      </c>
      <c r="J20" s="177">
        <f t="shared" si="5"/>
        <v>1256.25</v>
      </c>
      <c r="L20" s="173" t="s">
        <v>303</v>
      </c>
      <c r="M20" s="177">
        <f t="shared" si="3"/>
        <v>1037.5</v>
      </c>
      <c r="N20" s="174">
        <f t="shared" si="1"/>
        <v>218.75</v>
      </c>
      <c r="O20" s="176" t="s">
        <v>295</v>
      </c>
      <c r="P20" s="176">
        <v>484139</v>
      </c>
      <c r="Q20" s="176">
        <v>1</v>
      </c>
      <c r="R20" s="178">
        <f t="shared" si="6"/>
        <v>1037.5</v>
      </c>
      <c r="S20" s="177">
        <f t="shared" si="7"/>
        <v>1256.25</v>
      </c>
    </row>
    <row r="21" spans="3:19" ht="18" customHeight="1" thickBot="1">
      <c r="C21" s="173" t="s">
        <v>304</v>
      </c>
      <c r="D21" s="177">
        <f t="shared" si="2"/>
        <v>575.125</v>
      </c>
      <c r="E21" s="174">
        <f t="shared" si="0"/>
        <v>206.25</v>
      </c>
      <c r="F21" s="176" t="s">
        <v>295</v>
      </c>
      <c r="G21" s="176">
        <v>484138</v>
      </c>
      <c r="H21" s="176">
        <v>1</v>
      </c>
      <c r="I21" s="178">
        <f t="shared" si="4"/>
        <v>575.125</v>
      </c>
      <c r="J21" s="177">
        <f t="shared" si="5"/>
        <v>781.375</v>
      </c>
      <c r="L21" s="173" t="s">
        <v>304</v>
      </c>
      <c r="M21" s="177">
        <f t="shared" si="3"/>
        <v>575.125</v>
      </c>
      <c r="N21" s="174">
        <f t="shared" si="1"/>
        <v>206.25</v>
      </c>
      <c r="O21" s="176" t="s">
        <v>295</v>
      </c>
      <c r="P21" s="176">
        <v>484138</v>
      </c>
      <c r="Q21" s="176">
        <v>1</v>
      </c>
      <c r="R21" s="178">
        <f t="shared" si="6"/>
        <v>575.125</v>
      </c>
      <c r="S21" s="177">
        <f t="shared" si="7"/>
        <v>781.375</v>
      </c>
    </row>
    <row r="22" spans="3:19" ht="21" customHeight="1" thickBot="1">
      <c r="C22" s="173" t="s">
        <v>305</v>
      </c>
      <c r="D22" s="177">
        <f t="shared" si="2"/>
        <v>662.0625</v>
      </c>
      <c r="E22" s="174">
        <f t="shared" si="0"/>
        <v>206.25</v>
      </c>
      <c r="F22" s="176" t="s">
        <v>295</v>
      </c>
      <c r="G22" s="176">
        <v>484137</v>
      </c>
      <c r="H22" s="176">
        <v>1</v>
      </c>
      <c r="I22" s="178">
        <f t="shared" si="4"/>
        <v>662.0625</v>
      </c>
      <c r="J22" s="177">
        <f t="shared" si="5"/>
        <v>868.3125</v>
      </c>
      <c r="L22" s="173" t="s">
        <v>305</v>
      </c>
      <c r="M22" s="177">
        <f t="shared" si="3"/>
        <v>662.0625</v>
      </c>
      <c r="N22" s="174">
        <f t="shared" si="1"/>
        <v>206.25</v>
      </c>
      <c r="O22" s="176" t="s">
        <v>295</v>
      </c>
      <c r="P22" s="176">
        <v>484137</v>
      </c>
      <c r="Q22" s="176">
        <v>1</v>
      </c>
      <c r="R22" s="178">
        <f t="shared" si="6"/>
        <v>662.0625</v>
      </c>
      <c r="S22" s="177">
        <f t="shared" si="7"/>
        <v>868.3125</v>
      </c>
    </row>
    <row r="23" spans="3:19" ht="19.5" customHeight="1" thickBot="1">
      <c r="C23" s="173" t="s">
        <v>306</v>
      </c>
      <c r="D23" s="177">
        <f t="shared" si="2"/>
        <v>595.1875</v>
      </c>
      <c r="E23" s="174">
        <f t="shared" si="0"/>
        <v>206.25</v>
      </c>
      <c r="F23" s="176" t="s">
        <v>295</v>
      </c>
      <c r="G23" s="176">
        <v>484136</v>
      </c>
      <c r="H23" s="176">
        <v>1</v>
      </c>
      <c r="I23" s="178">
        <f t="shared" si="4"/>
        <v>595.1875</v>
      </c>
      <c r="J23" s="177">
        <f t="shared" si="5"/>
        <v>801.4375</v>
      </c>
      <c r="L23" s="173" t="s">
        <v>306</v>
      </c>
      <c r="M23" s="177">
        <f t="shared" si="3"/>
        <v>595.1875</v>
      </c>
      <c r="N23" s="174">
        <f t="shared" si="1"/>
        <v>206.25</v>
      </c>
      <c r="O23" s="176" t="s">
        <v>295</v>
      </c>
      <c r="P23" s="176">
        <v>484136</v>
      </c>
      <c r="Q23" s="176">
        <v>1</v>
      </c>
      <c r="R23" s="178">
        <f t="shared" si="6"/>
        <v>595.1875</v>
      </c>
      <c r="S23" s="177">
        <f t="shared" si="7"/>
        <v>801.4375</v>
      </c>
    </row>
    <row r="24" spans="3:19" ht="20.25" customHeight="1" thickBot="1">
      <c r="C24" s="181" t="s">
        <v>307</v>
      </c>
      <c r="D24" s="177">
        <f t="shared" si="2"/>
        <v>670.4375</v>
      </c>
      <c r="E24" s="174"/>
      <c r="F24" s="176" t="s">
        <v>308</v>
      </c>
      <c r="G24" s="176">
        <v>483470</v>
      </c>
      <c r="H24" s="176">
        <v>2</v>
      </c>
      <c r="I24" s="178">
        <f t="shared" si="4"/>
        <v>1340.875</v>
      </c>
      <c r="J24" s="177">
        <f t="shared" si="5"/>
        <v>1340.875</v>
      </c>
      <c r="L24" s="181" t="s">
        <v>307</v>
      </c>
      <c r="M24" s="177">
        <f t="shared" si="3"/>
        <v>670.4375</v>
      </c>
      <c r="N24" s="174"/>
      <c r="O24" s="176" t="s">
        <v>308</v>
      </c>
      <c r="P24" s="176">
        <v>483470</v>
      </c>
      <c r="Q24" s="176">
        <v>4</v>
      </c>
      <c r="R24" s="178">
        <f t="shared" si="6"/>
        <v>2681.75</v>
      </c>
      <c r="S24" s="177">
        <f t="shared" si="7"/>
        <v>2681.75</v>
      </c>
    </row>
    <row r="25" spans="3:19" ht="19.5" customHeight="1" thickBot="1">
      <c r="C25" s="181" t="s">
        <v>309</v>
      </c>
      <c r="D25" s="177">
        <f t="shared" si="2"/>
        <v>676.0625</v>
      </c>
      <c r="E25" s="182"/>
      <c r="F25" s="176" t="s">
        <v>308</v>
      </c>
      <c r="G25" s="176">
        <v>483472</v>
      </c>
      <c r="H25" s="176">
        <v>2</v>
      </c>
      <c r="I25" s="178">
        <f t="shared" si="4"/>
        <v>1352.125</v>
      </c>
      <c r="J25" s="177">
        <f t="shared" si="5"/>
        <v>1352.125</v>
      </c>
      <c r="L25" s="181" t="s">
        <v>309</v>
      </c>
      <c r="M25" s="177">
        <f t="shared" si="3"/>
        <v>676.0625</v>
      </c>
      <c r="N25" s="182"/>
      <c r="O25" s="176" t="s">
        <v>308</v>
      </c>
      <c r="P25" s="176">
        <v>483472</v>
      </c>
      <c r="Q25" s="176">
        <v>4</v>
      </c>
      <c r="R25" s="178">
        <f t="shared" si="6"/>
        <v>2704.25</v>
      </c>
      <c r="S25" s="177">
        <f t="shared" si="7"/>
        <v>2704.25</v>
      </c>
    </row>
    <row r="26" spans="3:19" ht="16.5" thickBot="1">
      <c r="C26" s="183" t="s">
        <v>310</v>
      </c>
      <c r="D26" s="184">
        <v>89.62</v>
      </c>
      <c r="E26" s="174" t="s">
        <v>311</v>
      </c>
      <c r="F26" s="176"/>
      <c r="G26" s="176"/>
      <c r="H26" s="185">
        <v>27</v>
      </c>
      <c r="I26" s="174">
        <f>H26*D26</f>
        <v>2419.7400000000002</v>
      </c>
      <c r="J26" s="174">
        <f>I26</f>
        <v>2419.7400000000002</v>
      </c>
      <c r="L26" s="183" t="s">
        <v>310</v>
      </c>
      <c r="M26" s="184">
        <v>89.62</v>
      </c>
      <c r="N26" s="174" t="s">
        <v>311</v>
      </c>
      <c r="O26" s="176"/>
      <c r="P26" s="176"/>
      <c r="Q26" s="186">
        <f>H26*O2</f>
        <v>36.81818181818182</v>
      </c>
      <c r="R26" s="174">
        <f>Q26*M26</f>
        <v>3299.6454545454549</v>
      </c>
      <c r="S26" s="174">
        <f>R26</f>
        <v>3299.6454545454549</v>
      </c>
    </row>
    <row r="27" spans="3:19" ht="16.5" thickBot="1">
      <c r="C27" s="187" t="s">
        <v>312</v>
      </c>
      <c r="D27" s="188">
        <v>500</v>
      </c>
      <c r="E27" s="189" t="s">
        <v>311</v>
      </c>
      <c r="F27" s="190"/>
      <c r="G27" s="190"/>
      <c r="H27" s="191">
        <v>1</v>
      </c>
      <c r="I27" s="192">
        <f>H27*D27</f>
        <v>500</v>
      </c>
      <c r="J27" s="192">
        <f>I27</f>
        <v>500</v>
      </c>
      <c r="L27" s="187" t="s">
        <v>312</v>
      </c>
      <c r="M27" s="188">
        <f>500*O2</f>
        <v>681.81818181818187</v>
      </c>
      <c r="N27" s="189" t="s">
        <v>311</v>
      </c>
      <c r="O27" s="190"/>
      <c r="P27" s="190"/>
      <c r="Q27" s="191">
        <v>1</v>
      </c>
      <c r="R27" s="192">
        <f>Q27*M27</f>
        <v>681.81818181818187</v>
      </c>
      <c r="S27" s="192">
        <f>R27</f>
        <v>681.81818181818187</v>
      </c>
    </row>
    <row r="28" spans="3:19" ht="16.5" thickBot="1">
      <c r="C28" s="193" t="s">
        <v>313</v>
      </c>
      <c r="D28" s="194">
        <v>117.04</v>
      </c>
      <c r="E28" s="195"/>
      <c r="F28" s="196" t="s">
        <v>314</v>
      </c>
      <c r="G28" s="197"/>
      <c r="H28" s="198">
        <v>1</v>
      </c>
      <c r="I28" s="192">
        <f>H28*D28</f>
        <v>117.04</v>
      </c>
      <c r="J28" s="192">
        <f>I28</f>
        <v>117.04</v>
      </c>
      <c r="L28" s="193" t="s">
        <v>313</v>
      </c>
      <c r="M28" s="194">
        <v>117.04</v>
      </c>
      <c r="N28" s="195"/>
      <c r="O28" s="196" t="s">
        <v>314</v>
      </c>
      <c r="P28" s="197"/>
      <c r="Q28" s="198">
        <v>1</v>
      </c>
      <c r="R28" s="192">
        <f>Q28*M28</f>
        <v>117.04</v>
      </c>
      <c r="S28" s="192">
        <f>R28</f>
        <v>117.04</v>
      </c>
    </row>
    <row r="29" spans="3:19" ht="16.5" thickBot="1">
      <c r="C29" s="199" t="s">
        <v>315</v>
      </c>
      <c r="D29" s="200">
        <v>2190.8000000000002</v>
      </c>
      <c r="E29" s="195"/>
      <c r="F29" s="197" t="s">
        <v>316</v>
      </c>
      <c r="G29" s="197"/>
      <c r="H29" s="198">
        <v>2</v>
      </c>
      <c r="I29" s="192">
        <f>H29*D29</f>
        <v>4381.6000000000004</v>
      </c>
      <c r="J29" s="192">
        <f>I29</f>
        <v>4381.6000000000004</v>
      </c>
      <c r="L29" s="199" t="s">
        <v>315</v>
      </c>
      <c r="M29" s="200">
        <v>2190.8000000000002</v>
      </c>
      <c r="N29" s="195"/>
      <c r="O29" s="197" t="s">
        <v>316</v>
      </c>
      <c r="P29" s="197"/>
      <c r="Q29" s="198">
        <v>3</v>
      </c>
      <c r="R29" s="192">
        <f>Q29*M29</f>
        <v>6572.4000000000005</v>
      </c>
      <c r="S29" s="192">
        <f>R29</f>
        <v>6572.4000000000005</v>
      </c>
    </row>
    <row r="30" spans="3:19" ht="16.5" thickBot="1">
      <c r="C30" s="201" t="s">
        <v>317</v>
      </c>
      <c r="D30" s="202"/>
      <c r="E30" s="203">
        <f>SUM(E3:E22)</f>
        <v>3868.75</v>
      </c>
      <c r="F30" s="176"/>
      <c r="G30" s="176"/>
      <c r="H30" s="204"/>
      <c r="I30" s="203">
        <f>SUM(I4:I29)+D29</f>
        <v>30116.930000000004</v>
      </c>
      <c r="J30" s="205">
        <f>SUM(J4:J29)+D29</f>
        <v>36191.930000000008</v>
      </c>
      <c r="L30" s="206" t="s">
        <v>317</v>
      </c>
      <c r="M30" s="207"/>
      <c r="N30" s="205">
        <f>SUM(N8:N27)</f>
        <v>3275</v>
      </c>
      <c r="O30" s="176"/>
      <c r="P30" s="176"/>
      <c r="Q30" s="204"/>
      <c r="R30" s="205">
        <f>SUM(R4:R29)</f>
        <v>38185.091136363633</v>
      </c>
      <c r="S30" s="205">
        <f>SUM(S4:S29)</f>
        <v>46260.091136363641</v>
      </c>
    </row>
    <row r="31" spans="3:19" ht="16.5" thickBot="1">
      <c r="C31" s="199"/>
      <c r="D31" s="200"/>
      <c r="E31" s="195"/>
      <c r="F31" s="197"/>
      <c r="G31" s="197"/>
      <c r="H31" s="198"/>
      <c r="I31" s="194"/>
      <c r="J31" s="208"/>
      <c r="L31" s="209"/>
      <c r="M31" s="210"/>
      <c r="N31" s="211"/>
      <c r="O31" s="176"/>
      <c r="P31" s="176"/>
      <c r="Q31" s="204"/>
      <c r="R31" s="204"/>
      <c r="S31" s="212"/>
    </row>
    <row r="32" spans="3:19" ht="15.75">
      <c r="C32" s="213"/>
      <c r="D32" s="214"/>
      <c r="E32" s="215"/>
      <c r="F32" s="216"/>
      <c r="G32" s="216"/>
      <c r="H32" s="217"/>
      <c r="I32" s="218"/>
      <c r="J32" s="218"/>
      <c r="L32" s="213"/>
      <c r="M32" s="213"/>
      <c r="N32" s="213"/>
      <c r="O32" s="216"/>
      <c r="P32" s="216"/>
      <c r="Q32" s="219"/>
      <c r="R32" s="219"/>
      <c r="S32" s="220"/>
    </row>
    <row r="33" spans="2:20" ht="15.75">
      <c r="C33" s="221" t="s">
        <v>318</v>
      </c>
      <c r="D33" s="45" t="s">
        <v>319</v>
      </c>
      <c r="E33" s="45" t="s">
        <v>320</v>
      </c>
      <c r="F33" s="45" t="s">
        <v>321</v>
      </c>
      <c r="G33" s="221" t="s">
        <v>153</v>
      </c>
      <c r="H33" s="42" t="s">
        <v>149</v>
      </c>
      <c r="L33" s="221" t="s">
        <v>318</v>
      </c>
      <c r="M33" s="45" t="s">
        <v>319</v>
      </c>
      <c r="N33" s="45" t="s">
        <v>320</v>
      </c>
      <c r="O33" s="45" t="s">
        <v>321</v>
      </c>
      <c r="P33" s="221" t="s">
        <v>153</v>
      </c>
      <c r="Q33" s="42" t="s">
        <v>149</v>
      </c>
      <c r="R33" s="219"/>
      <c r="S33" s="220"/>
    </row>
    <row r="34" spans="2:20" ht="15.75">
      <c r="B34" t="s">
        <v>322</v>
      </c>
      <c r="C34" s="222">
        <v>108</v>
      </c>
      <c r="D34" s="46">
        <f>SUM(H4:H23)</f>
        <v>30</v>
      </c>
      <c r="E34" s="46">
        <v>1</v>
      </c>
      <c r="F34" s="46">
        <v>1</v>
      </c>
      <c r="G34" s="223">
        <f>C34*D34*E34*F34</f>
        <v>3240</v>
      </c>
      <c r="H34" s="216"/>
      <c r="K34" t="s">
        <v>322</v>
      </c>
      <c r="L34" s="222">
        <v>108</v>
      </c>
      <c r="M34" s="46">
        <f>SUM(Q4:Q23)</f>
        <v>40</v>
      </c>
      <c r="N34" s="46">
        <v>1</v>
      </c>
      <c r="O34" s="46">
        <v>1</v>
      </c>
      <c r="P34" s="223">
        <f>L34*M34*N34*O34</f>
        <v>4320</v>
      </c>
      <c r="Q34" s="216"/>
      <c r="R34" s="219"/>
      <c r="S34" s="220"/>
    </row>
    <row r="35" spans="2:20" ht="15.75">
      <c r="C35" s="213"/>
      <c r="D35" s="214"/>
      <c r="E35" s="215"/>
      <c r="F35" s="216"/>
      <c r="G35" s="216"/>
      <c r="H35" s="217"/>
      <c r="I35" s="218"/>
      <c r="J35" s="218"/>
      <c r="L35" s="213"/>
      <c r="M35" s="213"/>
      <c r="N35" s="213"/>
      <c r="O35" s="216"/>
      <c r="P35" s="216"/>
      <c r="Q35" s="219"/>
      <c r="R35" s="219"/>
      <c r="S35" s="220"/>
    </row>
    <row r="36" spans="2:20" ht="15.75">
      <c r="C36" s="213"/>
      <c r="D36" s="214"/>
      <c r="E36" s="215"/>
      <c r="F36" s="216"/>
      <c r="G36" s="216"/>
      <c r="H36" s="217"/>
      <c r="I36" s="218"/>
      <c r="J36" s="218"/>
      <c r="L36" s="213"/>
      <c r="M36" s="213"/>
      <c r="N36" s="213"/>
      <c r="O36" s="216"/>
      <c r="P36" s="216"/>
      <c r="Q36" s="219"/>
      <c r="R36" s="219"/>
      <c r="S36" s="220"/>
    </row>
    <row r="37" spans="2:20" ht="15.75">
      <c r="C37" s="213"/>
      <c r="D37" s="214"/>
      <c r="E37" s="215"/>
      <c r="F37" s="213"/>
      <c r="G37" s="214"/>
      <c r="H37" s="215"/>
      <c r="I37" s="216"/>
      <c r="J37" s="216"/>
      <c r="L37" s="213"/>
      <c r="M37" s="213"/>
      <c r="N37" s="213"/>
      <c r="O37" s="216"/>
      <c r="P37" s="216"/>
      <c r="Q37" s="219"/>
      <c r="R37" s="219"/>
      <c r="S37" s="220"/>
    </row>
    <row r="38" spans="2:20" ht="15.75" thickBot="1"/>
    <row r="39" spans="2:20" ht="18.75">
      <c r="B39" s="224"/>
      <c r="C39" s="225" t="s">
        <v>323</v>
      </c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7"/>
    </row>
    <row r="40" spans="2:20" ht="15.75" thickBot="1">
      <c r="B40" s="228"/>
      <c r="C40" s="167" t="s">
        <v>324</v>
      </c>
      <c r="D40" s="45" t="s">
        <v>276</v>
      </c>
      <c r="F40" s="46" t="s">
        <v>325</v>
      </c>
      <c r="L40" t="s">
        <v>326</v>
      </c>
      <c r="M40" s="45" t="s">
        <v>327</v>
      </c>
      <c r="O40" s="46"/>
      <c r="T40" s="229"/>
    </row>
    <row r="41" spans="2:20" ht="32.25" thickBot="1">
      <c r="B41" s="228"/>
      <c r="C41" s="170" t="s">
        <v>220</v>
      </c>
      <c r="D41" s="171" t="s">
        <v>278</v>
      </c>
      <c r="E41" s="171" t="s">
        <v>279</v>
      </c>
      <c r="F41" s="171" t="s">
        <v>280</v>
      </c>
      <c r="G41" s="171" t="s">
        <v>328</v>
      </c>
      <c r="H41" s="172" t="s">
        <v>282</v>
      </c>
      <c r="I41" s="171" t="s">
        <v>283</v>
      </c>
      <c r="J41" s="171" t="s">
        <v>284</v>
      </c>
      <c r="L41" s="230" t="s">
        <v>220</v>
      </c>
      <c r="M41" s="171" t="s">
        <v>278</v>
      </c>
      <c r="N41" s="171" t="s">
        <v>279</v>
      </c>
      <c r="O41" s="180" t="s">
        <v>280</v>
      </c>
      <c r="P41" s="171" t="s">
        <v>328</v>
      </c>
      <c r="Q41" s="172" t="s">
        <v>282</v>
      </c>
      <c r="R41" s="171" t="s">
        <v>283</v>
      </c>
      <c r="S41" s="171" t="s">
        <v>284</v>
      </c>
      <c r="T41" s="231"/>
    </row>
    <row r="42" spans="2:20" ht="16.5" thickBot="1">
      <c r="B42" s="228"/>
      <c r="C42" s="173" t="s">
        <v>285</v>
      </c>
      <c r="D42" s="591">
        <v>1481.95</v>
      </c>
      <c r="E42" s="174">
        <v>155</v>
      </c>
      <c r="F42" s="175" t="s">
        <v>286</v>
      </c>
      <c r="G42" s="176">
        <v>484122</v>
      </c>
      <c r="H42" s="176">
        <v>1</v>
      </c>
      <c r="I42" s="592">
        <f>D42*H42</f>
        <v>1481.95</v>
      </c>
      <c r="J42" s="592">
        <f>I42+(E42+E43)*H42</f>
        <v>1801.95</v>
      </c>
      <c r="L42" s="232" t="s">
        <v>285</v>
      </c>
      <c r="M42" s="177">
        <v>628.29999999999995</v>
      </c>
      <c r="N42" s="174">
        <v>155</v>
      </c>
      <c r="O42" s="175" t="s">
        <v>286</v>
      </c>
      <c r="P42" s="176">
        <v>484242</v>
      </c>
      <c r="Q42" s="176">
        <v>1</v>
      </c>
      <c r="R42" s="174">
        <f t="shared" ref="R42:R59" si="8">Q42*M42</f>
        <v>628.29999999999995</v>
      </c>
      <c r="S42" s="174">
        <f>R42+N42*Q42</f>
        <v>783.3</v>
      </c>
      <c r="T42" s="231"/>
    </row>
    <row r="43" spans="2:20" ht="16.5" thickBot="1">
      <c r="B43" s="228"/>
      <c r="C43" s="173" t="s">
        <v>287</v>
      </c>
      <c r="D43" s="591"/>
      <c r="E43" s="174">
        <v>165</v>
      </c>
      <c r="F43" s="175" t="s">
        <v>286</v>
      </c>
      <c r="G43" s="176">
        <v>484135</v>
      </c>
      <c r="H43" s="176">
        <v>1</v>
      </c>
      <c r="I43" s="593"/>
      <c r="J43" s="593"/>
      <c r="L43" s="232" t="s">
        <v>287</v>
      </c>
      <c r="M43" s="177">
        <v>679.8</v>
      </c>
      <c r="N43" s="174">
        <v>165</v>
      </c>
      <c r="O43" s="175" t="s">
        <v>286</v>
      </c>
      <c r="P43" s="176">
        <v>484246</v>
      </c>
      <c r="Q43" s="176">
        <v>1</v>
      </c>
      <c r="R43" s="174">
        <f t="shared" si="8"/>
        <v>679.8</v>
      </c>
      <c r="S43" s="174">
        <f t="shared" ref="S43:S59" si="9">R43+N43*Q43</f>
        <v>844.8</v>
      </c>
      <c r="T43" s="231"/>
    </row>
    <row r="44" spans="2:20" ht="16.5" thickBot="1">
      <c r="B44" s="228"/>
      <c r="C44" s="173" t="s">
        <v>288</v>
      </c>
      <c r="D44" s="177">
        <v>529.65</v>
      </c>
      <c r="E44" s="174">
        <v>155</v>
      </c>
      <c r="F44" s="175" t="s">
        <v>286</v>
      </c>
      <c r="G44" s="176">
        <v>484123</v>
      </c>
      <c r="H44" s="176">
        <v>1</v>
      </c>
      <c r="I44" s="178">
        <f>D44*H44</f>
        <v>529.65</v>
      </c>
      <c r="J44" s="177">
        <f>I44+E44*H44</f>
        <v>684.65</v>
      </c>
      <c r="L44" s="232" t="s">
        <v>288</v>
      </c>
      <c r="M44" s="174">
        <v>484.1</v>
      </c>
      <c r="N44" s="174">
        <v>155</v>
      </c>
      <c r="O44" s="175" t="s">
        <v>286</v>
      </c>
      <c r="P44" s="176">
        <v>484244</v>
      </c>
      <c r="Q44" s="176">
        <v>1</v>
      </c>
      <c r="R44" s="174">
        <f t="shared" si="8"/>
        <v>484.1</v>
      </c>
      <c r="S44" s="174">
        <f t="shared" si="9"/>
        <v>639.1</v>
      </c>
      <c r="T44" s="231"/>
    </row>
    <row r="45" spans="2:20" ht="16.5" thickBot="1">
      <c r="B45" s="228"/>
      <c r="C45" s="173" t="s">
        <v>289</v>
      </c>
      <c r="D45" s="177">
        <v>513.6</v>
      </c>
      <c r="E45" s="174">
        <v>165</v>
      </c>
      <c r="F45" s="175" t="s">
        <v>286</v>
      </c>
      <c r="G45" s="176">
        <v>484132</v>
      </c>
      <c r="H45" s="176">
        <v>1</v>
      </c>
      <c r="I45" s="178">
        <f t="shared" ref="I45:I63" si="10">D45*H45</f>
        <v>513.6</v>
      </c>
      <c r="J45" s="177">
        <f t="shared" ref="J45:J63" si="11">I45+E45*H45</f>
        <v>678.6</v>
      </c>
      <c r="L45" s="232" t="s">
        <v>289</v>
      </c>
      <c r="M45" s="177">
        <v>494.4</v>
      </c>
      <c r="N45" s="174">
        <v>165</v>
      </c>
      <c r="O45" s="175" t="s">
        <v>286</v>
      </c>
      <c r="P45" s="176">
        <v>484248</v>
      </c>
      <c r="Q45" s="176">
        <v>1</v>
      </c>
      <c r="R45" s="174">
        <f t="shared" si="8"/>
        <v>494.4</v>
      </c>
      <c r="S45" s="174">
        <f t="shared" si="9"/>
        <v>659.4</v>
      </c>
      <c r="T45" s="231"/>
    </row>
    <row r="46" spans="2:20" ht="16.5" thickBot="1">
      <c r="B46" s="228"/>
      <c r="C46" s="173" t="s">
        <v>290</v>
      </c>
      <c r="D46" s="177">
        <v>326.35000000000002</v>
      </c>
      <c r="E46" s="177">
        <v>155</v>
      </c>
      <c r="F46" s="175" t="s">
        <v>286</v>
      </c>
      <c r="G46" s="176">
        <v>484120</v>
      </c>
      <c r="H46" s="176">
        <v>6</v>
      </c>
      <c r="I46" s="178">
        <f t="shared" si="10"/>
        <v>1958.1000000000001</v>
      </c>
      <c r="J46" s="177">
        <f t="shared" si="11"/>
        <v>2888.1000000000004</v>
      </c>
      <c r="L46" s="232" t="s">
        <v>294</v>
      </c>
      <c r="M46" s="174">
        <v>406.85</v>
      </c>
      <c r="N46" s="174">
        <v>175</v>
      </c>
      <c r="O46" s="180" t="s">
        <v>295</v>
      </c>
      <c r="P46" s="176">
        <v>484243</v>
      </c>
      <c r="Q46" s="176">
        <v>1</v>
      </c>
      <c r="R46" s="174">
        <f t="shared" si="8"/>
        <v>406.85</v>
      </c>
      <c r="S46" s="174">
        <f t="shared" si="9"/>
        <v>581.85</v>
      </c>
      <c r="T46" s="231"/>
    </row>
    <row r="47" spans="2:20" ht="16.5" thickBot="1">
      <c r="B47" s="228"/>
      <c r="C47" s="173" t="s">
        <v>291</v>
      </c>
      <c r="D47" s="177">
        <v>422.6</v>
      </c>
      <c r="E47" s="177">
        <v>155</v>
      </c>
      <c r="F47" s="175" t="s">
        <v>286</v>
      </c>
      <c r="G47" s="176">
        <v>484121</v>
      </c>
      <c r="H47" s="176">
        <v>1</v>
      </c>
      <c r="I47" s="178">
        <f t="shared" si="10"/>
        <v>422.6</v>
      </c>
      <c r="J47" s="177">
        <f t="shared" si="11"/>
        <v>577.6</v>
      </c>
      <c r="L47" s="232" t="s">
        <v>296</v>
      </c>
      <c r="M47" s="174">
        <v>545.70000000000005</v>
      </c>
      <c r="N47" s="174">
        <v>165</v>
      </c>
      <c r="O47" s="180" t="s">
        <v>295</v>
      </c>
      <c r="P47" s="176">
        <v>484128</v>
      </c>
      <c r="Q47" s="176">
        <v>1</v>
      </c>
      <c r="R47" s="174">
        <f t="shared" si="8"/>
        <v>545.70000000000005</v>
      </c>
      <c r="S47" s="174">
        <f t="shared" si="9"/>
        <v>710.7</v>
      </c>
      <c r="T47" s="231"/>
    </row>
    <row r="48" spans="2:20" ht="16.5" thickBot="1">
      <c r="B48" s="228"/>
      <c r="C48" s="173" t="s">
        <v>292</v>
      </c>
      <c r="D48" s="177">
        <v>363.8</v>
      </c>
      <c r="E48" s="177">
        <v>165</v>
      </c>
      <c r="F48" s="175" t="s">
        <v>286</v>
      </c>
      <c r="G48" s="176">
        <v>484130</v>
      </c>
      <c r="H48" s="176">
        <v>6</v>
      </c>
      <c r="I48" s="178">
        <f t="shared" si="10"/>
        <v>2182.8000000000002</v>
      </c>
      <c r="J48" s="177">
        <f t="shared" si="11"/>
        <v>3172.8</v>
      </c>
      <c r="L48" s="232" t="s">
        <v>297</v>
      </c>
      <c r="M48" s="174">
        <v>465.45</v>
      </c>
      <c r="N48" s="174">
        <v>155</v>
      </c>
      <c r="O48" s="180" t="s">
        <v>295</v>
      </c>
      <c r="P48" s="176">
        <v>484127</v>
      </c>
      <c r="Q48" s="176">
        <v>1</v>
      </c>
      <c r="R48" s="174">
        <f t="shared" si="8"/>
        <v>465.45</v>
      </c>
      <c r="S48" s="174">
        <f t="shared" si="9"/>
        <v>620.45000000000005</v>
      </c>
      <c r="T48" s="231"/>
    </row>
    <row r="49" spans="2:20" ht="16.5" thickBot="1">
      <c r="B49" s="228"/>
      <c r="C49" s="173" t="s">
        <v>293</v>
      </c>
      <c r="D49" s="233">
        <v>481.5</v>
      </c>
      <c r="E49" s="233">
        <v>165</v>
      </c>
      <c r="F49" s="175" t="s">
        <v>286</v>
      </c>
      <c r="G49" s="176">
        <v>484131</v>
      </c>
      <c r="H49" s="176">
        <v>1</v>
      </c>
      <c r="I49" s="178">
        <f t="shared" si="10"/>
        <v>481.5</v>
      </c>
      <c r="J49" s="177">
        <f t="shared" si="11"/>
        <v>646.5</v>
      </c>
      <c r="L49" s="232" t="s">
        <v>298</v>
      </c>
      <c r="M49" s="174">
        <v>449.4</v>
      </c>
      <c r="N49" s="174">
        <v>155</v>
      </c>
      <c r="O49" s="180" t="s">
        <v>295</v>
      </c>
      <c r="P49" s="176">
        <v>484126</v>
      </c>
      <c r="Q49" s="176">
        <v>1</v>
      </c>
      <c r="R49" s="174">
        <f t="shared" si="8"/>
        <v>449.4</v>
      </c>
      <c r="S49" s="174">
        <f t="shared" si="9"/>
        <v>604.4</v>
      </c>
      <c r="T49" s="231"/>
    </row>
    <row r="50" spans="2:20" ht="16.5" thickBot="1">
      <c r="B50" s="228"/>
      <c r="C50" s="173" t="s">
        <v>294</v>
      </c>
      <c r="D50" s="177">
        <v>525</v>
      </c>
      <c r="E50" s="174">
        <v>175</v>
      </c>
      <c r="F50" s="180" t="s">
        <v>295</v>
      </c>
      <c r="G50" s="176">
        <v>484129</v>
      </c>
      <c r="H50" s="176">
        <v>1</v>
      </c>
      <c r="I50" s="178">
        <f t="shared" si="10"/>
        <v>525</v>
      </c>
      <c r="J50" s="177">
        <f t="shared" si="11"/>
        <v>700</v>
      </c>
      <c r="L50" s="232" t="s">
        <v>299</v>
      </c>
      <c r="M50" s="174">
        <v>640</v>
      </c>
      <c r="N50" s="174">
        <v>165</v>
      </c>
      <c r="O50" s="180" t="s">
        <v>295</v>
      </c>
      <c r="P50" s="176">
        <v>484245</v>
      </c>
      <c r="Q50" s="176">
        <v>1</v>
      </c>
      <c r="R50" s="174">
        <f t="shared" si="8"/>
        <v>640</v>
      </c>
      <c r="S50" s="174">
        <f t="shared" si="9"/>
        <v>805</v>
      </c>
      <c r="T50" s="231"/>
    </row>
    <row r="51" spans="2:20" ht="16.5" thickBot="1">
      <c r="B51" s="228"/>
      <c r="C51" s="173" t="s">
        <v>296</v>
      </c>
      <c r="D51" s="177">
        <v>545.70000000000005</v>
      </c>
      <c r="E51" s="174">
        <v>165</v>
      </c>
      <c r="F51" s="180" t="s">
        <v>295</v>
      </c>
      <c r="G51" s="176">
        <v>484128</v>
      </c>
      <c r="H51" s="176">
        <v>1</v>
      </c>
      <c r="I51" s="178">
        <f t="shared" si="10"/>
        <v>545.70000000000005</v>
      </c>
      <c r="J51" s="177">
        <f t="shared" si="11"/>
        <v>710.7</v>
      </c>
      <c r="L51" s="232" t="s">
        <v>300</v>
      </c>
      <c r="M51" s="174">
        <v>470.8</v>
      </c>
      <c r="N51" s="174">
        <v>165</v>
      </c>
      <c r="O51" s="180" t="s">
        <v>295</v>
      </c>
      <c r="P51" s="176">
        <v>484124</v>
      </c>
      <c r="Q51" s="176">
        <v>1</v>
      </c>
      <c r="R51" s="174">
        <f t="shared" si="8"/>
        <v>470.8</v>
      </c>
      <c r="S51" s="174">
        <f t="shared" si="9"/>
        <v>635.79999999999995</v>
      </c>
      <c r="T51" s="231"/>
    </row>
    <row r="52" spans="2:20" ht="16.5" thickBot="1">
      <c r="B52" s="228"/>
      <c r="C52" s="173" t="s">
        <v>297</v>
      </c>
      <c r="D52" s="177">
        <v>465.45</v>
      </c>
      <c r="E52" s="174">
        <v>155</v>
      </c>
      <c r="F52" s="176" t="s">
        <v>295</v>
      </c>
      <c r="G52" s="176">
        <v>484127</v>
      </c>
      <c r="H52" s="176">
        <v>1</v>
      </c>
      <c r="I52" s="178">
        <f t="shared" si="10"/>
        <v>465.45</v>
      </c>
      <c r="J52" s="177">
        <f t="shared" si="11"/>
        <v>620.45000000000005</v>
      </c>
      <c r="L52" s="232" t="s">
        <v>301</v>
      </c>
      <c r="M52" s="174">
        <v>417.15</v>
      </c>
      <c r="N52" s="174">
        <v>165</v>
      </c>
      <c r="O52" s="180" t="s">
        <v>295</v>
      </c>
      <c r="P52" s="176">
        <v>484249</v>
      </c>
      <c r="Q52" s="176">
        <v>1</v>
      </c>
      <c r="R52" s="174">
        <f t="shared" si="8"/>
        <v>417.15</v>
      </c>
      <c r="S52" s="174">
        <f t="shared" si="9"/>
        <v>582.15</v>
      </c>
      <c r="T52" s="231"/>
    </row>
    <row r="53" spans="2:20" ht="16.5" customHeight="1" thickBot="1">
      <c r="B53" s="228"/>
      <c r="C53" s="173" t="s">
        <v>298</v>
      </c>
      <c r="D53" s="177">
        <v>449.4</v>
      </c>
      <c r="E53" s="174">
        <v>155</v>
      </c>
      <c r="F53" s="176" t="s">
        <v>295</v>
      </c>
      <c r="G53" s="176">
        <v>484126</v>
      </c>
      <c r="H53" s="176">
        <v>1</v>
      </c>
      <c r="I53" s="178">
        <f t="shared" si="10"/>
        <v>449.4</v>
      </c>
      <c r="J53" s="177">
        <f t="shared" si="11"/>
        <v>604.4</v>
      </c>
      <c r="L53" s="232" t="s">
        <v>302</v>
      </c>
      <c r="M53" s="174">
        <v>636.65</v>
      </c>
      <c r="N53" s="174">
        <v>165</v>
      </c>
      <c r="O53" s="180" t="s">
        <v>295</v>
      </c>
      <c r="P53" s="176">
        <v>484134</v>
      </c>
      <c r="Q53" s="176">
        <v>1</v>
      </c>
      <c r="R53" s="174">
        <f t="shared" si="8"/>
        <v>636.65</v>
      </c>
      <c r="S53" s="174">
        <f t="shared" si="9"/>
        <v>801.65</v>
      </c>
      <c r="T53" s="231"/>
    </row>
    <row r="54" spans="2:20" ht="16.5" thickBot="1">
      <c r="B54" s="228"/>
      <c r="C54" s="173" t="s">
        <v>299</v>
      </c>
      <c r="D54" s="177">
        <v>640</v>
      </c>
      <c r="E54" s="174">
        <v>165</v>
      </c>
      <c r="F54" s="176" t="s">
        <v>295</v>
      </c>
      <c r="G54" s="176">
        <v>484125</v>
      </c>
      <c r="H54" s="176">
        <v>1</v>
      </c>
      <c r="I54" s="178">
        <f t="shared" si="10"/>
        <v>640</v>
      </c>
      <c r="J54" s="177">
        <f t="shared" si="11"/>
        <v>805</v>
      </c>
      <c r="L54" s="232" t="s">
        <v>303</v>
      </c>
      <c r="M54" s="174">
        <v>556.20000000000005</v>
      </c>
      <c r="N54" s="174">
        <v>175</v>
      </c>
      <c r="O54" s="176" t="s">
        <v>295</v>
      </c>
      <c r="P54" s="176">
        <v>484247</v>
      </c>
      <c r="Q54" s="176">
        <v>1</v>
      </c>
      <c r="R54" s="174">
        <f t="shared" si="8"/>
        <v>556.20000000000005</v>
      </c>
      <c r="S54" s="174">
        <f t="shared" si="9"/>
        <v>731.2</v>
      </c>
      <c r="T54" s="231"/>
    </row>
    <row r="55" spans="2:20" ht="16.5" thickBot="1">
      <c r="B55" s="228"/>
      <c r="C55" s="173" t="s">
        <v>300</v>
      </c>
      <c r="D55" s="177">
        <v>470.8</v>
      </c>
      <c r="E55" s="174">
        <v>165</v>
      </c>
      <c r="F55" s="176" t="s">
        <v>295</v>
      </c>
      <c r="G55" s="176">
        <v>484124</v>
      </c>
      <c r="H55" s="176">
        <v>1</v>
      </c>
      <c r="I55" s="178">
        <f t="shared" si="10"/>
        <v>470.8</v>
      </c>
      <c r="J55" s="177">
        <f t="shared" si="11"/>
        <v>635.79999999999995</v>
      </c>
      <c r="L55" s="232" t="s">
        <v>304</v>
      </c>
      <c r="M55" s="174">
        <v>460.1</v>
      </c>
      <c r="N55" s="174">
        <v>165</v>
      </c>
      <c r="O55" s="176" t="s">
        <v>295</v>
      </c>
      <c r="P55" s="176">
        <v>484138</v>
      </c>
      <c r="Q55" s="176">
        <v>1</v>
      </c>
      <c r="R55" s="174">
        <f t="shared" si="8"/>
        <v>460.1</v>
      </c>
      <c r="S55" s="174">
        <f t="shared" si="9"/>
        <v>625.1</v>
      </c>
      <c r="T55" s="231"/>
    </row>
    <row r="56" spans="2:20" ht="16.5" thickBot="1">
      <c r="B56" s="228"/>
      <c r="C56" s="173" t="s">
        <v>301</v>
      </c>
      <c r="D56" s="177">
        <v>652.70000000000005</v>
      </c>
      <c r="E56" s="174">
        <v>165</v>
      </c>
      <c r="F56" s="176" t="s">
        <v>295</v>
      </c>
      <c r="G56" s="176">
        <v>484133</v>
      </c>
      <c r="H56" s="176">
        <v>1</v>
      </c>
      <c r="I56" s="178">
        <f t="shared" si="10"/>
        <v>652.70000000000005</v>
      </c>
      <c r="J56" s="177">
        <f t="shared" si="11"/>
        <v>817.7</v>
      </c>
      <c r="L56" s="232" t="s">
        <v>305</v>
      </c>
      <c r="M56" s="174">
        <v>529.65</v>
      </c>
      <c r="N56" s="174">
        <v>165</v>
      </c>
      <c r="O56" s="176" t="s">
        <v>295</v>
      </c>
      <c r="P56" s="176">
        <v>484137</v>
      </c>
      <c r="Q56" s="176">
        <v>1</v>
      </c>
      <c r="R56" s="174">
        <f t="shared" si="8"/>
        <v>529.65</v>
      </c>
      <c r="S56" s="174">
        <f t="shared" si="9"/>
        <v>694.65</v>
      </c>
      <c r="T56" s="231"/>
    </row>
    <row r="57" spans="2:20" ht="16.5" thickBot="1">
      <c r="B57" s="228"/>
      <c r="C57" s="173" t="s">
        <v>302</v>
      </c>
      <c r="D57" s="177">
        <v>636.65</v>
      </c>
      <c r="E57" s="174">
        <v>165</v>
      </c>
      <c r="F57" s="176" t="s">
        <v>295</v>
      </c>
      <c r="G57" s="176">
        <v>484134</v>
      </c>
      <c r="H57" s="176">
        <v>1</v>
      </c>
      <c r="I57" s="178">
        <f t="shared" si="10"/>
        <v>636.65</v>
      </c>
      <c r="J57" s="177">
        <f t="shared" si="11"/>
        <v>801.65</v>
      </c>
      <c r="L57" s="232" t="s">
        <v>306</v>
      </c>
      <c r="M57" s="174">
        <v>476.15</v>
      </c>
      <c r="N57" s="174">
        <v>165</v>
      </c>
      <c r="O57" s="176" t="s">
        <v>295</v>
      </c>
      <c r="P57" s="176">
        <v>484136</v>
      </c>
      <c r="Q57" s="176">
        <v>1</v>
      </c>
      <c r="R57" s="174">
        <f t="shared" si="8"/>
        <v>476.15</v>
      </c>
      <c r="S57" s="174">
        <f t="shared" si="9"/>
        <v>641.15</v>
      </c>
      <c r="T57" s="231"/>
    </row>
    <row r="58" spans="2:20" ht="18" customHeight="1" thickBot="1">
      <c r="B58" s="228"/>
      <c r="C58" s="173" t="s">
        <v>303</v>
      </c>
      <c r="D58" s="177">
        <v>830</v>
      </c>
      <c r="E58" s="174">
        <v>175</v>
      </c>
      <c r="F58" s="176" t="s">
        <v>295</v>
      </c>
      <c r="G58" s="176">
        <v>484139</v>
      </c>
      <c r="H58" s="176">
        <v>1</v>
      </c>
      <c r="I58" s="178">
        <f t="shared" si="10"/>
        <v>830</v>
      </c>
      <c r="J58" s="177">
        <f t="shared" si="11"/>
        <v>1005</v>
      </c>
      <c r="L58" s="234" t="s">
        <v>329</v>
      </c>
      <c r="M58" s="177">
        <v>536.35</v>
      </c>
      <c r="N58" s="174"/>
      <c r="O58" s="176" t="s">
        <v>308</v>
      </c>
      <c r="P58" s="176">
        <v>483470</v>
      </c>
      <c r="Q58" s="235">
        <v>0.5</v>
      </c>
      <c r="R58" s="174">
        <f t="shared" si="8"/>
        <v>268.17500000000001</v>
      </c>
      <c r="S58" s="174">
        <f t="shared" si="9"/>
        <v>268.17500000000001</v>
      </c>
      <c r="T58" s="231"/>
    </row>
    <row r="59" spans="2:20" ht="18" customHeight="1" thickBot="1">
      <c r="B59" s="228"/>
      <c r="C59" s="173" t="s">
        <v>304</v>
      </c>
      <c r="D59" s="177">
        <v>460.1</v>
      </c>
      <c r="E59" s="174">
        <v>165</v>
      </c>
      <c r="F59" s="176" t="s">
        <v>295</v>
      </c>
      <c r="G59" s="176">
        <v>484138</v>
      </c>
      <c r="H59" s="176">
        <v>1</v>
      </c>
      <c r="I59" s="178">
        <f t="shared" si="10"/>
        <v>460.1</v>
      </c>
      <c r="J59" s="177">
        <f t="shared" si="11"/>
        <v>625.1</v>
      </c>
      <c r="L59" s="234" t="s">
        <v>330</v>
      </c>
      <c r="M59" s="233">
        <v>540.85</v>
      </c>
      <c r="N59" s="182"/>
      <c r="O59" s="176" t="s">
        <v>308</v>
      </c>
      <c r="P59" s="176">
        <v>483472</v>
      </c>
      <c r="Q59" s="176">
        <v>0.5</v>
      </c>
      <c r="R59" s="174">
        <f t="shared" si="8"/>
        <v>270.42500000000001</v>
      </c>
      <c r="S59" s="174">
        <f t="shared" si="9"/>
        <v>270.42500000000001</v>
      </c>
      <c r="T59" s="231"/>
    </row>
    <row r="60" spans="2:20" ht="16.5" thickBot="1">
      <c r="B60" s="228"/>
      <c r="C60" s="173" t="s">
        <v>305</v>
      </c>
      <c r="D60" s="177">
        <v>529.65</v>
      </c>
      <c r="E60" s="174">
        <v>165</v>
      </c>
      <c r="F60" s="176" t="s">
        <v>295</v>
      </c>
      <c r="G60" s="176">
        <v>484137</v>
      </c>
      <c r="H60" s="176">
        <v>1</v>
      </c>
      <c r="I60" s="178">
        <f t="shared" si="10"/>
        <v>529.65</v>
      </c>
      <c r="J60" s="177">
        <f t="shared" si="11"/>
        <v>694.65</v>
      </c>
      <c r="L60" s="206" t="s">
        <v>317</v>
      </c>
      <c r="M60" s="207"/>
      <c r="N60" s="205">
        <f>SUM(N42:N57)</f>
        <v>2620</v>
      </c>
      <c r="O60" s="176"/>
      <c r="P60" s="176"/>
      <c r="Q60" s="204"/>
      <c r="R60" s="205">
        <f>SUM(R42:R59)</f>
        <v>8879.2999999999975</v>
      </c>
      <c r="S60" s="205">
        <f>SUM(S42:S59)</f>
        <v>11499.299999999997</v>
      </c>
      <c r="T60" s="231"/>
    </row>
    <row r="61" spans="2:20" ht="16.5" thickBot="1">
      <c r="B61" s="228"/>
      <c r="C61" s="173" t="s">
        <v>306</v>
      </c>
      <c r="D61" s="177">
        <v>476.15</v>
      </c>
      <c r="E61" s="174">
        <v>165</v>
      </c>
      <c r="F61" s="176" t="s">
        <v>295</v>
      </c>
      <c r="G61" s="176">
        <v>484136</v>
      </c>
      <c r="H61" s="176">
        <v>1</v>
      </c>
      <c r="I61" s="178">
        <f t="shared" si="10"/>
        <v>476.15</v>
      </c>
      <c r="J61" s="177">
        <f t="shared" si="11"/>
        <v>641.15</v>
      </c>
      <c r="L61" s="187"/>
      <c r="M61" s="210"/>
      <c r="N61" s="210"/>
      <c r="O61" s="175"/>
      <c r="P61" s="236"/>
      <c r="Q61" s="237"/>
      <c r="R61" s="238"/>
      <c r="S61" s="203"/>
      <c r="T61" s="231"/>
    </row>
    <row r="62" spans="2:20" ht="16.5" thickBot="1">
      <c r="B62" s="228"/>
      <c r="C62" s="181" t="s">
        <v>307</v>
      </c>
      <c r="D62" s="177">
        <v>536.35</v>
      </c>
      <c r="E62" s="174"/>
      <c r="F62" s="176" t="s">
        <v>308</v>
      </c>
      <c r="G62" s="176">
        <v>483470</v>
      </c>
      <c r="H62" s="176">
        <v>2</v>
      </c>
      <c r="I62" s="178">
        <f t="shared" si="10"/>
        <v>1072.7</v>
      </c>
      <c r="J62" s="177">
        <f t="shared" si="11"/>
        <v>1072.7</v>
      </c>
      <c r="L62" s="209"/>
      <c r="M62" s="210"/>
      <c r="N62" s="211"/>
      <c r="O62" s="176"/>
      <c r="P62" s="176"/>
      <c r="Q62" s="204"/>
      <c r="R62" s="204"/>
      <c r="S62" s="212"/>
      <c r="T62" s="231"/>
    </row>
    <row r="63" spans="2:20" ht="16.5" thickBot="1">
      <c r="B63" s="228"/>
      <c r="C63" s="181" t="s">
        <v>309</v>
      </c>
      <c r="D63" s="233">
        <v>540.85</v>
      </c>
      <c r="E63" s="182"/>
      <c r="F63" s="176" t="s">
        <v>308</v>
      </c>
      <c r="G63" s="176">
        <v>483472</v>
      </c>
      <c r="H63" s="176">
        <v>2</v>
      </c>
      <c r="I63" s="178">
        <f t="shared" si="10"/>
        <v>1081.7</v>
      </c>
      <c r="J63" s="177">
        <f t="shared" si="11"/>
        <v>1081.7</v>
      </c>
      <c r="L63" s="236"/>
      <c r="M63" s="236"/>
      <c r="N63" s="236"/>
      <c r="O63" s="175"/>
      <c r="P63" s="236"/>
      <c r="Q63" s="237"/>
      <c r="R63" s="237"/>
      <c r="S63" s="239"/>
      <c r="T63" s="231"/>
    </row>
    <row r="64" spans="2:20" ht="16.5" thickBot="1">
      <c r="B64" s="228"/>
      <c r="C64" s="183" t="s">
        <v>310</v>
      </c>
      <c r="D64" s="184">
        <v>89.62</v>
      </c>
      <c r="E64" s="174" t="s">
        <v>311</v>
      </c>
      <c r="F64" s="176"/>
      <c r="G64" s="176"/>
      <c r="H64" s="185">
        <v>24</v>
      </c>
      <c r="I64" s="174">
        <f>H64*D64</f>
        <v>2150.88</v>
      </c>
      <c r="J64" s="174">
        <f>I64</f>
        <v>2150.88</v>
      </c>
      <c r="L64" s="167"/>
      <c r="M64" s="167"/>
      <c r="N64" s="167"/>
      <c r="O64" s="240"/>
      <c r="P64" s="167"/>
      <c r="Q64" s="241"/>
      <c r="R64" s="241"/>
      <c r="S64" s="242"/>
      <c r="T64" s="231"/>
    </row>
    <row r="65" spans="2:20" ht="16.5" thickBot="1">
      <c r="B65" s="228"/>
      <c r="C65" s="187" t="s">
        <v>312</v>
      </c>
      <c r="D65" s="188">
        <v>500</v>
      </c>
      <c r="E65" s="189" t="s">
        <v>311</v>
      </c>
      <c r="F65" s="190"/>
      <c r="G65" s="190"/>
      <c r="H65" s="191">
        <v>1</v>
      </c>
      <c r="I65" s="192">
        <f>H65*D65</f>
        <v>500</v>
      </c>
      <c r="J65" s="192">
        <f>I65</f>
        <v>500</v>
      </c>
      <c r="L65" s="167"/>
      <c r="M65" s="167"/>
      <c r="N65" s="167"/>
      <c r="O65" s="240"/>
      <c r="P65" s="167"/>
      <c r="Q65" s="241"/>
      <c r="R65" s="241"/>
      <c r="S65" s="242"/>
      <c r="T65" s="231"/>
    </row>
    <row r="66" spans="2:20" ht="16.5" thickBot="1">
      <c r="B66" s="228"/>
      <c r="C66" s="193" t="s">
        <v>313</v>
      </c>
      <c r="D66" s="194">
        <v>117.04</v>
      </c>
      <c r="E66" s="195"/>
      <c r="F66" s="196" t="s">
        <v>314</v>
      </c>
      <c r="G66" s="197"/>
      <c r="H66" s="198">
        <v>1</v>
      </c>
      <c r="I66" s="192">
        <f>H66*D66</f>
        <v>117.04</v>
      </c>
      <c r="J66" s="192">
        <f>I66</f>
        <v>117.04</v>
      </c>
      <c r="L66" s="167"/>
      <c r="M66" s="167"/>
      <c r="N66" s="167"/>
      <c r="O66" s="240"/>
      <c r="P66" s="167"/>
      <c r="Q66" s="241"/>
      <c r="R66" s="241"/>
      <c r="S66" s="242"/>
      <c r="T66" s="231"/>
    </row>
    <row r="67" spans="2:20" ht="16.5" thickBot="1">
      <c r="B67" s="228"/>
      <c r="C67" s="199" t="s">
        <v>315</v>
      </c>
      <c r="D67" s="200">
        <v>2190.8000000000002</v>
      </c>
      <c r="E67" s="195"/>
      <c r="F67" s="197" t="s">
        <v>316</v>
      </c>
      <c r="G67" s="197"/>
      <c r="H67" s="198">
        <v>2</v>
      </c>
      <c r="I67" s="192">
        <f>H67*D67</f>
        <v>4381.6000000000004</v>
      </c>
      <c r="J67" s="192">
        <f>I67</f>
        <v>4381.6000000000004</v>
      </c>
      <c r="L67" s="167"/>
      <c r="M67" s="167"/>
      <c r="N67" s="167"/>
      <c r="O67" s="240"/>
      <c r="P67" s="167"/>
      <c r="Q67" s="241"/>
      <c r="R67" s="241"/>
      <c r="S67" s="242"/>
      <c r="T67" s="231"/>
    </row>
    <row r="68" spans="2:20" ht="16.5" thickBot="1">
      <c r="B68" s="228"/>
      <c r="C68" s="206" t="s">
        <v>317</v>
      </c>
      <c r="D68" s="207"/>
      <c r="E68" s="205">
        <f>SUM(E42:E61)</f>
        <v>3260</v>
      </c>
      <c r="F68" s="176"/>
      <c r="G68" s="176"/>
      <c r="H68" s="204"/>
      <c r="I68" s="205">
        <f>SUM(I42:I67)</f>
        <v>23555.72</v>
      </c>
      <c r="J68" s="205">
        <f>SUM(J42:J67)</f>
        <v>28415.720000000008</v>
      </c>
      <c r="L68" s="243"/>
      <c r="M68" s="243"/>
      <c r="N68" s="216"/>
      <c r="O68" s="216"/>
      <c r="P68" s="219"/>
      <c r="Q68" s="244"/>
      <c r="R68" s="167"/>
      <c r="S68" s="244"/>
      <c r="T68" s="231"/>
    </row>
    <row r="69" spans="2:20" ht="16.5" thickBot="1">
      <c r="B69" s="228"/>
      <c r="C69" s="187"/>
      <c r="D69" s="210"/>
      <c r="E69" s="210"/>
      <c r="F69" s="175"/>
      <c r="G69" s="236"/>
      <c r="H69" s="237"/>
      <c r="I69" s="238"/>
      <c r="J69" s="203"/>
      <c r="L69" s="213"/>
      <c r="M69" s="213"/>
      <c r="N69" s="240"/>
      <c r="O69" s="167"/>
      <c r="P69" s="241"/>
      <c r="Q69" s="241"/>
      <c r="R69" s="167"/>
      <c r="S69" s="245"/>
      <c r="T69" s="231"/>
    </row>
    <row r="70" spans="2:20" ht="16.5" thickBot="1">
      <c r="B70" s="228"/>
      <c r="C70" s="209"/>
      <c r="D70" s="210"/>
      <c r="E70" s="211"/>
      <c r="F70" s="176"/>
      <c r="G70" s="176"/>
      <c r="H70" s="204"/>
      <c r="I70" s="204"/>
      <c r="J70" s="212"/>
      <c r="L70" s="213"/>
      <c r="M70" s="213"/>
      <c r="N70" s="216"/>
      <c r="O70" s="216"/>
      <c r="P70" s="219"/>
      <c r="Q70" s="219"/>
      <c r="R70" s="167"/>
      <c r="S70" s="220"/>
      <c r="T70" s="231"/>
    </row>
    <row r="71" spans="2:20">
      <c r="B71" s="228"/>
      <c r="C71" s="240"/>
      <c r="T71" s="231"/>
    </row>
    <row r="72" spans="2:20">
      <c r="B72" s="228"/>
      <c r="C72" s="167"/>
      <c r="D72" s="167"/>
      <c r="E72" s="167"/>
      <c r="F72" s="167"/>
      <c r="G72" s="167"/>
      <c r="H72" s="167"/>
      <c r="I72" s="167"/>
      <c r="J72" s="167"/>
      <c r="T72" s="231"/>
    </row>
    <row r="73" spans="2:20">
      <c r="B73" s="228"/>
      <c r="C73" s="167"/>
      <c r="D73" s="240"/>
      <c r="E73" s="167"/>
      <c r="F73" s="240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231"/>
    </row>
    <row r="74" spans="2:20" ht="15.75">
      <c r="B74" s="228"/>
      <c r="C74" s="246"/>
      <c r="D74" s="216"/>
      <c r="E74" s="216"/>
      <c r="F74" s="216"/>
      <c r="G74" s="216"/>
      <c r="H74" s="246"/>
      <c r="I74" s="216"/>
      <c r="J74" s="216"/>
      <c r="T74" s="231"/>
    </row>
    <row r="75" spans="2:20" ht="15.75">
      <c r="B75" s="228"/>
      <c r="C75" s="213"/>
      <c r="D75" s="218"/>
      <c r="E75" s="218"/>
      <c r="F75" s="240"/>
      <c r="G75" s="216"/>
      <c r="H75" s="216"/>
      <c r="I75" s="218"/>
      <c r="J75" s="218"/>
      <c r="T75" s="231"/>
    </row>
    <row r="76" spans="2:20" ht="15.75">
      <c r="B76" s="228"/>
      <c r="C76" s="213"/>
      <c r="D76" s="218"/>
      <c r="E76" s="218"/>
      <c r="F76" s="240"/>
      <c r="G76" s="216"/>
      <c r="H76" s="216"/>
      <c r="I76" s="218"/>
      <c r="J76" s="218"/>
      <c r="T76" s="231"/>
    </row>
    <row r="77" spans="2:20" ht="15.75">
      <c r="B77" s="228"/>
      <c r="C77" s="213"/>
      <c r="D77" s="218"/>
      <c r="E77" s="218"/>
      <c r="F77" s="240"/>
      <c r="G77" s="216"/>
      <c r="H77" s="216"/>
      <c r="I77" s="218"/>
      <c r="J77" s="218"/>
      <c r="T77" s="231"/>
    </row>
    <row r="78" spans="2:20" ht="15.75">
      <c r="B78" s="228"/>
      <c r="C78" s="213"/>
      <c r="D78" s="218"/>
      <c r="E78" s="218"/>
      <c r="F78" s="240"/>
      <c r="G78" s="216"/>
      <c r="H78" s="216"/>
      <c r="I78" s="218"/>
      <c r="J78" s="218"/>
      <c r="T78" s="231"/>
    </row>
    <row r="79" spans="2:20" ht="15.75">
      <c r="B79" s="228"/>
      <c r="C79" s="213"/>
      <c r="D79" s="218"/>
      <c r="E79" s="218"/>
      <c r="F79" s="216"/>
      <c r="G79" s="216"/>
      <c r="H79" s="216"/>
      <c r="I79" s="218"/>
      <c r="J79" s="218"/>
      <c r="T79" s="231"/>
    </row>
    <row r="80" spans="2:20" ht="15.75">
      <c r="B80" s="228"/>
      <c r="C80" s="213"/>
      <c r="D80" s="218"/>
      <c r="E80" s="218"/>
      <c r="F80" s="216"/>
      <c r="G80" s="216"/>
      <c r="H80" s="216"/>
      <c r="I80" s="218"/>
      <c r="J80" s="218"/>
      <c r="T80" s="231"/>
    </row>
    <row r="81" spans="2:20" ht="15.75">
      <c r="B81" s="228"/>
      <c r="C81" s="213"/>
      <c r="D81" s="218"/>
      <c r="E81" s="218"/>
      <c r="F81" s="216"/>
      <c r="G81" s="216"/>
      <c r="H81" s="216"/>
      <c r="I81" s="218"/>
      <c r="J81" s="218"/>
      <c r="T81" s="231"/>
    </row>
    <row r="82" spans="2:20" ht="15.75">
      <c r="B82" s="228"/>
      <c r="C82" s="213"/>
      <c r="D82" s="218"/>
      <c r="E82" s="218"/>
      <c r="F82" s="216"/>
      <c r="G82" s="216"/>
      <c r="H82" s="216"/>
      <c r="I82" s="218"/>
      <c r="J82" s="218"/>
      <c r="T82" s="231"/>
    </row>
    <row r="83" spans="2:20" ht="15.75">
      <c r="B83" s="228"/>
      <c r="C83" s="213"/>
      <c r="D83" s="218"/>
      <c r="E83" s="218"/>
      <c r="F83" s="216"/>
      <c r="G83" s="216"/>
      <c r="H83" s="216"/>
      <c r="I83" s="218"/>
      <c r="J83" s="218"/>
      <c r="T83" s="231"/>
    </row>
    <row r="84" spans="2:20" ht="15.75">
      <c r="B84" s="228"/>
      <c r="C84" s="213"/>
      <c r="D84" s="218"/>
      <c r="E84" s="218"/>
      <c r="F84" s="216"/>
      <c r="G84" s="216"/>
      <c r="H84" s="216"/>
      <c r="I84" s="218"/>
      <c r="J84" s="218"/>
      <c r="T84" s="231"/>
    </row>
    <row r="85" spans="2:20" ht="15.75">
      <c r="B85" s="228"/>
      <c r="C85" s="213"/>
      <c r="D85" s="218"/>
      <c r="E85" s="218"/>
      <c r="F85" s="216"/>
      <c r="G85" s="216"/>
      <c r="H85" s="216"/>
      <c r="I85" s="218"/>
      <c r="J85" s="218"/>
      <c r="T85" s="231"/>
    </row>
    <row r="86" spans="2:20" ht="15.75">
      <c r="B86" s="228"/>
      <c r="C86" s="213"/>
      <c r="D86" s="218"/>
      <c r="E86" s="218"/>
      <c r="F86" s="216"/>
      <c r="G86" s="216"/>
      <c r="H86" s="216"/>
      <c r="I86" s="218"/>
      <c r="J86" s="218"/>
      <c r="T86" s="231"/>
    </row>
    <row r="87" spans="2:20" ht="15.75">
      <c r="B87" s="228"/>
      <c r="C87" s="213"/>
      <c r="D87" s="218"/>
      <c r="E87" s="218"/>
      <c r="F87" s="216"/>
      <c r="G87" s="216"/>
      <c r="H87" s="216"/>
      <c r="I87" s="218"/>
      <c r="J87" s="218"/>
      <c r="T87" s="231"/>
    </row>
    <row r="88" spans="2:20" ht="15.75">
      <c r="B88" s="228"/>
      <c r="C88" s="213"/>
      <c r="D88" s="218"/>
      <c r="E88" s="218"/>
      <c r="F88" s="216"/>
      <c r="G88" s="216"/>
      <c r="H88" s="216"/>
      <c r="I88" s="218"/>
      <c r="J88" s="218"/>
      <c r="T88" s="231"/>
    </row>
    <row r="89" spans="2:20" ht="15.75">
      <c r="B89" s="228"/>
      <c r="C89" s="213"/>
      <c r="D89" s="218"/>
      <c r="E89" s="218"/>
      <c r="F89" s="216"/>
      <c r="G89" s="216"/>
      <c r="H89" s="216"/>
      <c r="I89" s="218"/>
      <c r="J89" s="218"/>
      <c r="T89" s="231"/>
    </row>
    <row r="90" spans="2:20" ht="15.75">
      <c r="B90" s="228"/>
      <c r="C90" s="213"/>
      <c r="D90" s="218"/>
      <c r="E90" s="218"/>
      <c r="F90" s="216"/>
      <c r="G90" s="216"/>
      <c r="H90" s="216"/>
      <c r="I90" s="218"/>
      <c r="J90" s="218"/>
      <c r="T90" s="231"/>
    </row>
    <row r="91" spans="2:20" ht="15.75">
      <c r="B91" s="228"/>
      <c r="C91" s="247"/>
      <c r="D91" s="218"/>
      <c r="E91" s="218"/>
      <c r="F91" s="216"/>
      <c r="G91" s="216"/>
      <c r="H91" s="248"/>
      <c r="I91" s="218"/>
      <c r="J91" s="218"/>
      <c r="T91" s="231"/>
    </row>
    <row r="92" spans="2:20" ht="15.75">
      <c r="B92" s="228"/>
      <c r="C92" s="247"/>
      <c r="D92" s="249"/>
      <c r="E92" s="249"/>
      <c r="F92" s="216"/>
      <c r="G92" s="216"/>
      <c r="H92" s="216"/>
      <c r="I92" s="218"/>
      <c r="J92" s="218"/>
      <c r="T92" s="231"/>
    </row>
    <row r="93" spans="2:20" ht="15.75">
      <c r="B93" s="228"/>
      <c r="C93" s="243"/>
      <c r="D93" s="243"/>
      <c r="E93" s="244"/>
      <c r="F93" s="216"/>
      <c r="G93" s="216"/>
      <c r="H93" s="219"/>
      <c r="I93" s="244"/>
      <c r="J93" s="244"/>
      <c r="T93" s="231"/>
    </row>
    <row r="94" spans="2:20" ht="15.75">
      <c r="B94" s="228"/>
      <c r="C94" s="213"/>
      <c r="D94" s="213"/>
      <c r="E94" s="213"/>
      <c r="F94" s="240"/>
      <c r="G94" s="167"/>
      <c r="H94" s="241"/>
      <c r="I94" s="241"/>
      <c r="J94" s="245"/>
      <c r="T94" s="231"/>
    </row>
    <row r="95" spans="2:20" ht="15.75">
      <c r="B95" s="228"/>
      <c r="C95" s="213"/>
      <c r="D95" s="213"/>
      <c r="E95" s="213"/>
      <c r="F95" s="216"/>
      <c r="G95" s="216"/>
      <c r="H95" s="219"/>
      <c r="I95" s="219"/>
      <c r="J95" s="220"/>
      <c r="T95" s="231"/>
    </row>
    <row r="96" spans="2:20">
      <c r="B96" s="228"/>
      <c r="C96" s="167"/>
      <c r="D96" s="167"/>
      <c r="E96" s="167"/>
      <c r="F96" s="240"/>
      <c r="G96" s="167"/>
      <c r="H96" s="241"/>
      <c r="I96" s="241"/>
      <c r="J96" s="242"/>
      <c r="T96" s="231"/>
    </row>
    <row r="97" spans="2:20">
      <c r="B97" s="228"/>
      <c r="C97" s="167"/>
      <c r="D97" s="167"/>
      <c r="E97" s="167"/>
      <c r="F97" s="240"/>
      <c r="G97" s="167"/>
      <c r="H97" s="241"/>
      <c r="I97" s="241"/>
      <c r="J97" s="242"/>
      <c r="T97" s="231"/>
    </row>
    <row r="98" spans="2:20">
      <c r="B98" s="228"/>
      <c r="T98" s="231"/>
    </row>
    <row r="99" spans="2:20">
      <c r="B99" s="228"/>
      <c r="T99" s="231"/>
    </row>
    <row r="100" spans="2:20">
      <c r="B100" s="228"/>
      <c r="T100" s="231"/>
    </row>
    <row r="101" spans="2:20">
      <c r="B101" s="228"/>
      <c r="T101" s="231"/>
    </row>
    <row r="102" spans="2:20">
      <c r="B102" s="228"/>
      <c r="T102" s="231"/>
    </row>
    <row r="103" spans="2:20">
      <c r="B103" s="228"/>
      <c r="T103" s="231"/>
    </row>
    <row r="104" spans="2:20">
      <c r="B104" s="228"/>
      <c r="T104" s="231"/>
    </row>
    <row r="105" spans="2:20">
      <c r="B105" s="228"/>
      <c r="T105" s="231"/>
    </row>
    <row r="106" spans="2:20">
      <c r="B106" s="228"/>
      <c r="T106" s="231"/>
    </row>
    <row r="107" spans="2:20">
      <c r="B107" s="228"/>
      <c r="T107" s="231"/>
    </row>
    <row r="108" spans="2:20">
      <c r="B108" s="228"/>
      <c r="T108" s="231"/>
    </row>
    <row r="109" spans="2:20">
      <c r="B109" s="228"/>
      <c r="T109" s="231"/>
    </row>
    <row r="110" spans="2:20">
      <c r="B110" s="228"/>
      <c r="T110" s="231"/>
    </row>
    <row r="111" spans="2:20">
      <c r="B111" s="228"/>
      <c r="T111" s="231"/>
    </row>
    <row r="112" spans="2:20">
      <c r="B112" s="228"/>
      <c r="T112" s="231"/>
    </row>
    <row r="113" spans="2:20">
      <c r="B113" s="228"/>
      <c r="T113" s="231"/>
    </row>
    <row r="114" spans="2:20">
      <c r="B114" s="228"/>
      <c r="T114" s="231"/>
    </row>
    <row r="115" spans="2:20">
      <c r="B115" s="228"/>
      <c r="T115" s="231"/>
    </row>
    <row r="116" spans="2:20">
      <c r="B116" s="228"/>
      <c r="T116" s="231"/>
    </row>
    <row r="117" spans="2:20">
      <c r="B117" s="228"/>
      <c r="T117" s="231"/>
    </row>
    <row r="118" spans="2:20">
      <c r="B118" s="228"/>
      <c r="T118" s="231"/>
    </row>
    <row r="119" spans="2:20">
      <c r="B119" s="228"/>
      <c r="T119" s="231"/>
    </row>
    <row r="120" spans="2:20" ht="15.75" thickBot="1">
      <c r="B120" s="250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2"/>
    </row>
  </sheetData>
  <mergeCells count="9">
    <mergeCell ref="M4:M5"/>
    <mergeCell ref="R4:R5"/>
    <mergeCell ref="S4:S5"/>
    <mergeCell ref="D42:D43"/>
    <mergeCell ref="I42:I43"/>
    <mergeCell ref="J42:J43"/>
    <mergeCell ref="D4:D5"/>
    <mergeCell ref="I4:I5"/>
    <mergeCell ref="J4:J5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D14" workbookViewId="0">
      <selection activeCell="O7" sqref="O7"/>
    </sheetView>
  </sheetViews>
  <sheetFormatPr defaultRowHeight="15"/>
  <cols>
    <col min="3" max="3" width="14.7109375" customWidth="1"/>
    <col min="4" max="4" width="26.85546875" bestFit="1" customWidth="1"/>
    <col min="5" max="5" width="5.7109375" bestFit="1" customWidth="1"/>
    <col min="7" max="7" width="11.28515625" bestFit="1" customWidth="1"/>
    <col min="8" max="8" width="10.85546875" bestFit="1" customWidth="1"/>
    <col min="9" max="9" width="12.140625" bestFit="1" customWidth="1"/>
    <col min="10" max="10" width="20.7109375" customWidth="1"/>
    <col min="11" max="11" width="14.85546875" customWidth="1"/>
    <col min="12" max="12" width="21.85546875" customWidth="1"/>
    <col min="13" max="13" width="8.28515625" style="46" customWidth="1"/>
    <col min="14" max="14" width="11.5703125" style="222" customWidth="1"/>
    <col min="15" max="15" width="13.85546875" style="222" customWidth="1"/>
    <col min="16" max="16" width="19.7109375" style="283" customWidth="1"/>
    <col min="17" max="17" width="14" style="46" customWidth="1"/>
    <col min="18" max="18" width="26.85546875" bestFit="1" customWidth="1"/>
    <col min="19" max="19" width="12" bestFit="1" customWidth="1"/>
    <col min="20" max="20" width="9.140625" bestFit="1" customWidth="1"/>
    <col min="21" max="21" width="10.140625" bestFit="1" customWidth="1"/>
    <col min="264" max="264" width="14.85546875" customWidth="1"/>
    <col min="265" max="265" width="21.85546875" customWidth="1"/>
    <col min="266" max="266" width="8.28515625" customWidth="1"/>
    <col min="267" max="267" width="11.5703125" customWidth="1"/>
    <col min="268" max="268" width="13.85546875" customWidth="1"/>
    <col min="269" max="269" width="12" customWidth="1"/>
    <col min="270" max="270" width="15" customWidth="1"/>
    <col min="271" max="271" width="12" customWidth="1"/>
    <col min="272" max="272" width="10.42578125" customWidth="1"/>
    <col min="520" max="520" width="14.85546875" customWidth="1"/>
    <col min="521" max="521" width="21.85546875" customWidth="1"/>
    <col min="522" max="522" width="8.28515625" customWidth="1"/>
    <col min="523" max="523" width="11.5703125" customWidth="1"/>
    <col min="524" max="524" width="13.85546875" customWidth="1"/>
    <col min="525" max="525" width="12" customWidth="1"/>
    <col min="526" max="526" width="15" customWidth="1"/>
    <col min="527" max="527" width="12" customWidth="1"/>
    <col min="528" max="528" width="10.42578125" customWidth="1"/>
    <col min="776" max="776" width="14.85546875" customWidth="1"/>
    <col min="777" max="777" width="21.85546875" customWidth="1"/>
    <col min="778" max="778" width="8.28515625" customWidth="1"/>
    <col min="779" max="779" width="11.5703125" customWidth="1"/>
    <col min="780" max="780" width="13.85546875" customWidth="1"/>
    <col min="781" max="781" width="12" customWidth="1"/>
    <col min="782" max="782" width="15" customWidth="1"/>
    <col min="783" max="783" width="12" customWidth="1"/>
    <col min="784" max="784" width="10.42578125" customWidth="1"/>
    <col min="1032" max="1032" width="14.85546875" customWidth="1"/>
    <col min="1033" max="1033" width="21.85546875" customWidth="1"/>
    <col min="1034" max="1034" width="8.28515625" customWidth="1"/>
    <col min="1035" max="1035" width="11.5703125" customWidth="1"/>
    <col min="1036" max="1036" width="13.85546875" customWidth="1"/>
    <col min="1037" max="1037" width="12" customWidth="1"/>
    <col min="1038" max="1038" width="15" customWidth="1"/>
    <col min="1039" max="1039" width="12" customWidth="1"/>
    <col min="1040" max="1040" width="10.42578125" customWidth="1"/>
    <col min="1288" max="1288" width="14.85546875" customWidth="1"/>
    <col min="1289" max="1289" width="21.85546875" customWidth="1"/>
    <col min="1290" max="1290" width="8.28515625" customWidth="1"/>
    <col min="1291" max="1291" width="11.5703125" customWidth="1"/>
    <col min="1292" max="1292" width="13.85546875" customWidth="1"/>
    <col min="1293" max="1293" width="12" customWidth="1"/>
    <col min="1294" max="1294" width="15" customWidth="1"/>
    <col min="1295" max="1295" width="12" customWidth="1"/>
    <col min="1296" max="1296" width="10.42578125" customWidth="1"/>
    <col min="1544" max="1544" width="14.85546875" customWidth="1"/>
    <col min="1545" max="1545" width="21.85546875" customWidth="1"/>
    <col min="1546" max="1546" width="8.28515625" customWidth="1"/>
    <col min="1547" max="1547" width="11.5703125" customWidth="1"/>
    <col min="1548" max="1548" width="13.85546875" customWidth="1"/>
    <col min="1549" max="1549" width="12" customWidth="1"/>
    <col min="1550" max="1550" width="15" customWidth="1"/>
    <col min="1551" max="1551" width="12" customWidth="1"/>
    <col min="1552" max="1552" width="10.42578125" customWidth="1"/>
    <col min="1800" max="1800" width="14.85546875" customWidth="1"/>
    <col min="1801" max="1801" width="21.85546875" customWidth="1"/>
    <col min="1802" max="1802" width="8.28515625" customWidth="1"/>
    <col min="1803" max="1803" width="11.5703125" customWidth="1"/>
    <col min="1804" max="1804" width="13.85546875" customWidth="1"/>
    <col min="1805" max="1805" width="12" customWidth="1"/>
    <col min="1806" max="1806" width="15" customWidth="1"/>
    <col min="1807" max="1807" width="12" customWidth="1"/>
    <col min="1808" max="1808" width="10.42578125" customWidth="1"/>
    <col min="2056" max="2056" width="14.85546875" customWidth="1"/>
    <col min="2057" max="2057" width="21.85546875" customWidth="1"/>
    <col min="2058" max="2058" width="8.28515625" customWidth="1"/>
    <col min="2059" max="2059" width="11.5703125" customWidth="1"/>
    <col min="2060" max="2060" width="13.85546875" customWidth="1"/>
    <col min="2061" max="2061" width="12" customWidth="1"/>
    <col min="2062" max="2062" width="15" customWidth="1"/>
    <col min="2063" max="2063" width="12" customWidth="1"/>
    <col min="2064" max="2064" width="10.42578125" customWidth="1"/>
    <col min="2312" max="2312" width="14.85546875" customWidth="1"/>
    <col min="2313" max="2313" width="21.85546875" customWidth="1"/>
    <col min="2314" max="2314" width="8.28515625" customWidth="1"/>
    <col min="2315" max="2315" width="11.5703125" customWidth="1"/>
    <col min="2316" max="2316" width="13.85546875" customWidth="1"/>
    <col min="2317" max="2317" width="12" customWidth="1"/>
    <col min="2318" max="2318" width="15" customWidth="1"/>
    <col min="2319" max="2319" width="12" customWidth="1"/>
    <col min="2320" max="2320" width="10.42578125" customWidth="1"/>
    <col min="2568" max="2568" width="14.85546875" customWidth="1"/>
    <col min="2569" max="2569" width="21.85546875" customWidth="1"/>
    <col min="2570" max="2570" width="8.28515625" customWidth="1"/>
    <col min="2571" max="2571" width="11.5703125" customWidth="1"/>
    <col min="2572" max="2572" width="13.85546875" customWidth="1"/>
    <col min="2573" max="2573" width="12" customWidth="1"/>
    <col min="2574" max="2574" width="15" customWidth="1"/>
    <col min="2575" max="2575" width="12" customWidth="1"/>
    <col min="2576" max="2576" width="10.42578125" customWidth="1"/>
    <col min="2824" max="2824" width="14.85546875" customWidth="1"/>
    <col min="2825" max="2825" width="21.85546875" customWidth="1"/>
    <col min="2826" max="2826" width="8.28515625" customWidth="1"/>
    <col min="2827" max="2827" width="11.5703125" customWidth="1"/>
    <col min="2828" max="2828" width="13.85546875" customWidth="1"/>
    <col min="2829" max="2829" width="12" customWidth="1"/>
    <col min="2830" max="2830" width="15" customWidth="1"/>
    <col min="2831" max="2831" width="12" customWidth="1"/>
    <col min="2832" max="2832" width="10.42578125" customWidth="1"/>
    <col min="3080" max="3080" width="14.85546875" customWidth="1"/>
    <col min="3081" max="3081" width="21.85546875" customWidth="1"/>
    <col min="3082" max="3082" width="8.28515625" customWidth="1"/>
    <col min="3083" max="3083" width="11.5703125" customWidth="1"/>
    <col min="3084" max="3084" width="13.85546875" customWidth="1"/>
    <col min="3085" max="3085" width="12" customWidth="1"/>
    <col min="3086" max="3086" width="15" customWidth="1"/>
    <col min="3087" max="3087" width="12" customWidth="1"/>
    <col min="3088" max="3088" width="10.42578125" customWidth="1"/>
    <col min="3336" max="3336" width="14.85546875" customWidth="1"/>
    <col min="3337" max="3337" width="21.85546875" customWidth="1"/>
    <col min="3338" max="3338" width="8.28515625" customWidth="1"/>
    <col min="3339" max="3339" width="11.5703125" customWidth="1"/>
    <col min="3340" max="3340" width="13.85546875" customWidth="1"/>
    <col min="3341" max="3341" width="12" customWidth="1"/>
    <col min="3342" max="3342" width="15" customWidth="1"/>
    <col min="3343" max="3343" width="12" customWidth="1"/>
    <col min="3344" max="3344" width="10.42578125" customWidth="1"/>
    <col min="3592" max="3592" width="14.85546875" customWidth="1"/>
    <col min="3593" max="3593" width="21.85546875" customWidth="1"/>
    <col min="3594" max="3594" width="8.28515625" customWidth="1"/>
    <col min="3595" max="3595" width="11.5703125" customWidth="1"/>
    <col min="3596" max="3596" width="13.85546875" customWidth="1"/>
    <col min="3597" max="3597" width="12" customWidth="1"/>
    <col min="3598" max="3598" width="15" customWidth="1"/>
    <col min="3599" max="3599" width="12" customWidth="1"/>
    <col min="3600" max="3600" width="10.42578125" customWidth="1"/>
    <col min="3848" max="3848" width="14.85546875" customWidth="1"/>
    <col min="3849" max="3849" width="21.85546875" customWidth="1"/>
    <col min="3850" max="3850" width="8.28515625" customWidth="1"/>
    <col min="3851" max="3851" width="11.5703125" customWidth="1"/>
    <col min="3852" max="3852" width="13.85546875" customWidth="1"/>
    <col min="3853" max="3853" width="12" customWidth="1"/>
    <col min="3854" max="3854" width="15" customWidth="1"/>
    <col min="3855" max="3855" width="12" customWidth="1"/>
    <col min="3856" max="3856" width="10.42578125" customWidth="1"/>
    <col min="4104" max="4104" width="14.85546875" customWidth="1"/>
    <col min="4105" max="4105" width="21.85546875" customWidth="1"/>
    <col min="4106" max="4106" width="8.28515625" customWidth="1"/>
    <col min="4107" max="4107" width="11.5703125" customWidth="1"/>
    <col min="4108" max="4108" width="13.85546875" customWidth="1"/>
    <col min="4109" max="4109" width="12" customWidth="1"/>
    <col min="4110" max="4110" width="15" customWidth="1"/>
    <col min="4111" max="4111" width="12" customWidth="1"/>
    <col min="4112" max="4112" width="10.42578125" customWidth="1"/>
    <col min="4360" max="4360" width="14.85546875" customWidth="1"/>
    <col min="4361" max="4361" width="21.85546875" customWidth="1"/>
    <col min="4362" max="4362" width="8.28515625" customWidth="1"/>
    <col min="4363" max="4363" width="11.5703125" customWidth="1"/>
    <col min="4364" max="4364" width="13.85546875" customWidth="1"/>
    <col min="4365" max="4365" width="12" customWidth="1"/>
    <col min="4366" max="4366" width="15" customWidth="1"/>
    <col min="4367" max="4367" width="12" customWidth="1"/>
    <col min="4368" max="4368" width="10.42578125" customWidth="1"/>
    <col min="4616" max="4616" width="14.85546875" customWidth="1"/>
    <col min="4617" max="4617" width="21.85546875" customWidth="1"/>
    <col min="4618" max="4618" width="8.28515625" customWidth="1"/>
    <col min="4619" max="4619" width="11.5703125" customWidth="1"/>
    <col min="4620" max="4620" width="13.85546875" customWidth="1"/>
    <col min="4621" max="4621" width="12" customWidth="1"/>
    <col min="4622" max="4622" width="15" customWidth="1"/>
    <col min="4623" max="4623" width="12" customWidth="1"/>
    <col min="4624" max="4624" width="10.42578125" customWidth="1"/>
    <col min="4872" max="4872" width="14.85546875" customWidth="1"/>
    <col min="4873" max="4873" width="21.85546875" customWidth="1"/>
    <col min="4874" max="4874" width="8.28515625" customWidth="1"/>
    <col min="4875" max="4875" width="11.5703125" customWidth="1"/>
    <col min="4876" max="4876" width="13.85546875" customWidth="1"/>
    <col min="4877" max="4877" width="12" customWidth="1"/>
    <col min="4878" max="4878" width="15" customWidth="1"/>
    <col min="4879" max="4879" width="12" customWidth="1"/>
    <col min="4880" max="4880" width="10.42578125" customWidth="1"/>
    <col min="5128" max="5128" width="14.85546875" customWidth="1"/>
    <col min="5129" max="5129" width="21.85546875" customWidth="1"/>
    <col min="5130" max="5130" width="8.28515625" customWidth="1"/>
    <col min="5131" max="5131" width="11.5703125" customWidth="1"/>
    <col min="5132" max="5132" width="13.85546875" customWidth="1"/>
    <col min="5133" max="5133" width="12" customWidth="1"/>
    <col min="5134" max="5134" width="15" customWidth="1"/>
    <col min="5135" max="5135" width="12" customWidth="1"/>
    <col min="5136" max="5136" width="10.42578125" customWidth="1"/>
    <col min="5384" max="5384" width="14.85546875" customWidth="1"/>
    <col min="5385" max="5385" width="21.85546875" customWidth="1"/>
    <col min="5386" max="5386" width="8.28515625" customWidth="1"/>
    <col min="5387" max="5387" width="11.5703125" customWidth="1"/>
    <col min="5388" max="5388" width="13.85546875" customWidth="1"/>
    <col min="5389" max="5389" width="12" customWidth="1"/>
    <col min="5390" max="5390" width="15" customWidth="1"/>
    <col min="5391" max="5391" width="12" customWidth="1"/>
    <col min="5392" max="5392" width="10.42578125" customWidth="1"/>
    <col min="5640" max="5640" width="14.85546875" customWidth="1"/>
    <col min="5641" max="5641" width="21.85546875" customWidth="1"/>
    <col min="5642" max="5642" width="8.28515625" customWidth="1"/>
    <col min="5643" max="5643" width="11.5703125" customWidth="1"/>
    <col min="5644" max="5644" width="13.85546875" customWidth="1"/>
    <col min="5645" max="5645" width="12" customWidth="1"/>
    <col min="5646" max="5646" width="15" customWidth="1"/>
    <col min="5647" max="5647" width="12" customWidth="1"/>
    <col min="5648" max="5648" width="10.42578125" customWidth="1"/>
    <col min="5896" max="5896" width="14.85546875" customWidth="1"/>
    <col min="5897" max="5897" width="21.85546875" customWidth="1"/>
    <col min="5898" max="5898" width="8.28515625" customWidth="1"/>
    <col min="5899" max="5899" width="11.5703125" customWidth="1"/>
    <col min="5900" max="5900" width="13.85546875" customWidth="1"/>
    <col min="5901" max="5901" width="12" customWidth="1"/>
    <col min="5902" max="5902" width="15" customWidth="1"/>
    <col min="5903" max="5903" width="12" customWidth="1"/>
    <col min="5904" max="5904" width="10.42578125" customWidth="1"/>
    <col min="6152" max="6152" width="14.85546875" customWidth="1"/>
    <col min="6153" max="6153" width="21.85546875" customWidth="1"/>
    <col min="6154" max="6154" width="8.28515625" customWidth="1"/>
    <col min="6155" max="6155" width="11.5703125" customWidth="1"/>
    <col min="6156" max="6156" width="13.85546875" customWidth="1"/>
    <col min="6157" max="6157" width="12" customWidth="1"/>
    <col min="6158" max="6158" width="15" customWidth="1"/>
    <col min="6159" max="6159" width="12" customWidth="1"/>
    <col min="6160" max="6160" width="10.42578125" customWidth="1"/>
    <col min="6408" max="6408" width="14.85546875" customWidth="1"/>
    <col min="6409" max="6409" width="21.85546875" customWidth="1"/>
    <col min="6410" max="6410" width="8.28515625" customWidth="1"/>
    <col min="6411" max="6411" width="11.5703125" customWidth="1"/>
    <col min="6412" max="6412" width="13.85546875" customWidth="1"/>
    <col min="6413" max="6413" width="12" customWidth="1"/>
    <col min="6414" max="6414" width="15" customWidth="1"/>
    <col min="6415" max="6415" width="12" customWidth="1"/>
    <col min="6416" max="6416" width="10.42578125" customWidth="1"/>
    <col min="6664" max="6664" width="14.85546875" customWidth="1"/>
    <col min="6665" max="6665" width="21.85546875" customWidth="1"/>
    <col min="6666" max="6666" width="8.28515625" customWidth="1"/>
    <col min="6667" max="6667" width="11.5703125" customWidth="1"/>
    <col min="6668" max="6668" width="13.85546875" customWidth="1"/>
    <col min="6669" max="6669" width="12" customWidth="1"/>
    <col min="6670" max="6670" width="15" customWidth="1"/>
    <col min="6671" max="6671" width="12" customWidth="1"/>
    <col min="6672" max="6672" width="10.42578125" customWidth="1"/>
    <col min="6920" max="6920" width="14.85546875" customWidth="1"/>
    <col min="6921" max="6921" width="21.85546875" customWidth="1"/>
    <col min="6922" max="6922" width="8.28515625" customWidth="1"/>
    <col min="6923" max="6923" width="11.5703125" customWidth="1"/>
    <col min="6924" max="6924" width="13.85546875" customWidth="1"/>
    <col min="6925" max="6925" width="12" customWidth="1"/>
    <col min="6926" max="6926" width="15" customWidth="1"/>
    <col min="6927" max="6927" width="12" customWidth="1"/>
    <col min="6928" max="6928" width="10.42578125" customWidth="1"/>
    <col min="7176" max="7176" width="14.85546875" customWidth="1"/>
    <col min="7177" max="7177" width="21.85546875" customWidth="1"/>
    <col min="7178" max="7178" width="8.28515625" customWidth="1"/>
    <col min="7179" max="7179" width="11.5703125" customWidth="1"/>
    <col min="7180" max="7180" width="13.85546875" customWidth="1"/>
    <col min="7181" max="7181" width="12" customWidth="1"/>
    <col min="7182" max="7182" width="15" customWidth="1"/>
    <col min="7183" max="7183" width="12" customWidth="1"/>
    <col min="7184" max="7184" width="10.42578125" customWidth="1"/>
    <col min="7432" max="7432" width="14.85546875" customWidth="1"/>
    <col min="7433" max="7433" width="21.85546875" customWidth="1"/>
    <col min="7434" max="7434" width="8.28515625" customWidth="1"/>
    <col min="7435" max="7435" width="11.5703125" customWidth="1"/>
    <col min="7436" max="7436" width="13.85546875" customWidth="1"/>
    <col min="7437" max="7437" width="12" customWidth="1"/>
    <col min="7438" max="7438" width="15" customWidth="1"/>
    <col min="7439" max="7439" width="12" customWidth="1"/>
    <col min="7440" max="7440" width="10.42578125" customWidth="1"/>
    <col min="7688" max="7688" width="14.85546875" customWidth="1"/>
    <col min="7689" max="7689" width="21.85546875" customWidth="1"/>
    <col min="7690" max="7690" width="8.28515625" customWidth="1"/>
    <col min="7691" max="7691" width="11.5703125" customWidth="1"/>
    <col min="7692" max="7692" width="13.85546875" customWidth="1"/>
    <col min="7693" max="7693" width="12" customWidth="1"/>
    <col min="7694" max="7694" width="15" customWidth="1"/>
    <col min="7695" max="7695" width="12" customWidth="1"/>
    <col min="7696" max="7696" width="10.42578125" customWidth="1"/>
    <col min="7944" max="7944" width="14.85546875" customWidth="1"/>
    <col min="7945" max="7945" width="21.85546875" customWidth="1"/>
    <col min="7946" max="7946" width="8.28515625" customWidth="1"/>
    <col min="7947" max="7947" width="11.5703125" customWidth="1"/>
    <col min="7948" max="7948" width="13.85546875" customWidth="1"/>
    <col min="7949" max="7949" width="12" customWidth="1"/>
    <col min="7950" max="7950" width="15" customWidth="1"/>
    <col min="7951" max="7951" width="12" customWidth="1"/>
    <col min="7952" max="7952" width="10.42578125" customWidth="1"/>
    <col min="8200" max="8200" width="14.85546875" customWidth="1"/>
    <col min="8201" max="8201" width="21.85546875" customWidth="1"/>
    <col min="8202" max="8202" width="8.28515625" customWidth="1"/>
    <col min="8203" max="8203" width="11.5703125" customWidth="1"/>
    <col min="8204" max="8204" width="13.85546875" customWidth="1"/>
    <col min="8205" max="8205" width="12" customWidth="1"/>
    <col min="8206" max="8206" width="15" customWidth="1"/>
    <col min="8207" max="8207" width="12" customWidth="1"/>
    <col min="8208" max="8208" width="10.42578125" customWidth="1"/>
    <col min="8456" max="8456" width="14.85546875" customWidth="1"/>
    <col min="8457" max="8457" width="21.85546875" customWidth="1"/>
    <col min="8458" max="8458" width="8.28515625" customWidth="1"/>
    <col min="8459" max="8459" width="11.5703125" customWidth="1"/>
    <col min="8460" max="8460" width="13.85546875" customWidth="1"/>
    <col min="8461" max="8461" width="12" customWidth="1"/>
    <col min="8462" max="8462" width="15" customWidth="1"/>
    <col min="8463" max="8463" width="12" customWidth="1"/>
    <col min="8464" max="8464" width="10.42578125" customWidth="1"/>
    <col min="8712" max="8712" width="14.85546875" customWidth="1"/>
    <col min="8713" max="8713" width="21.85546875" customWidth="1"/>
    <col min="8714" max="8714" width="8.28515625" customWidth="1"/>
    <col min="8715" max="8715" width="11.5703125" customWidth="1"/>
    <col min="8716" max="8716" width="13.85546875" customWidth="1"/>
    <col min="8717" max="8717" width="12" customWidth="1"/>
    <col min="8718" max="8718" width="15" customWidth="1"/>
    <col min="8719" max="8719" width="12" customWidth="1"/>
    <col min="8720" max="8720" width="10.42578125" customWidth="1"/>
    <col min="8968" max="8968" width="14.85546875" customWidth="1"/>
    <col min="8969" max="8969" width="21.85546875" customWidth="1"/>
    <col min="8970" max="8970" width="8.28515625" customWidth="1"/>
    <col min="8971" max="8971" width="11.5703125" customWidth="1"/>
    <col min="8972" max="8972" width="13.85546875" customWidth="1"/>
    <col min="8973" max="8973" width="12" customWidth="1"/>
    <col min="8974" max="8974" width="15" customWidth="1"/>
    <col min="8975" max="8975" width="12" customWidth="1"/>
    <col min="8976" max="8976" width="10.42578125" customWidth="1"/>
    <col min="9224" max="9224" width="14.85546875" customWidth="1"/>
    <col min="9225" max="9225" width="21.85546875" customWidth="1"/>
    <col min="9226" max="9226" width="8.28515625" customWidth="1"/>
    <col min="9227" max="9227" width="11.5703125" customWidth="1"/>
    <col min="9228" max="9228" width="13.85546875" customWidth="1"/>
    <col min="9229" max="9229" width="12" customWidth="1"/>
    <col min="9230" max="9230" width="15" customWidth="1"/>
    <col min="9231" max="9231" width="12" customWidth="1"/>
    <col min="9232" max="9232" width="10.42578125" customWidth="1"/>
    <col min="9480" max="9480" width="14.85546875" customWidth="1"/>
    <col min="9481" max="9481" width="21.85546875" customWidth="1"/>
    <col min="9482" max="9482" width="8.28515625" customWidth="1"/>
    <col min="9483" max="9483" width="11.5703125" customWidth="1"/>
    <col min="9484" max="9484" width="13.85546875" customWidth="1"/>
    <col min="9485" max="9485" width="12" customWidth="1"/>
    <col min="9486" max="9486" width="15" customWidth="1"/>
    <col min="9487" max="9487" width="12" customWidth="1"/>
    <col min="9488" max="9488" width="10.42578125" customWidth="1"/>
    <col min="9736" max="9736" width="14.85546875" customWidth="1"/>
    <col min="9737" max="9737" width="21.85546875" customWidth="1"/>
    <col min="9738" max="9738" width="8.28515625" customWidth="1"/>
    <col min="9739" max="9739" width="11.5703125" customWidth="1"/>
    <col min="9740" max="9740" width="13.85546875" customWidth="1"/>
    <col min="9741" max="9741" width="12" customWidth="1"/>
    <col min="9742" max="9742" width="15" customWidth="1"/>
    <col min="9743" max="9743" width="12" customWidth="1"/>
    <col min="9744" max="9744" width="10.42578125" customWidth="1"/>
    <col min="9992" max="9992" width="14.85546875" customWidth="1"/>
    <col min="9993" max="9993" width="21.85546875" customWidth="1"/>
    <col min="9994" max="9994" width="8.28515625" customWidth="1"/>
    <col min="9995" max="9995" width="11.5703125" customWidth="1"/>
    <col min="9996" max="9996" width="13.85546875" customWidth="1"/>
    <col min="9997" max="9997" width="12" customWidth="1"/>
    <col min="9998" max="9998" width="15" customWidth="1"/>
    <col min="9999" max="9999" width="12" customWidth="1"/>
    <col min="10000" max="10000" width="10.42578125" customWidth="1"/>
    <col min="10248" max="10248" width="14.85546875" customWidth="1"/>
    <col min="10249" max="10249" width="21.85546875" customWidth="1"/>
    <col min="10250" max="10250" width="8.28515625" customWidth="1"/>
    <col min="10251" max="10251" width="11.5703125" customWidth="1"/>
    <col min="10252" max="10252" width="13.85546875" customWidth="1"/>
    <col min="10253" max="10253" width="12" customWidth="1"/>
    <col min="10254" max="10254" width="15" customWidth="1"/>
    <col min="10255" max="10255" width="12" customWidth="1"/>
    <col min="10256" max="10256" width="10.42578125" customWidth="1"/>
    <col min="10504" max="10504" width="14.85546875" customWidth="1"/>
    <col min="10505" max="10505" width="21.85546875" customWidth="1"/>
    <col min="10506" max="10506" width="8.28515625" customWidth="1"/>
    <col min="10507" max="10507" width="11.5703125" customWidth="1"/>
    <col min="10508" max="10508" width="13.85546875" customWidth="1"/>
    <col min="10509" max="10509" width="12" customWidth="1"/>
    <col min="10510" max="10510" width="15" customWidth="1"/>
    <col min="10511" max="10511" width="12" customWidth="1"/>
    <col min="10512" max="10512" width="10.42578125" customWidth="1"/>
    <col min="10760" max="10760" width="14.85546875" customWidth="1"/>
    <col min="10761" max="10761" width="21.85546875" customWidth="1"/>
    <col min="10762" max="10762" width="8.28515625" customWidth="1"/>
    <col min="10763" max="10763" width="11.5703125" customWidth="1"/>
    <col min="10764" max="10764" width="13.85546875" customWidth="1"/>
    <col min="10765" max="10765" width="12" customWidth="1"/>
    <col min="10766" max="10766" width="15" customWidth="1"/>
    <col min="10767" max="10767" width="12" customWidth="1"/>
    <col min="10768" max="10768" width="10.42578125" customWidth="1"/>
    <col min="11016" max="11016" width="14.85546875" customWidth="1"/>
    <col min="11017" max="11017" width="21.85546875" customWidth="1"/>
    <col min="11018" max="11018" width="8.28515625" customWidth="1"/>
    <col min="11019" max="11019" width="11.5703125" customWidth="1"/>
    <col min="11020" max="11020" width="13.85546875" customWidth="1"/>
    <col min="11021" max="11021" width="12" customWidth="1"/>
    <col min="11022" max="11022" width="15" customWidth="1"/>
    <col min="11023" max="11023" width="12" customWidth="1"/>
    <col min="11024" max="11024" width="10.42578125" customWidth="1"/>
    <col min="11272" max="11272" width="14.85546875" customWidth="1"/>
    <col min="11273" max="11273" width="21.85546875" customWidth="1"/>
    <col min="11274" max="11274" width="8.28515625" customWidth="1"/>
    <col min="11275" max="11275" width="11.5703125" customWidth="1"/>
    <col min="11276" max="11276" width="13.85546875" customWidth="1"/>
    <col min="11277" max="11277" width="12" customWidth="1"/>
    <col min="11278" max="11278" width="15" customWidth="1"/>
    <col min="11279" max="11279" width="12" customWidth="1"/>
    <col min="11280" max="11280" width="10.42578125" customWidth="1"/>
    <col min="11528" max="11528" width="14.85546875" customWidth="1"/>
    <col min="11529" max="11529" width="21.85546875" customWidth="1"/>
    <col min="11530" max="11530" width="8.28515625" customWidth="1"/>
    <col min="11531" max="11531" width="11.5703125" customWidth="1"/>
    <col min="11532" max="11532" width="13.85546875" customWidth="1"/>
    <col min="11533" max="11533" width="12" customWidth="1"/>
    <col min="11534" max="11534" width="15" customWidth="1"/>
    <col min="11535" max="11535" width="12" customWidth="1"/>
    <col min="11536" max="11536" width="10.42578125" customWidth="1"/>
    <col min="11784" max="11784" width="14.85546875" customWidth="1"/>
    <col min="11785" max="11785" width="21.85546875" customWidth="1"/>
    <col min="11786" max="11786" width="8.28515625" customWidth="1"/>
    <col min="11787" max="11787" width="11.5703125" customWidth="1"/>
    <col min="11788" max="11788" width="13.85546875" customWidth="1"/>
    <col min="11789" max="11789" width="12" customWidth="1"/>
    <col min="11790" max="11790" width="15" customWidth="1"/>
    <col min="11791" max="11791" width="12" customWidth="1"/>
    <col min="11792" max="11792" width="10.42578125" customWidth="1"/>
    <col min="12040" max="12040" width="14.85546875" customWidth="1"/>
    <col min="12041" max="12041" width="21.85546875" customWidth="1"/>
    <col min="12042" max="12042" width="8.28515625" customWidth="1"/>
    <col min="12043" max="12043" width="11.5703125" customWidth="1"/>
    <col min="12044" max="12044" width="13.85546875" customWidth="1"/>
    <col min="12045" max="12045" width="12" customWidth="1"/>
    <col min="12046" max="12046" width="15" customWidth="1"/>
    <col min="12047" max="12047" width="12" customWidth="1"/>
    <col min="12048" max="12048" width="10.42578125" customWidth="1"/>
    <col min="12296" max="12296" width="14.85546875" customWidth="1"/>
    <col min="12297" max="12297" width="21.85546875" customWidth="1"/>
    <col min="12298" max="12298" width="8.28515625" customWidth="1"/>
    <col min="12299" max="12299" width="11.5703125" customWidth="1"/>
    <col min="12300" max="12300" width="13.85546875" customWidth="1"/>
    <col min="12301" max="12301" width="12" customWidth="1"/>
    <col min="12302" max="12302" width="15" customWidth="1"/>
    <col min="12303" max="12303" width="12" customWidth="1"/>
    <col min="12304" max="12304" width="10.42578125" customWidth="1"/>
    <col min="12552" max="12552" width="14.85546875" customWidth="1"/>
    <col min="12553" max="12553" width="21.85546875" customWidth="1"/>
    <col min="12554" max="12554" width="8.28515625" customWidth="1"/>
    <col min="12555" max="12555" width="11.5703125" customWidth="1"/>
    <col min="12556" max="12556" width="13.85546875" customWidth="1"/>
    <col min="12557" max="12557" width="12" customWidth="1"/>
    <col min="12558" max="12558" width="15" customWidth="1"/>
    <col min="12559" max="12559" width="12" customWidth="1"/>
    <col min="12560" max="12560" width="10.42578125" customWidth="1"/>
    <col min="12808" max="12808" width="14.85546875" customWidth="1"/>
    <col min="12809" max="12809" width="21.85546875" customWidth="1"/>
    <col min="12810" max="12810" width="8.28515625" customWidth="1"/>
    <col min="12811" max="12811" width="11.5703125" customWidth="1"/>
    <col min="12812" max="12812" width="13.85546875" customWidth="1"/>
    <col min="12813" max="12813" width="12" customWidth="1"/>
    <col min="12814" max="12814" width="15" customWidth="1"/>
    <col min="12815" max="12815" width="12" customWidth="1"/>
    <col min="12816" max="12816" width="10.42578125" customWidth="1"/>
    <col min="13064" max="13064" width="14.85546875" customWidth="1"/>
    <col min="13065" max="13065" width="21.85546875" customWidth="1"/>
    <col min="13066" max="13066" width="8.28515625" customWidth="1"/>
    <col min="13067" max="13067" width="11.5703125" customWidth="1"/>
    <col min="13068" max="13068" width="13.85546875" customWidth="1"/>
    <col min="13069" max="13069" width="12" customWidth="1"/>
    <col min="13070" max="13070" width="15" customWidth="1"/>
    <col min="13071" max="13071" width="12" customWidth="1"/>
    <col min="13072" max="13072" width="10.42578125" customWidth="1"/>
    <col min="13320" max="13320" width="14.85546875" customWidth="1"/>
    <col min="13321" max="13321" width="21.85546875" customWidth="1"/>
    <col min="13322" max="13322" width="8.28515625" customWidth="1"/>
    <col min="13323" max="13323" width="11.5703125" customWidth="1"/>
    <col min="13324" max="13324" width="13.85546875" customWidth="1"/>
    <col min="13325" max="13325" width="12" customWidth="1"/>
    <col min="13326" max="13326" width="15" customWidth="1"/>
    <col min="13327" max="13327" width="12" customWidth="1"/>
    <col min="13328" max="13328" width="10.42578125" customWidth="1"/>
    <col min="13576" max="13576" width="14.85546875" customWidth="1"/>
    <col min="13577" max="13577" width="21.85546875" customWidth="1"/>
    <col min="13578" max="13578" width="8.28515625" customWidth="1"/>
    <col min="13579" max="13579" width="11.5703125" customWidth="1"/>
    <col min="13580" max="13580" width="13.85546875" customWidth="1"/>
    <col min="13581" max="13581" width="12" customWidth="1"/>
    <col min="13582" max="13582" width="15" customWidth="1"/>
    <col min="13583" max="13583" width="12" customWidth="1"/>
    <col min="13584" max="13584" width="10.42578125" customWidth="1"/>
    <col min="13832" max="13832" width="14.85546875" customWidth="1"/>
    <col min="13833" max="13833" width="21.85546875" customWidth="1"/>
    <col min="13834" max="13834" width="8.28515625" customWidth="1"/>
    <col min="13835" max="13835" width="11.5703125" customWidth="1"/>
    <col min="13836" max="13836" width="13.85546875" customWidth="1"/>
    <col min="13837" max="13837" width="12" customWidth="1"/>
    <col min="13838" max="13838" width="15" customWidth="1"/>
    <col min="13839" max="13839" width="12" customWidth="1"/>
    <col min="13840" max="13840" width="10.42578125" customWidth="1"/>
    <col min="14088" max="14088" width="14.85546875" customWidth="1"/>
    <col min="14089" max="14089" width="21.85546875" customWidth="1"/>
    <col min="14090" max="14090" width="8.28515625" customWidth="1"/>
    <col min="14091" max="14091" width="11.5703125" customWidth="1"/>
    <col min="14092" max="14092" width="13.85546875" customWidth="1"/>
    <col min="14093" max="14093" width="12" customWidth="1"/>
    <col min="14094" max="14094" width="15" customWidth="1"/>
    <col min="14095" max="14095" width="12" customWidth="1"/>
    <col min="14096" max="14096" width="10.42578125" customWidth="1"/>
    <col min="14344" max="14344" width="14.85546875" customWidth="1"/>
    <col min="14345" max="14345" width="21.85546875" customWidth="1"/>
    <col min="14346" max="14346" width="8.28515625" customWidth="1"/>
    <col min="14347" max="14347" width="11.5703125" customWidth="1"/>
    <col min="14348" max="14348" width="13.85546875" customWidth="1"/>
    <col min="14349" max="14349" width="12" customWidth="1"/>
    <col min="14350" max="14350" width="15" customWidth="1"/>
    <col min="14351" max="14351" width="12" customWidth="1"/>
    <col min="14352" max="14352" width="10.42578125" customWidth="1"/>
    <col min="14600" max="14600" width="14.85546875" customWidth="1"/>
    <col min="14601" max="14601" width="21.85546875" customWidth="1"/>
    <col min="14602" max="14602" width="8.28515625" customWidth="1"/>
    <col min="14603" max="14603" width="11.5703125" customWidth="1"/>
    <col min="14604" max="14604" width="13.85546875" customWidth="1"/>
    <col min="14605" max="14605" width="12" customWidth="1"/>
    <col min="14606" max="14606" width="15" customWidth="1"/>
    <col min="14607" max="14607" width="12" customWidth="1"/>
    <col min="14608" max="14608" width="10.42578125" customWidth="1"/>
    <col min="14856" max="14856" width="14.85546875" customWidth="1"/>
    <col min="14857" max="14857" width="21.85546875" customWidth="1"/>
    <col min="14858" max="14858" width="8.28515625" customWidth="1"/>
    <col min="14859" max="14859" width="11.5703125" customWidth="1"/>
    <col min="14860" max="14860" width="13.85546875" customWidth="1"/>
    <col min="14861" max="14861" width="12" customWidth="1"/>
    <col min="14862" max="14862" width="15" customWidth="1"/>
    <col min="14863" max="14863" width="12" customWidth="1"/>
    <col min="14864" max="14864" width="10.42578125" customWidth="1"/>
    <col min="15112" max="15112" width="14.85546875" customWidth="1"/>
    <col min="15113" max="15113" width="21.85546875" customWidth="1"/>
    <col min="15114" max="15114" width="8.28515625" customWidth="1"/>
    <col min="15115" max="15115" width="11.5703125" customWidth="1"/>
    <col min="15116" max="15116" width="13.85546875" customWidth="1"/>
    <col min="15117" max="15117" width="12" customWidth="1"/>
    <col min="15118" max="15118" width="15" customWidth="1"/>
    <col min="15119" max="15119" width="12" customWidth="1"/>
    <col min="15120" max="15120" width="10.42578125" customWidth="1"/>
    <col min="15368" max="15368" width="14.85546875" customWidth="1"/>
    <col min="15369" max="15369" width="21.85546875" customWidth="1"/>
    <col min="15370" max="15370" width="8.28515625" customWidth="1"/>
    <col min="15371" max="15371" width="11.5703125" customWidth="1"/>
    <col min="15372" max="15372" width="13.85546875" customWidth="1"/>
    <col min="15373" max="15373" width="12" customWidth="1"/>
    <col min="15374" max="15374" width="15" customWidth="1"/>
    <col min="15375" max="15375" width="12" customWidth="1"/>
    <col min="15376" max="15376" width="10.42578125" customWidth="1"/>
    <col min="15624" max="15624" width="14.85546875" customWidth="1"/>
    <col min="15625" max="15625" width="21.85546875" customWidth="1"/>
    <col min="15626" max="15626" width="8.28515625" customWidth="1"/>
    <col min="15627" max="15627" width="11.5703125" customWidth="1"/>
    <col min="15628" max="15628" width="13.85546875" customWidth="1"/>
    <col min="15629" max="15629" width="12" customWidth="1"/>
    <col min="15630" max="15630" width="15" customWidth="1"/>
    <col min="15631" max="15631" width="12" customWidth="1"/>
    <col min="15632" max="15632" width="10.42578125" customWidth="1"/>
    <col min="15880" max="15880" width="14.85546875" customWidth="1"/>
    <col min="15881" max="15881" width="21.85546875" customWidth="1"/>
    <col min="15882" max="15882" width="8.28515625" customWidth="1"/>
    <col min="15883" max="15883" width="11.5703125" customWidth="1"/>
    <col min="15884" max="15884" width="13.85546875" customWidth="1"/>
    <col min="15885" max="15885" width="12" customWidth="1"/>
    <col min="15886" max="15886" width="15" customWidth="1"/>
    <col min="15887" max="15887" width="12" customWidth="1"/>
    <col min="15888" max="15888" width="10.42578125" customWidth="1"/>
    <col min="16136" max="16136" width="14.85546875" customWidth="1"/>
    <col min="16137" max="16137" width="21.85546875" customWidth="1"/>
    <col min="16138" max="16138" width="8.28515625" customWidth="1"/>
    <col min="16139" max="16139" width="11.5703125" customWidth="1"/>
    <col min="16140" max="16140" width="13.85546875" customWidth="1"/>
    <col min="16141" max="16141" width="12" customWidth="1"/>
    <col min="16142" max="16142" width="15" customWidth="1"/>
    <col min="16143" max="16143" width="12" customWidth="1"/>
    <col min="16144" max="16144" width="10.42578125" customWidth="1"/>
  </cols>
  <sheetData>
    <row r="1" spans="3:21">
      <c r="C1" s="167" t="s">
        <v>331</v>
      </c>
      <c r="D1" t="s">
        <v>273</v>
      </c>
      <c r="F1" t="s">
        <v>274</v>
      </c>
      <c r="K1" s="167" t="s">
        <v>331</v>
      </c>
      <c r="L1" t="s">
        <v>273</v>
      </c>
      <c r="M1" t="s">
        <v>332</v>
      </c>
      <c r="N1"/>
      <c r="O1"/>
      <c r="P1"/>
      <c r="Q1" s="167" t="s">
        <v>331</v>
      </c>
      <c r="R1" t="s">
        <v>273</v>
      </c>
      <c r="S1" t="s">
        <v>332</v>
      </c>
    </row>
    <row r="2" spans="3:21">
      <c r="C2" s="42" t="s">
        <v>333</v>
      </c>
      <c r="D2" s="168" t="s">
        <v>276</v>
      </c>
      <c r="E2" s="46"/>
      <c r="F2" s="46">
        <f>150/120</f>
        <v>1.25</v>
      </c>
      <c r="K2" s="42" t="s">
        <v>333</v>
      </c>
      <c r="L2" s="169" t="s">
        <v>277</v>
      </c>
      <c r="M2" s="46">
        <f>4.5/3.3</f>
        <v>1.3636363636363638</v>
      </c>
      <c r="N2" s="46"/>
      <c r="O2"/>
      <c r="P2"/>
      <c r="Q2" s="42" t="s">
        <v>333</v>
      </c>
      <c r="R2" s="169" t="s">
        <v>277</v>
      </c>
      <c r="S2" s="46">
        <f>4.5/3.3</f>
        <v>1.3636363636363638</v>
      </c>
      <c r="T2" s="46"/>
    </row>
    <row r="3" spans="3:21" ht="15.75">
      <c r="C3" s="163" t="s">
        <v>263</v>
      </c>
      <c r="E3" s="46"/>
      <c r="F3" s="222"/>
      <c r="G3" s="222"/>
      <c r="H3" s="46"/>
      <c r="I3" s="46"/>
      <c r="K3" s="163" t="s">
        <v>263</v>
      </c>
      <c r="L3" s="253" t="s">
        <v>334</v>
      </c>
      <c r="P3"/>
      <c r="Q3" s="163" t="s">
        <v>263</v>
      </c>
      <c r="R3" s="253" t="s">
        <v>334</v>
      </c>
      <c r="S3" s="46"/>
      <c r="T3" s="222"/>
      <c r="U3" s="222"/>
    </row>
    <row r="4" spans="3:21" s="254" customFormat="1" ht="12.75">
      <c r="C4" s="254" t="s">
        <v>335</v>
      </c>
      <c r="D4" s="254" t="s">
        <v>173</v>
      </c>
      <c r="E4" s="254" t="s">
        <v>15</v>
      </c>
      <c r="F4" s="255" t="s">
        <v>336</v>
      </c>
      <c r="G4" s="255" t="s">
        <v>337</v>
      </c>
      <c r="H4" s="254" t="s">
        <v>338</v>
      </c>
      <c r="I4" s="254" t="s">
        <v>339</v>
      </c>
      <c r="K4" s="256"/>
      <c r="N4" s="255"/>
      <c r="O4" s="255"/>
      <c r="Q4" s="256"/>
      <c r="T4" s="255"/>
      <c r="U4" s="255"/>
    </row>
    <row r="5" spans="3:21">
      <c r="C5" s="257" t="s">
        <v>340</v>
      </c>
      <c r="D5" s="166" t="s">
        <v>341</v>
      </c>
      <c r="E5" s="258">
        <v>2</v>
      </c>
      <c r="F5" s="259">
        <f>$F99*$F$2</f>
        <v>3118.75</v>
      </c>
      <c r="G5" s="259">
        <f t="shared" ref="G5:G21" si="0">$G99*$F$2</f>
        <v>6237.5</v>
      </c>
      <c r="H5" s="258">
        <v>602597</v>
      </c>
      <c r="I5" s="258" t="s">
        <v>342</v>
      </c>
      <c r="K5" s="257"/>
      <c r="L5" s="166"/>
      <c r="M5" s="258"/>
      <c r="N5" s="259"/>
      <c r="O5" s="259"/>
      <c r="P5"/>
      <c r="Q5" s="257"/>
      <c r="R5" s="166"/>
      <c r="S5" s="258"/>
      <c r="T5" s="259"/>
      <c r="U5" s="259"/>
    </row>
    <row r="6" spans="3:21" s="257" customFormat="1">
      <c r="C6" s="257" t="s">
        <v>343</v>
      </c>
      <c r="D6" s="257" t="s">
        <v>344</v>
      </c>
      <c r="E6" s="260">
        <v>5600</v>
      </c>
      <c r="F6" s="259">
        <f>$F100*$F$2</f>
        <v>5.6125000000000007</v>
      </c>
      <c r="G6" s="259">
        <f t="shared" si="0"/>
        <v>31430</v>
      </c>
      <c r="H6" s="260">
        <v>603978</v>
      </c>
      <c r="I6" s="260" t="s">
        <v>345</v>
      </c>
      <c r="M6" s="260"/>
      <c r="N6" s="259"/>
      <c r="O6" s="259"/>
      <c r="S6" s="260"/>
      <c r="T6" s="259"/>
      <c r="U6" s="259"/>
    </row>
    <row r="7" spans="3:21">
      <c r="C7" s="166"/>
      <c r="D7" s="166" t="s">
        <v>346</v>
      </c>
      <c r="E7" s="258">
        <v>1</v>
      </c>
      <c r="F7" s="259"/>
      <c r="G7" s="259">
        <f t="shared" si="0"/>
        <v>39062.5</v>
      </c>
      <c r="H7" s="258">
        <v>603978</v>
      </c>
      <c r="I7" s="258" t="s">
        <v>345</v>
      </c>
      <c r="K7" s="166"/>
      <c r="L7" s="166"/>
      <c r="M7" s="258"/>
      <c r="N7" s="259"/>
      <c r="O7" s="259"/>
      <c r="P7"/>
      <c r="Q7" s="166"/>
      <c r="R7" s="166"/>
      <c r="S7" s="258"/>
      <c r="T7" s="259"/>
      <c r="U7" s="259"/>
    </row>
    <row r="8" spans="3:21">
      <c r="C8" s="166" t="s">
        <v>347</v>
      </c>
      <c r="D8" s="166" t="s">
        <v>348</v>
      </c>
      <c r="E8" s="258">
        <v>8</v>
      </c>
      <c r="F8" s="259">
        <f>$F102*$F$2</f>
        <v>47.5</v>
      </c>
      <c r="G8" s="259">
        <f t="shared" si="0"/>
        <v>380</v>
      </c>
      <c r="H8" s="258">
        <v>602129</v>
      </c>
      <c r="I8" s="258" t="s">
        <v>349</v>
      </c>
      <c r="K8" s="166"/>
      <c r="L8" s="166"/>
      <c r="M8" s="258"/>
      <c r="N8" s="259"/>
      <c r="O8" s="259"/>
      <c r="P8"/>
      <c r="Q8" s="166"/>
      <c r="R8" s="166"/>
      <c r="S8" s="258"/>
      <c r="T8" s="259"/>
      <c r="U8" s="259"/>
    </row>
    <row r="9" spans="3:21">
      <c r="C9" s="166" t="s">
        <v>350</v>
      </c>
      <c r="D9" s="166" t="s">
        <v>351</v>
      </c>
      <c r="E9" s="258">
        <v>8</v>
      </c>
      <c r="F9" s="259">
        <f>$F103*$F$2</f>
        <v>107.5</v>
      </c>
      <c r="G9" s="259">
        <f t="shared" si="0"/>
        <v>860</v>
      </c>
      <c r="H9" s="258">
        <v>602129</v>
      </c>
      <c r="I9" s="258" t="s">
        <v>349</v>
      </c>
      <c r="K9" s="166"/>
      <c r="L9" s="166"/>
      <c r="M9" s="258"/>
      <c r="N9" s="259"/>
      <c r="O9" s="259"/>
      <c r="P9"/>
      <c r="Q9" s="166"/>
      <c r="R9" s="166"/>
      <c r="S9" s="258"/>
      <c r="T9" s="259"/>
      <c r="U9" s="259"/>
    </row>
    <row r="10" spans="3:21" s="257" customFormat="1">
      <c r="C10" s="257" t="s">
        <v>352</v>
      </c>
      <c r="D10" s="257" t="s">
        <v>353</v>
      </c>
      <c r="E10" s="260">
        <v>3</v>
      </c>
      <c r="F10" s="259"/>
      <c r="G10" s="259">
        <f t="shared" si="0"/>
        <v>1095</v>
      </c>
      <c r="H10" s="260" t="s">
        <v>354</v>
      </c>
      <c r="I10" s="260" t="s">
        <v>355</v>
      </c>
      <c r="M10" s="260"/>
      <c r="N10" s="259"/>
      <c r="O10" s="259"/>
      <c r="S10" s="260"/>
      <c r="T10" s="259"/>
      <c r="U10" s="259"/>
    </row>
    <row r="11" spans="3:21" s="257" customFormat="1">
      <c r="C11" s="257" t="s">
        <v>356</v>
      </c>
      <c r="D11" s="257" t="s">
        <v>357</v>
      </c>
      <c r="E11" s="260">
        <v>2</v>
      </c>
      <c r="F11" s="259">
        <f t="shared" ref="F11:F16" si="1">$F105*$F$2</f>
        <v>212.5</v>
      </c>
      <c r="G11" s="259">
        <f t="shared" si="0"/>
        <v>425</v>
      </c>
      <c r="H11" s="260">
        <v>605430</v>
      </c>
      <c r="I11" s="261" t="s">
        <v>349</v>
      </c>
      <c r="M11" s="260"/>
      <c r="N11" s="259"/>
      <c r="O11" s="259"/>
      <c r="S11" s="260"/>
      <c r="T11" s="259"/>
      <c r="U11" s="259"/>
    </row>
    <row r="12" spans="3:21" s="257" customFormat="1">
      <c r="C12" s="257" t="s">
        <v>358</v>
      </c>
      <c r="D12" s="257" t="s">
        <v>359</v>
      </c>
      <c r="E12" s="260">
        <v>2</v>
      </c>
      <c r="F12" s="259">
        <f t="shared" si="1"/>
        <v>155</v>
      </c>
      <c r="G12" s="259">
        <f t="shared" si="0"/>
        <v>310</v>
      </c>
      <c r="H12" s="260">
        <v>605430</v>
      </c>
      <c r="I12" s="261" t="s">
        <v>349</v>
      </c>
      <c r="M12" s="260"/>
      <c r="N12" s="259"/>
      <c r="O12" s="259"/>
      <c r="S12" s="260"/>
      <c r="T12" s="259"/>
      <c r="U12" s="259"/>
    </row>
    <row r="13" spans="3:21" s="257" customFormat="1">
      <c r="C13" s="257" t="s">
        <v>360</v>
      </c>
      <c r="D13" s="257" t="s">
        <v>361</v>
      </c>
      <c r="E13" s="260">
        <v>2</v>
      </c>
      <c r="F13" s="259">
        <f t="shared" si="1"/>
        <v>253.75</v>
      </c>
      <c r="G13" s="259">
        <f t="shared" si="0"/>
        <v>507.5</v>
      </c>
      <c r="H13" s="260">
        <v>605430</v>
      </c>
      <c r="I13" s="261" t="s">
        <v>349</v>
      </c>
      <c r="M13" s="260"/>
      <c r="N13" s="259"/>
      <c r="O13" s="259"/>
      <c r="S13" s="260"/>
      <c r="T13" s="259"/>
      <c r="U13" s="259"/>
    </row>
    <row r="14" spans="3:21" s="257" customFormat="1">
      <c r="C14" s="257" t="s">
        <v>362</v>
      </c>
      <c r="D14" s="257" t="s">
        <v>363</v>
      </c>
      <c r="E14" s="260">
        <v>2</v>
      </c>
      <c r="F14" s="259">
        <f t="shared" si="1"/>
        <v>158.75</v>
      </c>
      <c r="G14" s="259">
        <f t="shared" si="0"/>
        <v>317.5</v>
      </c>
      <c r="H14" s="260">
        <v>605430</v>
      </c>
      <c r="I14" s="261" t="s">
        <v>349</v>
      </c>
      <c r="M14" s="260"/>
      <c r="N14" s="259"/>
      <c r="O14" s="259"/>
      <c r="S14" s="260"/>
      <c r="T14" s="259"/>
      <c r="U14" s="259"/>
    </row>
    <row r="15" spans="3:21" s="257" customFormat="1">
      <c r="C15" s="257" t="s">
        <v>364</v>
      </c>
      <c r="D15" s="257" t="s">
        <v>365</v>
      </c>
      <c r="E15" s="260">
        <v>2</v>
      </c>
      <c r="F15" s="259">
        <f t="shared" si="1"/>
        <v>122.5</v>
      </c>
      <c r="G15" s="259">
        <f t="shared" si="0"/>
        <v>245</v>
      </c>
      <c r="H15" s="260">
        <v>605430</v>
      </c>
      <c r="I15" s="261" t="s">
        <v>349</v>
      </c>
      <c r="M15" s="260"/>
      <c r="N15" s="259"/>
      <c r="O15" s="259"/>
      <c r="S15" s="260"/>
      <c r="T15" s="259"/>
      <c r="U15" s="259"/>
    </row>
    <row r="16" spans="3:21" s="257" customFormat="1">
      <c r="C16" s="257" t="s">
        <v>366</v>
      </c>
      <c r="D16" s="257" t="s">
        <v>367</v>
      </c>
      <c r="E16" s="260">
        <v>2</v>
      </c>
      <c r="F16" s="259">
        <f t="shared" si="1"/>
        <v>82.5</v>
      </c>
      <c r="G16" s="259">
        <f t="shared" si="0"/>
        <v>165</v>
      </c>
      <c r="H16" s="260">
        <v>605430</v>
      </c>
      <c r="I16" s="261" t="s">
        <v>349</v>
      </c>
      <c r="M16" s="260"/>
      <c r="N16" s="259"/>
      <c r="O16" s="259"/>
      <c r="S16" s="260"/>
      <c r="T16" s="259"/>
      <c r="U16" s="259"/>
    </row>
    <row r="17" spans="3:21" s="257" customFormat="1">
      <c r="C17" s="257" t="s">
        <v>368</v>
      </c>
      <c r="D17" s="257" t="s">
        <v>369</v>
      </c>
      <c r="E17" s="260" t="s">
        <v>370</v>
      </c>
      <c r="F17" s="259"/>
      <c r="G17" s="259">
        <f t="shared" si="0"/>
        <v>113.4375</v>
      </c>
      <c r="H17" s="260" t="s">
        <v>371</v>
      </c>
      <c r="I17" s="260" t="s">
        <v>372</v>
      </c>
      <c r="M17" s="260"/>
      <c r="N17" s="259"/>
      <c r="O17" s="259"/>
      <c r="S17" s="260"/>
      <c r="T17" s="259"/>
      <c r="U17" s="259"/>
    </row>
    <row r="18" spans="3:21" s="262" customFormat="1">
      <c r="C18" s="257" t="s">
        <v>373</v>
      </c>
      <c r="D18" s="257" t="s">
        <v>374</v>
      </c>
      <c r="E18" s="260">
        <v>6</v>
      </c>
      <c r="F18" s="259">
        <f>$F112*$F$2</f>
        <v>45.587499999999999</v>
      </c>
      <c r="G18" s="259">
        <f t="shared" si="0"/>
        <v>273.52499999999998</v>
      </c>
      <c r="H18" s="260" t="s">
        <v>375</v>
      </c>
      <c r="I18" s="260" t="s">
        <v>376</v>
      </c>
      <c r="K18" s="257"/>
      <c r="L18" s="257"/>
      <c r="M18" s="260"/>
      <c r="N18" s="259"/>
      <c r="O18" s="259"/>
      <c r="Q18" s="257"/>
      <c r="R18" s="257"/>
      <c r="S18" s="260"/>
      <c r="T18" s="259"/>
      <c r="U18" s="259"/>
    </row>
    <row r="19" spans="3:21" s="257" customFormat="1">
      <c r="C19" s="257" t="s">
        <v>368</v>
      </c>
      <c r="D19" s="263" t="s">
        <v>377</v>
      </c>
      <c r="E19" s="260" t="s">
        <v>378</v>
      </c>
      <c r="F19" s="259"/>
      <c r="G19" s="259">
        <f t="shared" si="0"/>
        <v>100.9375</v>
      </c>
      <c r="H19" s="260" t="s">
        <v>379</v>
      </c>
      <c r="I19" s="260" t="s">
        <v>372</v>
      </c>
      <c r="L19" s="263"/>
      <c r="M19" s="260"/>
      <c r="N19" s="259"/>
      <c r="O19" s="259"/>
      <c r="R19" s="263"/>
      <c r="S19" s="260"/>
      <c r="T19" s="259"/>
      <c r="U19" s="259"/>
    </row>
    <row r="20" spans="3:21">
      <c r="C20" s="166" t="s">
        <v>380</v>
      </c>
      <c r="D20" s="166" t="s">
        <v>381</v>
      </c>
      <c r="E20" s="258">
        <v>18</v>
      </c>
      <c r="F20" s="259">
        <f>$F114*$F$2</f>
        <v>24.287500000000001</v>
      </c>
      <c r="G20" s="259">
        <f t="shared" si="0"/>
        <v>437.17500000000001</v>
      </c>
      <c r="H20" s="258" t="s">
        <v>382</v>
      </c>
      <c r="I20" s="258" t="s">
        <v>372</v>
      </c>
      <c r="K20" s="166"/>
      <c r="L20" s="166"/>
      <c r="M20" s="258"/>
      <c r="N20" s="259"/>
      <c r="O20" s="259"/>
      <c r="P20"/>
      <c r="Q20" s="166"/>
      <c r="R20" s="166"/>
      <c r="S20" s="258"/>
      <c r="T20" s="259"/>
      <c r="U20" s="259"/>
    </row>
    <row r="21" spans="3:21">
      <c r="C21" s="166"/>
      <c r="D21" s="166" t="s">
        <v>383</v>
      </c>
      <c r="E21" s="258">
        <v>1</v>
      </c>
      <c r="F21" s="259">
        <f>$F115*$F$2</f>
        <v>1988.75</v>
      </c>
      <c r="G21" s="259">
        <f t="shared" si="0"/>
        <v>1988.75</v>
      </c>
      <c r="H21" s="258"/>
      <c r="I21" s="258"/>
      <c r="K21" s="166"/>
      <c r="L21" s="166"/>
      <c r="M21" s="258"/>
      <c r="N21" s="259"/>
      <c r="O21" s="259"/>
      <c r="P21"/>
      <c r="Q21" s="166"/>
      <c r="R21" s="166"/>
      <c r="S21" s="258"/>
      <c r="T21" s="259"/>
      <c r="U21" s="259"/>
    </row>
    <row r="22" spans="3:21" ht="15.75">
      <c r="C22" s="166"/>
      <c r="D22" s="166"/>
      <c r="E22" s="258"/>
      <c r="F22" s="259"/>
      <c r="G22" s="264">
        <f>SUM(G5:G21)</f>
        <v>83948.824999999997</v>
      </c>
      <c r="H22" s="258"/>
      <c r="I22" s="258"/>
      <c r="K22" s="166"/>
      <c r="L22" s="166"/>
      <c r="M22" s="258"/>
      <c r="N22" s="259"/>
      <c r="O22" s="265"/>
      <c r="P22"/>
      <c r="Q22" s="166"/>
      <c r="R22" s="166"/>
      <c r="S22" s="258"/>
      <c r="T22" s="259"/>
      <c r="U22" s="265"/>
    </row>
    <row r="23" spans="3:21">
      <c r="C23" s="166"/>
      <c r="D23" s="166"/>
      <c r="E23" s="258"/>
      <c r="F23" s="259"/>
      <c r="G23" s="265"/>
      <c r="H23" s="258"/>
      <c r="I23" s="258"/>
      <c r="K23" s="166"/>
      <c r="L23" s="166"/>
      <c r="M23" s="258"/>
      <c r="N23" s="259"/>
      <c r="O23" s="265"/>
      <c r="P23"/>
      <c r="Q23" s="166"/>
      <c r="R23" s="166"/>
      <c r="S23" s="258"/>
      <c r="T23" s="259"/>
      <c r="U23" s="265"/>
    </row>
    <row r="24" spans="3:21">
      <c r="C24" s="42"/>
      <c r="D24" s="266" t="s">
        <v>384</v>
      </c>
      <c r="E24" s="45" t="s">
        <v>385</v>
      </c>
      <c r="F24" s="45" t="s">
        <v>386</v>
      </c>
      <c r="G24" s="45" t="s">
        <v>387</v>
      </c>
      <c r="H24" s="45" t="s">
        <v>388</v>
      </c>
      <c r="J24" s="258"/>
      <c r="L24" s="166"/>
      <c r="M24" s="166"/>
      <c r="N24" s="258"/>
      <c r="O24" s="259"/>
      <c r="P24" s="265"/>
      <c r="Q24"/>
      <c r="R24" s="166"/>
      <c r="S24" s="166"/>
      <c r="T24" s="258"/>
      <c r="U24" s="259"/>
    </row>
    <row r="25" spans="3:21">
      <c r="C25" s="266"/>
      <c r="D25" t="s">
        <v>389</v>
      </c>
      <c r="E25" s="46">
        <v>2</v>
      </c>
      <c r="F25" s="266">
        <v>97.34</v>
      </c>
      <c r="G25" s="46">
        <v>20</v>
      </c>
      <c r="H25" s="46">
        <v>5</v>
      </c>
      <c r="I25" s="267">
        <f>E25*G25*H25*F25</f>
        <v>19468</v>
      </c>
      <c r="J25" s="258"/>
      <c r="L25" s="166"/>
      <c r="M25" s="166"/>
      <c r="N25" s="258"/>
      <c r="O25" s="259"/>
      <c r="P25" s="265"/>
      <c r="Q25"/>
      <c r="R25" s="166"/>
      <c r="S25" s="166"/>
      <c r="T25" s="258"/>
      <c r="U25" s="259"/>
    </row>
    <row r="26" spans="3:21">
      <c r="C26" s="266"/>
      <c r="D26" t="s">
        <v>390</v>
      </c>
      <c r="E26" s="46">
        <v>1</v>
      </c>
      <c r="F26" s="266">
        <v>112</v>
      </c>
      <c r="G26" s="46">
        <v>6</v>
      </c>
      <c r="H26" s="46">
        <v>5</v>
      </c>
      <c r="I26" s="267">
        <f>E26*G26*H26*F26</f>
        <v>3360</v>
      </c>
      <c r="J26" s="258"/>
      <c r="L26" s="166"/>
      <c r="M26" s="166"/>
      <c r="N26" s="258"/>
      <c r="O26" s="259"/>
      <c r="P26" s="265"/>
      <c r="Q26"/>
      <c r="R26" s="166"/>
      <c r="S26" s="166"/>
      <c r="T26" s="258"/>
      <c r="U26" s="259"/>
    </row>
    <row r="27" spans="3:21">
      <c r="C27" s="266"/>
      <c r="D27" s="166" t="s">
        <v>391</v>
      </c>
      <c r="E27" s="258">
        <v>1</v>
      </c>
      <c r="F27" s="266">
        <v>108</v>
      </c>
      <c r="G27" s="258">
        <v>5</v>
      </c>
      <c r="H27" s="258">
        <v>6</v>
      </c>
      <c r="I27" s="268">
        <f>E27*G27*H27*40</f>
        <v>1200</v>
      </c>
      <c r="J27" s="258"/>
      <c r="L27" s="166"/>
      <c r="M27" s="166"/>
      <c r="N27" s="258"/>
      <c r="O27" s="259"/>
      <c r="P27" s="265"/>
      <c r="Q27"/>
      <c r="R27" s="166"/>
      <c r="S27" s="166"/>
      <c r="T27" s="258"/>
      <c r="U27" s="259"/>
    </row>
    <row r="28" spans="3:21">
      <c r="D28" t="s">
        <v>392</v>
      </c>
      <c r="E28" s="46">
        <v>2</v>
      </c>
      <c r="F28" s="266">
        <v>97</v>
      </c>
      <c r="G28" s="46">
        <v>16</v>
      </c>
      <c r="H28" s="46">
        <v>1</v>
      </c>
      <c r="I28" s="267">
        <f>E28*G28*H28*F28</f>
        <v>3104</v>
      </c>
      <c r="J28" s="258"/>
      <c r="L28" s="166"/>
      <c r="M28" s="166"/>
      <c r="N28" s="258"/>
      <c r="O28" s="259"/>
      <c r="P28" s="265"/>
      <c r="Q28"/>
      <c r="R28" s="166"/>
      <c r="S28" s="166"/>
      <c r="T28" s="258"/>
      <c r="U28" s="259"/>
    </row>
    <row r="29" spans="3:21">
      <c r="D29" t="s">
        <v>393</v>
      </c>
      <c r="E29" s="46">
        <v>2</v>
      </c>
      <c r="F29" s="266">
        <v>97</v>
      </c>
      <c r="G29" s="46">
        <v>8</v>
      </c>
      <c r="H29" s="46">
        <v>1</v>
      </c>
      <c r="I29" s="267">
        <f>E29*G29*H29*F29</f>
        <v>1552</v>
      </c>
      <c r="J29" s="258"/>
      <c r="L29" s="166"/>
      <c r="M29" s="166"/>
      <c r="N29" s="258"/>
      <c r="O29" s="259"/>
      <c r="P29" s="265"/>
      <c r="Q29"/>
      <c r="R29" s="166"/>
      <c r="S29" s="166"/>
      <c r="T29" s="258"/>
      <c r="U29" s="259"/>
    </row>
    <row r="30" spans="3:21" s="42" customFormat="1">
      <c r="D30" s="166" t="s">
        <v>148</v>
      </c>
      <c r="E30" s="258">
        <v>1</v>
      </c>
      <c r="F30" s="266">
        <v>153.59</v>
      </c>
      <c r="G30" s="258">
        <v>32</v>
      </c>
      <c r="H30" s="258">
        <v>1</v>
      </c>
      <c r="I30" s="268">
        <f>E30*G30*H30*40</f>
        <v>1280</v>
      </c>
      <c r="J30" s="45"/>
      <c r="N30" s="45"/>
      <c r="O30" s="221"/>
      <c r="P30" s="265"/>
      <c r="T30" s="45"/>
      <c r="U30" s="221"/>
    </row>
    <row r="31" spans="3:21" ht="15.75">
      <c r="C31" s="166"/>
      <c r="D31" s="163" t="s">
        <v>153</v>
      </c>
      <c r="E31" s="269"/>
      <c r="F31" s="270"/>
      <c r="G31" s="264"/>
      <c r="H31" s="269"/>
      <c r="I31" s="271">
        <f>SUM(I25:I30)</f>
        <v>29964</v>
      </c>
      <c r="J31" s="258"/>
      <c r="L31" s="166"/>
      <c r="M31" s="166"/>
      <c r="N31" s="258"/>
      <c r="O31" s="259"/>
      <c r="P31" s="265"/>
      <c r="Q31"/>
      <c r="R31" s="166"/>
      <c r="S31" s="166"/>
      <c r="T31" s="258"/>
      <c r="U31" s="259"/>
    </row>
    <row r="32" spans="3:21">
      <c r="C32" s="166"/>
      <c r="D32" s="166"/>
      <c r="E32" s="258"/>
      <c r="F32" s="259"/>
      <c r="G32" s="265"/>
      <c r="H32" s="258"/>
      <c r="I32" s="258"/>
      <c r="K32" s="166"/>
      <c r="L32" s="166"/>
      <c r="M32" s="258"/>
      <c r="N32" s="259"/>
      <c r="O32" s="265"/>
      <c r="P32"/>
      <c r="Q32" s="166"/>
      <c r="R32" s="166"/>
      <c r="S32" s="258"/>
      <c r="T32" s="259"/>
      <c r="U32" s="265"/>
    </row>
    <row r="33" spans="1:21">
      <c r="C33" s="166"/>
      <c r="D33" s="166"/>
      <c r="E33" s="258"/>
      <c r="F33" s="259"/>
      <c r="G33" s="265"/>
      <c r="H33" s="258"/>
      <c r="I33" s="258"/>
      <c r="K33" s="166"/>
      <c r="L33" s="166"/>
      <c r="M33" s="258"/>
      <c r="N33" s="259"/>
      <c r="O33" s="265"/>
      <c r="P33"/>
      <c r="Q33" s="166"/>
      <c r="R33" s="166"/>
      <c r="S33" s="258"/>
      <c r="T33" s="259"/>
      <c r="U33" s="265"/>
    </row>
    <row r="34" spans="1:21" ht="15.75">
      <c r="C34" s="163" t="s">
        <v>394</v>
      </c>
      <c r="D34" s="166"/>
      <c r="E34" s="258"/>
      <c r="F34" s="259"/>
      <c r="G34" s="259"/>
      <c r="H34" s="258"/>
      <c r="I34" s="258"/>
      <c r="K34" s="163" t="s">
        <v>394</v>
      </c>
      <c r="L34" s="166"/>
      <c r="M34" s="258"/>
      <c r="N34" s="259"/>
      <c r="O34" s="259"/>
      <c r="P34"/>
      <c r="Q34" s="163" t="s">
        <v>394</v>
      </c>
      <c r="R34" s="166"/>
      <c r="S34" s="258"/>
      <c r="T34" s="259"/>
      <c r="U34" s="259"/>
    </row>
    <row r="35" spans="1:21">
      <c r="A35" s="260"/>
      <c r="B35" s="260">
        <v>1</v>
      </c>
      <c r="C35" s="272" t="s">
        <v>395</v>
      </c>
      <c r="D35" s="272" t="s">
        <v>396</v>
      </c>
      <c r="E35" s="260">
        <v>4</v>
      </c>
      <c r="F35" s="259"/>
      <c r="G35" s="273">
        <f>$G118*$F$2</f>
        <v>821.25</v>
      </c>
      <c r="H35" s="260" t="s">
        <v>397</v>
      </c>
      <c r="I35" s="260" t="s">
        <v>355</v>
      </c>
      <c r="K35" s="272" t="s">
        <v>395</v>
      </c>
      <c r="L35" s="272" t="s">
        <v>396</v>
      </c>
      <c r="M35" s="260">
        <v>6</v>
      </c>
      <c r="N35" s="259">
        <f>G35/E35</f>
        <v>205.3125</v>
      </c>
      <c r="O35" s="273">
        <f>N35*M35</f>
        <v>1231.875</v>
      </c>
      <c r="P35"/>
      <c r="Q35" s="272" t="s">
        <v>395</v>
      </c>
      <c r="R35" s="272" t="s">
        <v>396</v>
      </c>
      <c r="S35" s="260">
        <v>2</v>
      </c>
      <c r="T35" s="259">
        <f>G35/E35</f>
        <v>205.3125</v>
      </c>
      <c r="U35" s="273">
        <f>T35*S35</f>
        <v>410.625</v>
      </c>
    </row>
    <row r="36" spans="1:21" s="260" customFormat="1">
      <c r="B36" s="260">
        <v>2</v>
      </c>
      <c r="C36" s="272" t="s">
        <v>398</v>
      </c>
      <c r="D36" s="260" t="s">
        <v>399</v>
      </c>
      <c r="E36" s="260">
        <v>2</v>
      </c>
      <c r="F36" s="259"/>
      <c r="G36" s="273">
        <f>$G119*$F$2</f>
        <v>456.25</v>
      </c>
      <c r="H36" s="260" t="s">
        <v>397</v>
      </c>
      <c r="I36" s="260" t="s">
        <v>355</v>
      </c>
      <c r="K36" s="272" t="s">
        <v>398</v>
      </c>
      <c r="L36" s="260" t="s">
        <v>399</v>
      </c>
      <c r="M36" s="260">
        <v>3</v>
      </c>
      <c r="N36" s="259">
        <f>M2*G36/E36</f>
        <v>311.0795454545455</v>
      </c>
      <c r="O36" s="273">
        <f t="shared" ref="O36:O40" si="2">N36*M36</f>
        <v>933.23863636363649</v>
      </c>
      <c r="Q36" s="272" t="s">
        <v>398</v>
      </c>
      <c r="R36" s="260" t="s">
        <v>399</v>
      </c>
      <c r="S36" s="260">
        <v>2</v>
      </c>
      <c r="T36" s="259">
        <f>G36/E36*S2</f>
        <v>311.0795454545455</v>
      </c>
      <c r="U36" s="273">
        <f t="shared" ref="U36:U40" si="3">T36*S36</f>
        <v>622.15909090909099</v>
      </c>
    </row>
    <row r="37" spans="1:21" s="257" customFormat="1">
      <c r="A37" s="262"/>
      <c r="B37" s="260">
        <v>3</v>
      </c>
      <c r="C37" s="257" t="s">
        <v>400</v>
      </c>
      <c r="D37" s="257" t="s">
        <v>401</v>
      </c>
      <c r="E37" s="260">
        <v>8</v>
      </c>
      <c r="F37" s="259">
        <f>$F122*$F$2</f>
        <v>106.25</v>
      </c>
      <c r="G37" s="273">
        <f t="shared" ref="G37:G75" si="4">$G122*$F$2</f>
        <v>850</v>
      </c>
      <c r="H37" s="260">
        <v>605071</v>
      </c>
      <c r="I37" s="260" t="s">
        <v>342</v>
      </c>
      <c r="K37" s="257" t="s">
        <v>400</v>
      </c>
      <c r="L37" s="257" t="s">
        <v>401</v>
      </c>
      <c r="M37" s="260">
        <v>11</v>
      </c>
      <c r="N37" s="259">
        <f t="shared" ref="N37" si="5">G37/E37</f>
        <v>106.25</v>
      </c>
      <c r="O37" s="273">
        <f t="shared" si="2"/>
        <v>1168.75</v>
      </c>
      <c r="Q37" s="257" t="s">
        <v>400</v>
      </c>
      <c r="R37" s="257" t="s">
        <v>401</v>
      </c>
      <c r="S37" s="260">
        <v>4</v>
      </c>
      <c r="T37" s="259">
        <f t="shared" ref="T37:T75" si="6">G37/E37</f>
        <v>106.25</v>
      </c>
      <c r="U37" s="273">
        <f t="shared" si="3"/>
        <v>425</v>
      </c>
    </row>
    <row r="38" spans="1:21" s="262" customFormat="1">
      <c r="A38" s="257"/>
      <c r="B38" s="260">
        <v>4</v>
      </c>
      <c r="C38" s="257" t="s">
        <v>402</v>
      </c>
      <c r="D38" s="257" t="s">
        <v>403</v>
      </c>
      <c r="E38" s="260">
        <v>1</v>
      </c>
      <c r="F38" s="259"/>
      <c r="G38" s="273">
        <f t="shared" si="4"/>
        <v>125</v>
      </c>
      <c r="H38" s="260">
        <v>605071</v>
      </c>
      <c r="I38" s="260" t="s">
        <v>342</v>
      </c>
      <c r="K38" s="257" t="s">
        <v>402</v>
      </c>
      <c r="L38" s="257" t="s">
        <v>403</v>
      </c>
      <c r="M38" s="260">
        <v>2</v>
      </c>
      <c r="N38" s="259">
        <f>G38/E38</f>
        <v>125</v>
      </c>
      <c r="O38" s="273">
        <f t="shared" si="2"/>
        <v>250</v>
      </c>
      <c r="Q38" s="257" t="s">
        <v>402</v>
      </c>
      <c r="R38" s="257" t="s">
        <v>403</v>
      </c>
      <c r="S38" s="260">
        <v>0</v>
      </c>
      <c r="T38" s="259">
        <f t="shared" si="6"/>
        <v>125</v>
      </c>
      <c r="U38" s="273">
        <f t="shared" si="3"/>
        <v>0</v>
      </c>
    </row>
    <row r="39" spans="1:21" s="257" customFormat="1">
      <c r="B39" s="260">
        <v>5</v>
      </c>
      <c r="C39" s="257" t="s">
        <v>404</v>
      </c>
      <c r="D39" s="257" t="s">
        <v>405</v>
      </c>
      <c r="E39" s="260">
        <v>1</v>
      </c>
      <c r="F39" s="259"/>
      <c r="G39" s="273">
        <f t="shared" si="4"/>
        <v>1125</v>
      </c>
      <c r="H39" s="260">
        <v>605071</v>
      </c>
      <c r="I39" s="260" t="s">
        <v>342</v>
      </c>
      <c r="K39" s="257" t="s">
        <v>404</v>
      </c>
      <c r="L39" s="257" t="s">
        <v>405</v>
      </c>
      <c r="M39" s="260">
        <v>2</v>
      </c>
      <c r="N39" s="259">
        <f>G39/E39</f>
        <v>1125</v>
      </c>
      <c r="O39" s="273">
        <f t="shared" si="2"/>
        <v>2250</v>
      </c>
      <c r="Q39" s="257" t="s">
        <v>404</v>
      </c>
      <c r="R39" s="257" t="s">
        <v>405</v>
      </c>
      <c r="S39" s="260">
        <v>0</v>
      </c>
      <c r="T39" s="259">
        <f t="shared" si="6"/>
        <v>1125</v>
      </c>
      <c r="U39" s="273">
        <f t="shared" si="3"/>
        <v>0</v>
      </c>
    </row>
    <row r="40" spans="1:21" s="257" customFormat="1">
      <c r="B40" s="260">
        <v>6</v>
      </c>
      <c r="C40" s="257" t="s">
        <v>406</v>
      </c>
      <c r="D40" s="257" t="s">
        <v>407</v>
      </c>
      <c r="E40" s="260">
        <v>1</v>
      </c>
      <c r="F40" s="259"/>
      <c r="G40" s="273">
        <f t="shared" si="4"/>
        <v>1106.25</v>
      </c>
      <c r="H40" s="260">
        <v>605071</v>
      </c>
      <c r="I40" s="260" t="s">
        <v>342</v>
      </c>
      <c r="K40" s="257" t="s">
        <v>406</v>
      </c>
      <c r="L40" s="257" t="s">
        <v>407</v>
      </c>
      <c r="M40" s="260">
        <v>2</v>
      </c>
      <c r="N40" s="259">
        <f t="shared" ref="N40:N41" si="7">G40/E40</f>
        <v>1106.25</v>
      </c>
      <c r="O40" s="273">
        <f t="shared" si="2"/>
        <v>2212.5</v>
      </c>
      <c r="Q40" s="257" t="s">
        <v>406</v>
      </c>
      <c r="R40" s="257" t="s">
        <v>407</v>
      </c>
      <c r="S40" s="260">
        <v>0</v>
      </c>
      <c r="T40" s="259">
        <f t="shared" si="6"/>
        <v>1106.25</v>
      </c>
      <c r="U40" s="273">
        <f t="shared" si="3"/>
        <v>0</v>
      </c>
    </row>
    <row r="41" spans="1:21" s="257" customFormat="1">
      <c r="A41" s="262"/>
      <c r="B41" s="260">
        <v>7</v>
      </c>
      <c r="C41" s="257" t="s">
        <v>408</v>
      </c>
      <c r="D41" s="257" t="s">
        <v>409</v>
      </c>
      <c r="E41" s="260">
        <v>1</v>
      </c>
      <c r="F41" s="259"/>
      <c r="G41" s="273">
        <f t="shared" si="4"/>
        <v>118.75</v>
      </c>
      <c r="H41" s="260">
        <v>605071</v>
      </c>
      <c r="I41" s="260" t="s">
        <v>342</v>
      </c>
      <c r="K41" s="257" t="s">
        <v>408</v>
      </c>
      <c r="L41" s="257" t="s">
        <v>409</v>
      </c>
      <c r="M41" s="260">
        <v>2</v>
      </c>
      <c r="N41" s="259">
        <f t="shared" si="7"/>
        <v>118.75</v>
      </c>
      <c r="O41" s="273">
        <f>N41*M41</f>
        <v>237.5</v>
      </c>
      <c r="Q41" s="257" t="s">
        <v>408</v>
      </c>
      <c r="R41" s="257" t="s">
        <v>409</v>
      </c>
      <c r="S41" s="260">
        <v>0</v>
      </c>
      <c r="T41" s="259">
        <f t="shared" si="6"/>
        <v>118.75</v>
      </c>
      <c r="U41" s="273">
        <f>T41*S41</f>
        <v>0</v>
      </c>
    </row>
    <row r="42" spans="1:21" s="262" customFormat="1">
      <c r="B42" s="260">
        <v>8</v>
      </c>
      <c r="C42" s="257" t="s">
        <v>410</v>
      </c>
      <c r="D42" s="257" t="s">
        <v>411</v>
      </c>
      <c r="E42" s="260">
        <v>1</v>
      </c>
      <c r="F42" s="259"/>
      <c r="G42" s="273">
        <f t="shared" si="4"/>
        <v>1500</v>
      </c>
      <c r="H42" s="260">
        <v>605071</v>
      </c>
      <c r="I42" s="260" t="s">
        <v>342</v>
      </c>
      <c r="K42" s="257" t="s">
        <v>410</v>
      </c>
      <c r="L42" s="257" t="s">
        <v>411</v>
      </c>
      <c r="M42" s="260">
        <v>2</v>
      </c>
      <c r="N42" s="259">
        <f>M2*G42/E42</f>
        <v>2045.4545454545457</v>
      </c>
      <c r="O42" s="273">
        <f t="shared" ref="O42:O87" si="8">N42*M42</f>
        <v>4090.9090909090914</v>
      </c>
      <c r="Q42" s="257" t="s">
        <v>410</v>
      </c>
      <c r="R42" s="257" t="s">
        <v>411</v>
      </c>
      <c r="S42" s="260">
        <v>1</v>
      </c>
      <c r="T42" s="259">
        <f>G42/E42*S2</f>
        <v>2045.4545454545457</v>
      </c>
      <c r="U42" s="273">
        <f t="shared" ref="U42:U75" si="9">T42*S42</f>
        <v>2045.4545454545457</v>
      </c>
    </row>
    <row r="43" spans="1:21" s="262" customFormat="1">
      <c r="A43" s="257"/>
      <c r="B43" s="260">
        <v>9</v>
      </c>
      <c r="C43" s="257" t="s">
        <v>412</v>
      </c>
      <c r="D43" s="257" t="s">
        <v>413</v>
      </c>
      <c r="E43" s="260">
        <v>12</v>
      </c>
      <c r="F43" s="259">
        <f>$F128*$F$2</f>
        <v>531.25</v>
      </c>
      <c r="G43" s="273">
        <f t="shared" si="4"/>
        <v>6375</v>
      </c>
      <c r="H43" s="260">
        <v>605003</v>
      </c>
      <c r="I43" s="260" t="s">
        <v>414</v>
      </c>
      <c r="K43" s="257" t="s">
        <v>412</v>
      </c>
      <c r="L43" s="257" t="s">
        <v>413</v>
      </c>
      <c r="M43" s="260">
        <v>17</v>
      </c>
      <c r="N43" s="259">
        <f>G43/E43</f>
        <v>531.25</v>
      </c>
      <c r="O43" s="273">
        <f t="shared" si="8"/>
        <v>9031.25</v>
      </c>
      <c r="Q43" s="257" t="s">
        <v>412</v>
      </c>
      <c r="R43" s="257" t="s">
        <v>413</v>
      </c>
      <c r="S43" s="260">
        <v>0</v>
      </c>
      <c r="T43" s="259">
        <f t="shared" si="6"/>
        <v>531.25</v>
      </c>
      <c r="U43" s="273">
        <f t="shared" si="9"/>
        <v>0</v>
      </c>
    </row>
    <row r="44" spans="1:21" s="257" customFormat="1">
      <c r="B44" s="260">
        <v>10</v>
      </c>
      <c r="C44" s="257" t="s">
        <v>415</v>
      </c>
      <c r="D44" s="257" t="s">
        <v>416</v>
      </c>
      <c r="E44" s="260">
        <v>56</v>
      </c>
      <c r="F44" s="259">
        <f>$F129*$F$2</f>
        <v>237.5</v>
      </c>
      <c r="G44" s="273">
        <f t="shared" si="4"/>
        <v>13300</v>
      </c>
      <c r="H44" s="260">
        <v>605003</v>
      </c>
      <c r="I44" s="260" t="s">
        <v>414</v>
      </c>
      <c r="K44" s="257" t="s">
        <v>415</v>
      </c>
      <c r="L44" s="257" t="s">
        <v>416</v>
      </c>
      <c r="M44" s="260">
        <v>77</v>
      </c>
      <c r="N44" s="259">
        <f>G44/E44</f>
        <v>237.5</v>
      </c>
      <c r="O44" s="273">
        <f t="shared" si="8"/>
        <v>18287.5</v>
      </c>
      <c r="Q44" s="257" t="s">
        <v>415</v>
      </c>
      <c r="R44" s="257" t="s">
        <v>416</v>
      </c>
      <c r="S44" s="260">
        <v>20</v>
      </c>
      <c r="T44" s="259">
        <f t="shared" si="6"/>
        <v>237.5</v>
      </c>
      <c r="U44" s="273">
        <f t="shared" si="9"/>
        <v>4750</v>
      </c>
    </row>
    <row r="45" spans="1:21" s="257" customFormat="1">
      <c r="B45" s="260">
        <v>11</v>
      </c>
      <c r="C45" s="257" t="s">
        <v>417</v>
      </c>
      <c r="D45" s="257" t="s">
        <v>418</v>
      </c>
      <c r="E45" s="260">
        <v>1</v>
      </c>
      <c r="F45" s="259"/>
      <c r="G45" s="273">
        <f t="shared" si="4"/>
        <v>3662.5</v>
      </c>
      <c r="H45" s="260">
        <v>605035</v>
      </c>
      <c r="I45" s="260" t="s">
        <v>342</v>
      </c>
      <c r="K45" s="257" t="s">
        <v>417</v>
      </c>
      <c r="L45" s="257" t="s">
        <v>418</v>
      </c>
      <c r="M45" s="260">
        <v>2</v>
      </c>
      <c r="N45" s="259">
        <f>G45/E45</f>
        <v>3662.5</v>
      </c>
      <c r="O45" s="273">
        <f t="shared" si="8"/>
        <v>7325</v>
      </c>
      <c r="Q45" s="257" t="s">
        <v>417</v>
      </c>
      <c r="R45" s="257" t="s">
        <v>418</v>
      </c>
      <c r="S45" s="260">
        <v>0</v>
      </c>
      <c r="T45" s="259">
        <f t="shared" si="6"/>
        <v>3662.5</v>
      </c>
      <c r="U45" s="273">
        <f t="shared" si="9"/>
        <v>0</v>
      </c>
    </row>
    <row r="46" spans="1:21" s="257" customFormat="1">
      <c r="A46" s="262"/>
      <c r="B46" s="260">
        <v>12</v>
      </c>
      <c r="C46" s="257" t="s">
        <v>419</v>
      </c>
      <c r="D46" s="257" t="s">
        <v>420</v>
      </c>
      <c r="E46" s="260">
        <v>1</v>
      </c>
      <c r="F46" s="259"/>
      <c r="G46" s="273">
        <f t="shared" si="4"/>
        <v>3218.75</v>
      </c>
      <c r="H46" s="260">
        <v>605035</v>
      </c>
      <c r="I46" s="260" t="s">
        <v>342</v>
      </c>
      <c r="K46" s="257" t="s">
        <v>419</v>
      </c>
      <c r="L46" s="257" t="s">
        <v>420</v>
      </c>
      <c r="M46" s="260">
        <v>2</v>
      </c>
      <c r="N46" s="259">
        <f>G46/E46</f>
        <v>3218.75</v>
      </c>
      <c r="O46" s="273">
        <f t="shared" si="8"/>
        <v>6437.5</v>
      </c>
      <c r="Q46" s="257" t="s">
        <v>419</v>
      </c>
      <c r="R46" s="257" t="s">
        <v>420</v>
      </c>
      <c r="S46" s="260">
        <v>1</v>
      </c>
      <c r="T46" s="259">
        <f t="shared" si="6"/>
        <v>3218.75</v>
      </c>
      <c r="U46" s="273">
        <f t="shared" si="9"/>
        <v>3218.75</v>
      </c>
    </row>
    <row r="47" spans="1:21" s="262" customFormat="1">
      <c r="A47" s="257"/>
      <c r="B47" s="260">
        <v>13</v>
      </c>
      <c r="C47" s="257" t="s">
        <v>421</v>
      </c>
      <c r="D47" s="257" t="s">
        <v>422</v>
      </c>
      <c r="E47" s="260">
        <v>1</v>
      </c>
      <c r="F47" s="259"/>
      <c r="G47" s="273">
        <f t="shared" si="4"/>
        <v>3000</v>
      </c>
      <c r="H47" s="260">
        <v>605035</v>
      </c>
      <c r="I47" s="260" t="s">
        <v>342</v>
      </c>
      <c r="K47" s="257" t="s">
        <v>421</v>
      </c>
      <c r="L47" s="257" t="s">
        <v>422</v>
      </c>
      <c r="M47" s="260">
        <v>2</v>
      </c>
      <c r="N47" s="259">
        <f t="shared" ref="N47" si="10">G47/E47</f>
        <v>3000</v>
      </c>
      <c r="O47" s="273">
        <f t="shared" si="8"/>
        <v>6000</v>
      </c>
      <c r="Q47" s="257" t="s">
        <v>421</v>
      </c>
      <c r="R47" s="257" t="s">
        <v>422</v>
      </c>
      <c r="S47" s="260">
        <v>0</v>
      </c>
      <c r="T47" s="259">
        <f t="shared" si="6"/>
        <v>3000</v>
      </c>
      <c r="U47" s="273">
        <f t="shared" si="9"/>
        <v>0</v>
      </c>
    </row>
    <row r="48" spans="1:21" s="257" customFormat="1">
      <c r="B48" s="260">
        <v>14</v>
      </c>
      <c r="C48" s="257" t="s">
        <v>423</v>
      </c>
      <c r="D48" s="257" t="s">
        <v>424</v>
      </c>
      <c r="E48" s="260">
        <v>4</v>
      </c>
      <c r="F48" s="259">
        <f>$F133*$F$2</f>
        <v>562.5</v>
      </c>
      <c r="G48" s="273">
        <f t="shared" si="4"/>
        <v>2250</v>
      </c>
      <c r="H48" s="260">
        <v>605003</v>
      </c>
      <c r="I48" s="260" t="s">
        <v>414</v>
      </c>
      <c r="K48" s="257" t="s">
        <v>423</v>
      </c>
      <c r="L48" s="257" t="s">
        <v>424</v>
      </c>
      <c r="M48" s="260">
        <v>6</v>
      </c>
      <c r="N48" s="259">
        <f>G48/E48</f>
        <v>562.5</v>
      </c>
      <c r="O48" s="273">
        <f t="shared" si="8"/>
        <v>3375</v>
      </c>
      <c r="Q48" s="257" t="s">
        <v>423</v>
      </c>
      <c r="R48" s="257" t="s">
        <v>424</v>
      </c>
      <c r="S48" s="260">
        <v>0</v>
      </c>
      <c r="T48" s="259">
        <f t="shared" si="6"/>
        <v>562.5</v>
      </c>
      <c r="U48" s="273">
        <f t="shared" si="9"/>
        <v>0</v>
      </c>
    </row>
    <row r="49" spans="1:21" s="257" customFormat="1">
      <c r="A49" s="262"/>
      <c r="B49" s="260">
        <v>15</v>
      </c>
      <c r="C49" s="257" t="s">
        <v>425</v>
      </c>
      <c r="D49" s="257" t="s">
        <v>426</v>
      </c>
      <c r="E49" s="260">
        <v>2</v>
      </c>
      <c r="F49" s="259">
        <f>$F134*$F$2</f>
        <v>1343.75</v>
      </c>
      <c r="G49" s="273">
        <f t="shared" si="4"/>
        <v>2687.5</v>
      </c>
      <c r="H49" s="260">
        <v>605772</v>
      </c>
      <c r="I49" s="261" t="s">
        <v>427</v>
      </c>
      <c r="K49" s="257" t="s">
        <v>425</v>
      </c>
      <c r="L49" s="257" t="s">
        <v>426</v>
      </c>
      <c r="M49" s="260">
        <v>3</v>
      </c>
      <c r="N49" s="259">
        <f>G49/E49</f>
        <v>1343.75</v>
      </c>
      <c r="O49" s="273">
        <f t="shared" si="8"/>
        <v>4031.25</v>
      </c>
      <c r="Q49" s="257" t="s">
        <v>425</v>
      </c>
      <c r="R49" s="257" t="s">
        <v>426</v>
      </c>
      <c r="S49" s="260">
        <v>0</v>
      </c>
      <c r="T49" s="259">
        <f t="shared" si="6"/>
        <v>1343.75</v>
      </c>
      <c r="U49" s="273">
        <f t="shared" si="9"/>
        <v>0</v>
      </c>
    </row>
    <row r="50" spans="1:21" s="262" customFormat="1">
      <c r="B50" s="260">
        <v>16</v>
      </c>
      <c r="C50" s="257" t="s">
        <v>428</v>
      </c>
      <c r="D50" s="257" t="s">
        <v>429</v>
      </c>
      <c r="E50" s="260">
        <v>7</v>
      </c>
      <c r="F50" s="259">
        <f>$F135*$F$2</f>
        <v>1343.75</v>
      </c>
      <c r="G50" s="273">
        <f t="shared" si="4"/>
        <v>9406.25</v>
      </c>
      <c r="H50" s="260">
        <v>605772</v>
      </c>
      <c r="I50" s="261" t="s">
        <v>427</v>
      </c>
      <c r="K50" s="257" t="s">
        <v>428</v>
      </c>
      <c r="L50" s="257" t="s">
        <v>429</v>
      </c>
      <c r="M50" s="260">
        <v>14</v>
      </c>
      <c r="N50" s="259">
        <f t="shared" ref="N50" si="11">G50/E50</f>
        <v>1343.75</v>
      </c>
      <c r="O50" s="273">
        <f t="shared" si="8"/>
        <v>18812.5</v>
      </c>
      <c r="Q50" s="257" t="s">
        <v>428</v>
      </c>
      <c r="R50" s="257" t="s">
        <v>429</v>
      </c>
      <c r="S50" s="260">
        <v>4</v>
      </c>
      <c r="T50" s="259">
        <f t="shared" si="6"/>
        <v>1343.75</v>
      </c>
      <c r="U50" s="273">
        <f t="shared" si="9"/>
        <v>5375</v>
      </c>
    </row>
    <row r="51" spans="1:21" s="262" customFormat="1">
      <c r="B51" s="260">
        <v>17</v>
      </c>
      <c r="C51" s="257" t="s">
        <v>430</v>
      </c>
      <c r="D51" s="257" t="s">
        <v>431</v>
      </c>
      <c r="E51" s="260">
        <v>1</v>
      </c>
      <c r="F51" s="259"/>
      <c r="G51" s="273">
        <f t="shared" si="4"/>
        <v>2147.5</v>
      </c>
      <c r="H51" s="260">
        <v>606915</v>
      </c>
      <c r="I51" s="261" t="s">
        <v>427</v>
      </c>
      <c r="K51" s="257" t="s">
        <v>430</v>
      </c>
      <c r="L51" s="257" t="s">
        <v>431</v>
      </c>
      <c r="M51" s="260">
        <v>1</v>
      </c>
      <c r="N51" s="259">
        <f>G51/E51</f>
        <v>2147.5</v>
      </c>
      <c r="O51" s="273">
        <f t="shared" si="8"/>
        <v>2147.5</v>
      </c>
      <c r="Q51" s="257" t="s">
        <v>430</v>
      </c>
      <c r="R51" s="257" t="s">
        <v>431</v>
      </c>
      <c r="S51" s="260">
        <v>0</v>
      </c>
      <c r="T51" s="259">
        <f t="shared" si="6"/>
        <v>2147.5</v>
      </c>
      <c r="U51" s="273">
        <f t="shared" si="9"/>
        <v>0</v>
      </c>
    </row>
    <row r="52" spans="1:21" s="262" customFormat="1">
      <c r="B52" s="260">
        <v>18</v>
      </c>
      <c r="C52" s="257" t="s">
        <v>432</v>
      </c>
      <c r="D52" s="257" t="s">
        <v>433</v>
      </c>
      <c r="E52" s="260">
        <v>1</v>
      </c>
      <c r="F52" s="259"/>
      <c r="G52" s="273">
        <f t="shared" si="4"/>
        <v>2987.5</v>
      </c>
      <c r="H52" s="260">
        <v>606915</v>
      </c>
      <c r="I52" s="261" t="s">
        <v>427</v>
      </c>
      <c r="K52" s="257" t="s">
        <v>432</v>
      </c>
      <c r="L52" s="257" t="s">
        <v>433</v>
      </c>
      <c r="M52" s="260">
        <v>1</v>
      </c>
      <c r="N52" s="259">
        <f>G52/E52</f>
        <v>2987.5</v>
      </c>
      <c r="O52" s="273">
        <f t="shared" si="8"/>
        <v>2987.5</v>
      </c>
      <c r="Q52" s="257" t="s">
        <v>432</v>
      </c>
      <c r="R52" s="257" t="s">
        <v>433</v>
      </c>
      <c r="S52" s="260">
        <v>0</v>
      </c>
      <c r="T52" s="259">
        <f t="shared" si="6"/>
        <v>2987.5</v>
      </c>
      <c r="U52" s="273">
        <f t="shared" si="9"/>
        <v>0</v>
      </c>
    </row>
    <row r="53" spans="1:21" s="262" customFormat="1">
      <c r="B53" s="260">
        <v>19</v>
      </c>
      <c r="C53" s="257" t="s">
        <v>434</v>
      </c>
      <c r="D53" s="257" t="s">
        <v>435</v>
      </c>
      <c r="E53" s="260">
        <v>1</v>
      </c>
      <c r="F53" s="259"/>
      <c r="G53" s="273">
        <f t="shared" si="4"/>
        <v>2207.5</v>
      </c>
      <c r="H53" s="260">
        <v>606915</v>
      </c>
      <c r="I53" s="261" t="s">
        <v>427</v>
      </c>
      <c r="K53" s="257" t="s">
        <v>434</v>
      </c>
      <c r="L53" s="257" t="s">
        <v>435</v>
      </c>
      <c r="M53" s="260">
        <v>1</v>
      </c>
      <c r="N53" s="259">
        <f t="shared" ref="N53:N75" si="12">G53/E53</f>
        <v>2207.5</v>
      </c>
      <c r="O53" s="273">
        <f t="shared" si="8"/>
        <v>2207.5</v>
      </c>
      <c r="Q53" s="257" t="s">
        <v>434</v>
      </c>
      <c r="R53" s="257" t="s">
        <v>435</v>
      </c>
      <c r="S53" s="260">
        <v>0</v>
      </c>
      <c r="T53" s="259">
        <f t="shared" si="6"/>
        <v>2207.5</v>
      </c>
      <c r="U53" s="273">
        <f t="shared" si="9"/>
        <v>0</v>
      </c>
    </row>
    <row r="54" spans="1:21" s="262" customFormat="1">
      <c r="B54" s="260">
        <v>20</v>
      </c>
      <c r="C54" s="257" t="s">
        <v>436</v>
      </c>
      <c r="D54" s="257" t="s">
        <v>437</v>
      </c>
      <c r="E54" s="260">
        <v>1</v>
      </c>
      <c r="F54" s="259"/>
      <c r="G54" s="273">
        <f t="shared" si="4"/>
        <v>2987.5</v>
      </c>
      <c r="H54" s="260">
        <v>606915</v>
      </c>
      <c r="I54" s="261" t="s">
        <v>427</v>
      </c>
      <c r="K54" s="257" t="s">
        <v>436</v>
      </c>
      <c r="L54" s="257" t="s">
        <v>437</v>
      </c>
      <c r="M54" s="260">
        <v>1</v>
      </c>
      <c r="N54" s="259">
        <f t="shared" si="12"/>
        <v>2987.5</v>
      </c>
      <c r="O54" s="273">
        <f t="shared" si="8"/>
        <v>2987.5</v>
      </c>
      <c r="Q54" s="257" t="s">
        <v>436</v>
      </c>
      <c r="R54" s="257" t="s">
        <v>437</v>
      </c>
      <c r="S54" s="260">
        <v>0</v>
      </c>
      <c r="T54" s="259">
        <f t="shared" si="6"/>
        <v>2987.5</v>
      </c>
      <c r="U54" s="273">
        <f t="shared" si="9"/>
        <v>0</v>
      </c>
    </row>
    <row r="55" spans="1:21" s="262" customFormat="1">
      <c r="B55" s="260">
        <v>21</v>
      </c>
      <c r="C55" s="257" t="s">
        <v>438</v>
      </c>
      <c r="D55" s="257" t="s">
        <v>439</v>
      </c>
      <c r="E55" s="260">
        <v>12</v>
      </c>
      <c r="F55" s="259">
        <f t="shared" ref="F55:F61" si="13">$F140*$F$2</f>
        <v>823.75</v>
      </c>
      <c r="G55" s="273">
        <f t="shared" si="4"/>
        <v>9885</v>
      </c>
      <c r="H55" s="260">
        <v>606915</v>
      </c>
      <c r="I55" s="261" t="s">
        <v>427</v>
      </c>
      <c r="K55" s="257" t="s">
        <v>438</v>
      </c>
      <c r="L55" s="257" t="s">
        <v>439</v>
      </c>
      <c r="M55" s="260">
        <v>16</v>
      </c>
      <c r="N55" s="259">
        <f t="shared" si="12"/>
        <v>823.75</v>
      </c>
      <c r="O55" s="273">
        <f t="shared" si="8"/>
        <v>13180</v>
      </c>
      <c r="Q55" s="257" t="s">
        <v>438</v>
      </c>
      <c r="R55" s="257" t="s">
        <v>439</v>
      </c>
      <c r="S55" s="260">
        <v>4</v>
      </c>
      <c r="T55" s="259">
        <f t="shared" si="6"/>
        <v>823.75</v>
      </c>
      <c r="U55" s="273">
        <f t="shared" si="9"/>
        <v>3295</v>
      </c>
    </row>
    <row r="56" spans="1:21" s="262" customFormat="1">
      <c r="B56" s="260">
        <v>22</v>
      </c>
      <c r="C56" s="257" t="s">
        <v>440</v>
      </c>
      <c r="D56" s="257" t="s">
        <v>441</v>
      </c>
      <c r="E56" s="260">
        <v>12</v>
      </c>
      <c r="F56" s="259">
        <f t="shared" si="13"/>
        <v>823.75</v>
      </c>
      <c r="G56" s="273">
        <f t="shared" si="4"/>
        <v>9885</v>
      </c>
      <c r="H56" s="260">
        <v>606915</v>
      </c>
      <c r="I56" s="261" t="s">
        <v>427</v>
      </c>
      <c r="K56" s="257" t="s">
        <v>440</v>
      </c>
      <c r="L56" s="257" t="s">
        <v>441</v>
      </c>
      <c r="M56" s="260">
        <v>16</v>
      </c>
      <c r="N56" s="259">
        <f t="shared" si="12"/>
        <v>823.75</v>
      </c>
      <c r="O56" s="273">
        <f t="shared" si="8"/>
        <v>13180</v>
      </c>
      <c r="Q56" s="257" t="s">
        <v>440</v>
      </c>
      <c r="R56" s="257" t="s">
        <v>441</v>
      </c>
      <c r="S56" s="260">
        <v>4</v>
      </c>
      <c r="T56" s="259">
        <f t="shared" si="6"/>
        <v>823.75</v>
      </c>
      <c r="U56" s="273">
        <f t="shared" si="9"/>
        <v>3295</v>
      </c>
    </row>
    <row r="57" spans="1:21" s="262" customFormat="1">
      <c r="B57" s="260">
        <v>23</v>
      </c>
      <c r="C57" s="257" t="s">
        <v>442</v>
      </c>
      <c r="D57" s="257" t="s">
        <v>443</v>
      </c>
      <c r="E57" s="260">
        <v>24</v>
      </c>
      <c r="F57" s="259">
        <f t="shared" si="13"/>
        <v>767.5</v>
      </c>
      <c r="G57" s="273">
        <f t="shared" si="4"/>
        <v>18420</v>
      </c>
      <c r="H57" s="260">
        <v>606915</v>
      </c>
      <c r="I57" s="261" t="s">
        <v>427</v>
      </c>
      <c r="K57" s="257" t="s">
        <v>442</v>
      </c>
      <c r="L57" s="257" t="s">
        <v>443</v>
      </c>
      <c r="M57" s="260">
        <v>32</v>
      </c>
      <c r="N57" s="259">
        <f t="shared" si="12"/>
        <v>767.5</v>
      </c>
      <c r="O57" s="273">
        <f t="shared" si="8"/>
        <v>24560</v>
      </c>
      <c r="Q57" s="257" t="s">
        <v>442</v>
      </c>
      <c r="R57" s="257" t="s">
        <v>443</v>
      </c>
      <c r="S57" s="260">
        <v>8</v>
      </c>
      <c r="T57" s="259">
        <f t="shared" si="6"/>
        <v>767.5</v>
      </c>
      <c r="U57" s="273">
        <f t="shared" si="9"/>
        <v>6140</v>
      </c>
    </row>
    <row r="58" spans="1:21" s="262" customFormat="1">
      <c r="A58" s="257"/>
      <c r="B58" s="260">
        <v>24</v>
      </c>
      <c r="C58" s="257" t="s">
        <v>444</v>
      </c>
      <c r="D58" s="257" t="s">
        <v>445</v>
      </c>
      <c r="E58" s="260">
        <v>2</v>
      </c>
      <c r="F58" s="259">
        <f t="shared" si="13"/>
        <v>272.5</v>
      </c>
      <c r="G58" s="273">
        <f t="shared" si="4"/>
        <v>545</v>
      </c>
      <c r="H58" s="260">
        <v>605670</v>
      </c>
      <c r="I58" s="261" t="s">
        <v>349</v>
      </c>
      <c r="K58" s="257" t="s">
        <v>444</v>
      </c>
      <c r="L58" s="257" t="s">
        <v>445</v>
      </c>
      <c r="M58" s="260">
        <v>2</v>
      </c>
      <c r="N58" s="259">
        <f t="shared" si="12"/>
        <v>272.5</v>
      </c>
      <c r="O58" s="273">
        <f t="shared" si="8"/>
        <v>545</v>
      </c>
      <c r="Q58" s="257" t="s">
        <v>444</v>
      </c>
      <c r="R58" s="257" t="s">
        <v>445</v>
      </c>
      <c r="S58" s="260">
        <v>0</v>
      </c>
      <c r="T58" s="259">
        <f t="shared" si="6"/>
        <v>272.5</v>
      </c>
      <c r="U58" s="273">
        <f t="shared" si="9"/>
        <v>0</v>
      </c>
    </row>
    <row r="59" spans="1:21" s="257" customFormat="1">
      <c r="B59" s="260">
        <v>25</v>
      </c>
      <c r="C59" s="257" t="s">
        <v>446</v>
      </c>
      <c r="D59" s="257" t="s">
        <v>447</v>
      </c>
      <c r="E59" s="260">
        <v>2</v>
      </c>
      <c r="F59" s="259">
        <f t="shared" si="13"/>
        <v>111.25</v>
      </c>
      <c r="G59" s="273">
        <f t="shared" si="4"/>
        <v>222.5</v>
      </c>
      <c r="H59" s="260">
        <v>605670</v>
      </c>
      <c r="I59" s="261" t="s">
        <v>349</v>
      </c>
      <c r="K59" s="257" t="s">
        <v>446</v>
      </c>
      <c r="L59" s="257" t="s">
        <v>447</v>
      </c>
      <c r="M59" s="260">
        <v>3</v>
      </c>
      <c r="N59" s="259">
        <f t="shared" si="12"/>
        <v>111.25</v>
      </c>
      <c r="O59" s="273">
        <f t="shared" si="8"/>
        <v>333.75</v>
      </c>
      <c r="Q59" s="257" t="s">
        <v>446</v>
      </c>
      <c r="R59" s="257" t="s">
        <v>447</v>
      </c>
      <c r="S59" s="260">
        <v>0</v>
      </c>
      <c r="T59" s="259">
        <f t="shared" si="6"/>
        <v>111.25</v>
      </c>
      <c r="U59" s="273">
        <f t="shared" si="9"/>
        <v>0</v>
      </c>
    </row>
    <row r="60" spans="1:21" s="257" customFormat="1">
      <c r="A60" s="262"/>
      <c r="B60" s="260">
        <v>26</v>
      </c>
      <c r="C60" s="257" t="s">
        <v>448</v>
      </c>
      <c r="D60" s="257" t="s">
        <v>449</v>
      </c>
      <c r="E60" s="260">
        <v>2</v>
      </c>
      <c r="F60" s="259">
        <f t="shared" si="13"/>
        <v>1187.5</v>
      </c>
      <c r="G60" s="273">
        <f t="shared" si="4"/>
        <v>2375</v>
      </c>
      <c r="H60" s="260">
        <v>606709</v>
      </c>
      <c r="I60" s="261" t="s">
        <v>450</v>
      </c>
      <c r="K60" s="257" t="s">
        <v>448</v>
      </c>
      <c r="L60" s="257" t="s">
        <v>449</v>
      </c>
      <c r="M60" s="260">
        <v>3</v>
      </c>
      <c r="N60" s="259">
        <f t="shared" si="12"/>
        <v>1187.5</v>
      </c>
      <c r="O60" s="273">
        <f t="shared" si="8"/>
        <v>3562.5</v>
      </c>
      <c r="Q60" s="257" t="s">
        <v>448</v>
      </c>
      <c r="R60" s="257" t="s">
        <v>449</v>
      </c>
      <c r="S60" s="260">
        <v>0</v>
      </c>
      <c r="T60" s="259">
        <f t="shared" si="6"/>
        <v>1187.5</v>
      </c>
      <c r="U60" s="273">
        <f t="shared" si="9"/>
        <v>0</v>
      </c>
    </row>
    <row r="61" spans="1:21" s="262" customFormat="1">
      <c r="A61" s="257"/>
      <c r="B61" s="260">
        <v>27</v>
      </c>
      <c r="C61" s="257" t="s">
        <v>451</v>
      </c>
      <c r="D61" s="257" t="s">
        <v>452</v>
      </c>
      <c r="E61" s="260">
        <v>18</v>
      </c>
      <c r="F61" s="259">
        <f t="shared" si="13"/>
        <v>43.75</v>
      </c>
      <c r="G61" s="273">
        <f t="shared" si="4"/>
        <v>787.5</v>
      </c>
      <c r="H61" s="260">
        <v>605670</v>
      </c>
      <c r="I61" s="261" t="s">
        <v>349</v>
      </c>
      <c r="K61" s="257" t="s">
        <v>451</v>
      </c>
      <c r="L61" s="257" t="s">
        <v>452</v>
      </c>
      <c r="M61" s="260">
        <v>25</v>
      </c>
      <c r="N61" s="259">
        <f t="shared" si="12"/>
        <v>43.75</v>
      </c>
      <c r="O61" s="273">
        <f t="shared" si="8"/>
        <v>1093.75</v>
      </c>
      <c r="Q61" s="257" t="s">
        <v>451</v>
      </c>
      <c r="R61" s="257" t="s">
        <v>452</v>
      </c>
      <c r="S61" s="260">
        <v>6</v>
      </c>
      <c r="T61" s="259">
        <f t="shared" si="6"/>
        <v>43.75</v>
      </c>
      <c r="U61" s="273">
        <f t="shared" si="9"/>
        <v>262.5</v>
      </c>
    </row>
    <row r="62" spans="1:21" s="257" customFormat="1">
      <c r="A62" s="262"/>
      <c r="B62" s="260">
        <v>28</v>
      </c>
      <c r="C62" s="257" t="s">
        <v>453</v>
      </c>
      <c r="D62" s="257" t="s">
        <v>454</v>
      </c>
      <c r="E62" s="260">
        <v>1</v>
      </c>
      <c r="F62" s="259"/>
      <c r="G62" s="273">
        <f t="shared" si="4"/>
        <v>1187.5</v>
      </c>
      <c r="H62" s="260">
        <v>606709</v>
      </c>
      <c r="I62" s="261" t="s">
        <v>450</v>
      </c>
      <c r="K62" s="257" t="s">
        <v>453</v>
      </c>
      <c r="L62" s="257" t="s">
        <v>454</v>
      </c>
      <c r="M62" s="260">
        <v>2</v>
      </c>
      <c r="N62" s="259">
        <f t="shared" si="12"/>
        <v>1187.5</v>
      </c>
      <c r="O62" s="273">
        <f t="shared" si="8"/>
        <v>2375</v>
      </c>
      <c r="Q62" s="257" t="s">
        <v>453</v>
      </c>
      <c r="R62" s="257" t="s">
        <v>454</v>
      </c>
      <c r="S62" s="260">
        <v>1</v>
      </c>
      <c r="T62" s="259">
        <f t="shared" si="6"/>
        <v>1187.5</v>
      </c>
      <c r="U62" s="273">
        <f t="shared" si="9"/>
        <v>1187.5</v>
      </c>
    </row>
    <row r="63" spans="1:21" s="262" customFormat="1">
      <c r="B63" s="260">
        <v>29</v>
      </c>
      <c r="C63" s="257" t="s">
        <v>455</v>
      </c>
      <c r="D63" s="257" t="s">
        <v>456</v>
      </c>
      <c r="E63" s="260">
        <v>6</v>
      </c>
      <c r="F63" s="259">
        <f t="shared" ref="F63:F68" si="14">$F148*$F$2</f>
        <v>550</v>
      </c>
      <c r="G63" s="273">
        <f t="shared" si="4"/>
        <v>3300</v>
      </c>
      <c r="H63" s="260">
        <v>605772</v>
      </c>
      <c r="I63" s="261" t="s">
        <v>427</v>
      </c>
      <c r="K63" s="257" t="s">
        <v>455</v>
      </c>
      <c r="L63" s="257" t="s">
        <v>456</v>
      </c>
      <c r="M63" s="260">
        <v>12</v>
      </c>
      <c r="N63" s="259">
        <f t="shared" si="12"/>
        <v>550</v>
      </c>
      <c r="O63" s="273">
        <f t="shared" si="8"/>
        <v>6600</v>
      </c>
      <c r="Q63" s="257" t="s">
        <v>455</v>
      </c>
      <c r="R63" s="257" t="s">
        <v>456</v>
      </c>
      <c r="S63" s="260">
        <v>2</v>
      </c>
      <c r="T63" s="259">
        <f t="shared" si="6"/>
        <v>550</v>
      </c>
      <c r="U63" s="273">
        <f t="shared" si="9"/>
        <v>1100</v>
      </c>
    </row>
    <row r="64" spans="1:21" s="262" customFormat="1">
      <c r="B64" s="260">
        <v>30</v>
      </c>
      <c r="C64" s="257" t="s">
        <v>457</v>
      </c>
      <c r="D64" s="257" t="s">
        <v>458</v>
      </c>
      <c r="E64" s="260">
        <v>2</v>
      </c>
      <c r="F64" s="259">
        <f t="shared" si="14"/>
        <v>550</v>
      </c>
      <c r="G64" s="273">
        <f t="shared" si="4"/>
        <v>1100</v>
      </c>
      <c r="H64" s="260">
        <v>605772</v>
      </c>
      <c r="I64" s="261" t="s">
        <v>427</v>
      </c>
      <c r="K64" s="257" t="s">
        <v>457</v>
      </c>
      <c r="L64" s="257" t="s">
        <v>458</v>
      </c>
      <c r="M64" s="260">
        <v>4</v>
      </c>
      <c r="N64" s="259">
        <f t="shared" si="12"/>
        <v>550</v>
      </c>
      <c r="O64" s="273">
        <f t="shared" si="8"/>
        <v>2200</v>
      </c>
      <c r="Q64" s="257" t="s">
        <v>457</v>
      </c>
      <c r="R64" s="257" t="s">
        <v>458</v>
      </c>
      <c r="S64" s="260">
        <v>0</v>
      </c>
      <c r="T64" s="259">
        <f t="shared" si="6"/>
        <v>550</v>
      </c>
      <c r="U64" s="273">
        <f t="shared" si="9"/>
        <v>0</v>
      </c>
    </row>
    <row r="65" spans="1:21" s="262" customFormat="1">
      <c r="B65" s="260">
        <v>31</v>
      </c>
      <c r="C65" s="257" t="s">
        <v>459</v>
      </c>
      <c r="D65" s="257" t="s">
        <v>460</v>
      </c>
      <c r="E65" s="260">
        <v>2</v>
      </c>
      <c r="F65" s="259">
        <f t="shared" si="14"/>
        <v>550</v>
      </c>
      <c r="G65" s="273">
        <f t="shared" si="4"/>
        <v>1100</v>
      </c>
      <c r="H65" s="260">
        <v>605772</v>
      </c>
      <c r="I65" s="261" t="s">
        <v>427</v>
      </c>
      <c r="K65" s="257" t="s">
        <v>459</v>
      </c>
      <c r="L65" s="257" t="s">
        <v>460</v>
      </c>
      <c r="M65" s="260">
        <v>4</v>
      </c>
      <c r="N65" s="259">
        <f t="shared" si="12"/>
        <v>550</v>
      </c>
      <c r="O65" s="273">
        <f t="shared" si="8"/>
        <v>2200</v>
      </c>
      <c r="Q65" s="257" t="s">
        <v>459</v>
      </c>
      <c r="R65" s="257" t="s">
        <v>460</v>
      </c>
      <c r="S65" s="260">
        <v>0</v>
      </c>
      <c r="T65" s="259">
        <f t="shared" si="6"/>
        <v>550</v>
      </c>
      <c r="U65" s="273">
        <f t="shared" si="9"/>
        <v>0</v>
      </c>
    </row>
    <row r="66" spans="1:21" s="262" customFormat="1">
      <c r="A66" s="257"/>
      <c r="B66" s="260">
        <v>32</v>
      </c>
      <c r="C66" s="257" t="s">
        <v>461</v>
      </c>
      <c r="D66" s="257" t="s">
        <v>462</v>
      </c>
      <c r="E66" s="260">
        <v>6</v>
      </c>
      <c r="F66" s="259">
        <f t="shared" si="14"/>
        <v>61.25</v>
      </c>
      <c r="G66" s="273">
        <f t="shared" si="4"/>
        <v>367.5</v>
      </c>
      <c r="H66" s="260">
        <v>605670</v>
      </c>
      <c r="I66" s="261" t="s">
        <v>349</v>
      </c>
      <c r="K66" s="257" t="s">
        <v>461</v>
      </c>
      <c r="L66" s="257" t="s">
        <v>462</v>
      </c>
      <c r="M66" s="260">
        <v>8</v>
      </c>
      <c r="N66" s="259">
        <f t="shared" si="12"/>
        <v>61.25</v>
      </c>
      <c r="O66" s="273">
        <f t="shared" si="8"/>
        <v>490</v>
      </c>
      <c r="Q66" s="257" t="s">
        <v>461</v>
      </c>
      <c r="R66" s="257" t="s">
        <v>462</v>
      </c>
      <c r="S66" s="260">
        <v>2</v>
      </c>
      <c r="T66" s="259">
        <f t="shared" si="6"/>
        <v>61.25</v>
      </c>
      <c r="U66" s="273">
        <f t="shared" si="9"/>
        <v>122.5</v>
      </c>
    </row>
    <row r="67" spans="1:21" s="257" customFormat="1">
      <c r="B67" s="260">
        <v>33</v>
      </c>
      <c r="C67" s="257" t="s">
        <v>463</v>
      </c>
      <c r="D67" s="257" t="s">
        <v>464</v>
      </c>
      <c r="E67" s="260">
        <v>2</v>
      </c>
      <c r="F67" s="259">
        <f t="shared" si="14"/>
        <v>272.5</v>
      </c>
      <c r="G67" s="273">
        <f t="shared" si="4"/>
        <v>545</v>
      </c>
      <c r="H67" s="260">
        <v>605670</v>
      </c>
      <c r="I67" s="261" t="s">
        <v>349</v>
      </c>
      <c r="K67" s="257" t="s">
        <v>463</v>
      </c>
      <c r="L67" s="257" t="s">
        <v>464</v>
      </c>
      <c r="M67" s="260">
        <v>2</v>
      </c>
      <c r="N67" s="259">
        <f t="shared" si="12"/>
        <v>272.5</v>
      </c>
      <c r="O67" s="273">
        <f t="shared" si="8"/>
        <v>545</v>
      </c>
      <c r="Q67" s="257" t="s">
        <v>463</v>
      </c>
      <c r="R67" s="257" t="s">
        <v>464</v>
      </c>
      <c r="S67" s="260">
        <v>0</v>
      </c>
      <c r="T67" s="259">
        <f t="shared" si="6"/>
        <v>272.5</v>
      </c>
      <c r="U67" s="273">
        <f t="shared" si="9"/>
        <v>0</v>
      </c>
    </row>
    <row r="68" spans="1:21" s="257" customFormat="1">
      <c r="A68" s="262"/>
      <c r="B68" s="260">
        <v>34</v>
      </c>
      <c r="C68" s="257" t="s">
        <v>465</v>
      </c>
      <c r="D68" s="257" t="s">
        <v>466</v>
      </c>
      <c r="E68" s="260">
        <v>2</v>
      </c>
      <c r="F68" s="259">
        <f t="shared" si="14"/>
        <v>550</v>
      </c>
      <c r="G68" s="273">
        <f t="shared" si="4"/>
        <v>1100</v>
      </c>
      <c r="H68" s="260">
        <v>605772</v>
      </c>
      <c r="I68" s="261" t="s">
        <v>427</v>
      </c>
      <c r="K68" s="257" t="s">
        <v>465</v>
      </c>
      <c r="L68" s="257" t="s">
        <v>466</v>
      </c>
      <c r="M68" s="260">
        <v>4</v>
      </c>
      <c r="N68" s="259">
        <f t="shared" si="12"/>
        <v>550</v>
      </c>
      <c r="O68" s="273">
        <f t="shared" si="8"/>
        <v>2200</v>
      </c>
      <c r="Q68" s="257" t="s">
        <v>465</v>
      </c>
      <c r="R68" s="257" t="s">
        <v>466</v>
      </c>
      <c r="S68" s="260">
        <v>2</v>
      </c>
      <c r="T68" s="259">
        <f t="shared" si="6"/>
        <v>550</v>
      </c>
      <c r="U68" s="273">
        <f t="shared" si="9"/>
        <v>1100</v>
      </c>
    </row>
    <row r="69" spans="1:21" s="262" customFormat="1">
      <c r="B69" s="260">
        <v>35</v>
      </c>
      <c r="C69" s="257" t="s">
        <v>467</v>
      </c>
      <c r="D69" s="257" t="s">
        <v>468</v>
      </c>
      <c r="E69" s="260">
        <v>2</v>
      </c>
      <c r="F69" s="259"/>
      <c r="G69" s="273">
        <f t="shared" si="4"/>
        <v>273.75</v>
      </c>
      <c r="H69" s="260" t="s">
        <v>469</v>
      </c>
      <c r="I69" s="260" t="s">
        <v>355</v>
      </c>
      <c r="K69" s="257" t="s">
        <v>467</v>
      </c>
      <c r="L69" s="257" t="s">
        <v>468</v>
      </c>
      <c r="M69" s="260">
        <v>3</v>
      </c>
      <c r="N69" s="259">
        <f t="shared" si="12"/>
        <v>136.875</v>
      </c>
      <c r="O69" s="273">
        <f t="shared" si="8"/>
        <v>410.625</v>
      </c>
      <c r="Q69" s="257" t="s">
        <v>467</v>
      </c>
      <c r="R69" s="257" t="s">
        <v>468</v>
      </c>
      <c r="S69" s="260">
        <v>2</v>
      </c>
      <c r="T69" s="259">
        <f t="shared" si="6"/>
        <v>136.875</v>
      </c>
      <c r="U69" s="273">
        <f t="shared" si="9"/>
        <v>273.75</v>
      </c>
    </row>
    <row r="70" spans="1:21" s="262" customFormat="1">
      <c r="B70" s="260">
        <v>36</v>
      </c>
      <c r="C70" s="257" t="s">
        <v>470</v>
      </c>
      <c r="D70" s="257" t="s">
        <v>471</v>
      </c>
      <c r="E70" s="260">
        <v>4</v>
      </c>
      <c r="F70" s="259"/>
      <c r="G70" s="273">
        <f t="shared" si="4"/>
        <v>365</v>
      </c>
      <c r="H70" s="260" t="s">
        <v>469</v>
      </c>
      <c r="I70" s="260" t="s">
        <v>355</v>
      </c>
      <c r="K70" s="257" t="s">
        <v>470</v>
      </c>
      <c r="L70" s="257" t="s">
        <v>471</v>
      </c>
      <c r="M70" s="260">
        <v>6</v>
      </c>
      <c r="N70" s="259">
        <f t="shared" si="12"/>
        <v>91.25</v>
      </c>
      <c r="O70" s="273">
        <f t="shared" si="8"/>
        <v>547.5</v>
      </c>
      <c r="Q70" s="257" t="s">
        <v>470</v>
      </c>
      <c r="R70" s="257" t="s">
        <v>471</v>
      </c>
      <c r="S70" s="260">
        <v>0</v>
      </c>
      <c r="T70" s="259">
        <f t="shared" si="6"/>
        <v>91.25</v>
      </c>
      <c r="U70" s="273">
        <f t="shared" si="9"/>
        <v>0</v>
      </c>
    </row>
    <row r="71" spans="1:21" s="262" customFormat="1">
      <c r="B71" s="260">
        <v>37</v>
      </c>
      <c r="C71" s="257" t="s">
        <v>472</v>
      </c>
      <c r="D71" s="257" t="s">
        <v>473</v>
      </c>
      <c r="E71" s="260">
        <v>12</v>
      </c>
      <c r="F71" s="259"/>
      <c r="G71" s="273">
        <f t="shared" si="4"/>
        <v>638.75</v>
      </c>
      <c r="H71" s="260" t="s">
        <v>469</v>
      </c>
      <c r="I71" s="260" t="s">
        <v>355</v>
      </c>
      <c r="K71" s="257" t="s">
        <v>472</v>
      </c>
      <c r="L71" s="257" t="s">
        <v>473</v>
      </c>
      <c r="M71" s="260">
        <v>17</v>
      </c>
      <c r="N71" s="259">
        <f t="shared" si="12"/>
        <v>53.229166666666664</v>
      </c>
      <c r="O71" s="273">
        <f t="shared" si="8"/>
        <v>904.89583333333326</v>
      </c>
      <c r="Q71" s="257" t="s">
        <v>472</v>
      </c>
      <c r="R71" s="257" t="s">
        <v>473</v>
      </c>
      <c r="S71" s="260">
        <v>4</v>
      </c>
      <c r="T71" s="259">
        <f t="shared" si="6"/>
        <v>53.229166666666664</v>
      </c>
      <c r="U71" s="273">
        <f t="shared" si="9"/>
        <v>212.91666666666666</v>
      </c>
    </row>
    <row r="72" spans="1:21" s="262" customFormat="1">
      <c r="A72" s="257"/>
      <c r="B72" s="260">
        <v>38</v>
      </c>
      <c r="C72" s="257" t="s">
        <v>474</v>
      </c>
      <c r="D72" s="257" t="s">
        <v>475</v>
      </c>
      <c r="E72" s="260">
        <v>20</v>
      </c>
      <c r="F72" s="259">
        <f>$F157*$F$2</f>
        <v>68.75</v>
      </c>
      <c r="G72" s="273">
        <f t="shared" si="4"/>
        <v>1375</v>
      </c>
      <c r="H72" s="260">
        <v>606420</v>
      </c>
      <c r="I72" s="260" t="s">
        <v>349</v>
      </c>
      <c r="K72" s="257" t="s">
        <v>474</v>
      </c>
      <c r="L72" s="257" t="s">
        <v>475</v>
      </c>
      <c r="M72" s="260">
        <v>28</v>
      </c>
      <c r="N72" s="259">
        <f t="shared" si="12"/>
        <v>68.75</v>
      </c>
      <c r="O72" s="273">
        <f t="shared" si="8"/>
        <v>1925</v>
      </c>
      <c r="Q72" s="257" t="s">
        <v>474</v>
      </c>
      <c r="R72" s="257" t="s">
        <v>475</v>
      </c>
      <c r="S72" s="260">
        <v>6</v>
      </c>
      <c r="T72" s="259">
        <f t="shared" si="6"/>
        <v>68.75</v>
      </c>
      <c r="U72" s="273">
        <f t="shared" si="9"/>
        <v>412.5</v>
      </c>
    </row>
    <row r="73" spans="1:21" s="257" customFormat="1">
      <c r="B73" s="260">
        <v>39</v>
      </c>
      <c r="C73" s="257" t="s">
        <v>476</v>
      </c>
      <c r="D73" s="257" t="s">
        <v>477</v>
      </c>
      <c r="E73" s="260">
        <v>20</v>
      </c>
      <c r="F73" s="259">
        <f>$F158*$F$2</f>
        <v>38.75</v>
      </c>
      <c r="G73" s="273">
        <f t="shared" si="4"/>
        <v>775</v>
      </c>
      <c r="H73" s="260">
        <v>606420</v>
      </c>
      <c r="I73" s="260" t="s">
        <v>349</v>
      </c>
      <c r="K73" s="257" t="s">
        <v>476</v>
      </c>
      <c r="L73" s="257" t="s">
        <v>477</v>
      </c>
      <c r="M73" s="260">
        <v>28</v>
      </c>
      <c r="N73" s="259">
        <f t="shared" si="12"/>
        <v>38.75</v>
      </c>
      <c r="O73" s="273">
        <f t="shared" si="8"/>
        <v>1085</v>
      </c>
      <c r="Q73" s="257" t="s">
        <v>476</v>
      </c>
      <c r="R73" s="257" t="s">
        <v>477</v>
      </c>
      <c r="S73" s="260">
        <v>6</v>
      </c>
      <c r="T73" s="259">
        <f t="shared" si="6"/>
        <v>38.75</v>
      </c>
      <c r="U73" s="273">
        <f t="shared" si="9"/>
        <v>232.5</v>
      </c>
    </row>
    <row r="74" spans="1:21" s="257" customFormat="1">
      <c r="B74" s="260">
        <v>40</v>
      </c>
      <c r="C74" s="257" t="s">
        <v>478</v>
      </c>
      <c r="D74" s="257" t="s">
        <v>479</v>
      </c>
      <c r="E74" s="260">
        <v>20</v>
      </c>
      <c r="F74" s="259">
        <f>$F159*$F$2</f>
        <v>82.5</v>
      </c>
      <c r="G74" s="273">
        <f t="shared" si="4"/>
        <v>1650</v>
      </c>
      <c r="H74" s="260">
        <v>606420</v>
      </c>
      <c r="I74" s="260" t="s">
        <v>349</v>
      </c>
      <c r="K74" s="257" t="s">
        <v>478</v>
      </c>
      <c r="L74" s="257" t="s">
        <v>479</v>
      </c>
      <c r="M74" s="260">
        <v>28</v>
      </c>
      <c r="N74" s="259">
        <f t="shared" si="12"/>
        <v>82.5</v>
      </c>
      <c r="O74" s="273">
        <f t="shared" si="8"/>
        <v>2310</v>
      </c>
      <c r="Q74" s="257" t="s">
        <v>478</v>
      </c>
      <c r="R74" s="257" t="s">
        <v>479</v>
      </c>
      <c r="S74" s="260">
        <v>6</v>
      </c>
      <c r="T74" s="259">
        <f t="shared" si="6"/>
        <v>82.5</v>
      </c>
      <c r="U74" s="273">
        <f t="shared" si="9"/>
        <v>495</v>
      </c>
    </row>
    <row r="75" spans="1:21" s="257" customFormat="1">
      <c r="B75" s="260">
        <v>41</v>
      </c>
      <c r="C75" s="257" t="s">
        <v>480</v>
      </c>
      <c r="D75" s="257" t="s">
        <v>481</v>
      </c>
      <c r="E75" s="260">
        <v>20</v>
      </c>
      <c r="F75" s="259">
        <f>$F160*$F$2</f>
        <v>46.25</v>
      </c>
      <c r="G75" s="273">
        <f t="shared" si="4"/>
        <v>925</v>
      </c>
      <c r="H75" s="260">
        <v>606420</v>
      </c>
      <c r="I75" s="260" t="s">
        <v>349</v>
      </c>
      <c r="K75" s="257" t="s">
        <v>480</v>
      </c>
      <c r="L75" s="257" t="s">
        <v>481</v>
      </c>
      <c r="M75" s="260">
        <v>28</v>
      </c>
      <c r="N75" s="259">
        <f t="shared" si="12"/>
        <v>46.25</v>
      </c>
      <c r="O75" s="273">
        <f t="shared" si="8"/>
        <v>1295</v>
      </c>
      <c r="Q75" s="257" t="s">
        <v>480</v>
      </c>
      <c r="R75" s="257" t="s">
        <v>481</v>
      </c>
      <c r="S75" s="260">
        <v>6</v>
      </c>
      <c r="T75" s="259">
        <f t="shared" si="6"/>
        <v>46.25</v>
      </c>
      <c r="U75" s="273">
        <f t="shared" si="9"/>
        <v>277.5</v>
      </c>
    </row>
    <row r="76" spans="1:21" s="257" customFormat="1" ht="15.75" thickBot="1">
      <c r="A76" s="262"/>
      <c r="B76" s="260">
        <v>42</v>
      </c>
      <c r="C76" s="274" t="s">
        <v>482</v>
      </c>
      <c r="D76" s="274" t="s">
        <v>483</v>
      </c>
      <c r="E76" s="260"/>
      <c r="F76" s="259"/>
      <c r="G76" s="273"/>
      <c r="H76" s="260"/>
      <c r="I76" s="260"/>
      <c r="K76" s="274" t="s">
        <v>482</v>
      </c>
      <c r="L76" s="274" t="s">
        <v>483</v>
      </c>
      <c r="M76" s="260"/>
      <c r="N76" s="259"/>
      <c r="O76" s="273"/>
      <c r="Q76" s="274" t="s">
        <v>482</v>
      </c>
      <c r="R76" s="274" t="s">
        <v>483</v>
      </c>
      <c r="S76" s="260"/>
      <c r="T76" s="259"/>
      <c r="U76" s="273"/>
    </row>
    <row r="77" spans="1:21" s="262" customFormat="1" ht="15.75" thickTop="1">
      <c r="B77" s="260">
        <v>43</v>
      </c>
      <c r="C77" s="257" t="s">
        <v>484</v>
      </c>
      <c r="D77" s="257" t="s">
        <v>485</v>
      </c>
      <c r="E77" s="260">
        <v>2</v>
      </c>
      <c r="F77" s="259">
        <f>$F162*$F$2</f>
        <v>868.75</v>
      </c>
      <c r="G77" s="273">
        <f t="shared" ref="G77:G85" si="15">$G162*$F$2</f>
        <v>1737.5</v>
      </c>
      <c r="H77" s="260">
        <v>606708</v>
      </c>
      <c r="I77" s="260" t="s">
        <v>342</v>
      </c>
      <c r="K77" s="257" t="s">
        <v>484</v>
      </c>
      <c r="L77" s="257" t="s">
        <v>485</v>
      </c>
      <c r="M77" s="260">
        <v>0</v>
      </c>
      <c r="N77" s="259">
        <f>$F162*$F$2</f>
        <v>868.75</v>
      </c>
      <c r="O77" s="273">
        <f t="shared" si="8"/>
        <v>0</v>
      </c>
      <c r="Q77" s="257" t="s">
        <v>484</v>
      </c>
      <c r="R77" s="257" t="s">
        <v>485</v>
      </c>
      <c r="S77" s="260">
        <v>0</v>
      </c>
      <c r="T77" s="259">
        <f>$F162*$F$2</f>
        <v>868.75</v>
      </c>
      <c r="U77" s="273">
        <f t="shared" ref="U77:U78" si="16">T77*S77</f>
        <v>0</v>
      </c>
    </row>
    <row r="78" spans="1:21" s="262" customFormat="1">
      <c r="B78" s="260">
        <v>44</v>
      </c>
      <c r="C78" s="257" t="s">
        <v>486</v>
      </c>
      <c r="D78" s="257" t="s">
        <v>487</v>
      </c>
      <c r="E78" s="260">
        <v>1</v>
      </c>
      <c r="F78" s="259"/>
      <c r="G78" s="273">
        <f t="shared" si="15"/>
        <v>781.25</v>
      </c>
      <c r="H78" s="260">
        <v>606708</v>
      </c>
      <c r="I78" s="260" t="s">
        <v>342</v>
      </c>
      <c r="K78" s="257" t="s">
        <v>486</v>
      </c>
      <c r="L78" s="257" t="s">
        <v>487</v>
      </c>
      <c r="M78" s="260">
        <v>0</v>
      </c>
      <c r="N78" s="259"/>
      <c r="O78" s="273">
        <f t="shared" si="8"/>
        <v>0</v>
      </c>
      <c r="Q78" s="257" t="s">
        <v>486</v>
      </c>
      <c r="R78" s="257" t="s">
        <v>487</v>
      </c>
      <c r="S78" s="260">
        <v>0</v>
      </c>
      <c r="T78" s="259"/>
      <c r="U78" s="273">
        <f t="shared" si="16"/>
        <v>0</v>
      </c>
    </row>
    <row r="79" spans="1:21" s="262" customFormat="1">
      <c r="B79" s="260">
        <v>45</v>
      </c>
      <c r="C79" s="257" t="s">
        <v>488</v>
      </c>
      <c r="D79" s="257" t="s">
        <v>489</v>
      </c>
      <c r="E79" s="260" t="s">
        <v>490</v>
      </c>
      <c r="F79" s="259"/>
      <c r="G79" s="273">
        <f t="shared" si="15"/>
        <v>6.75</v>
      </c>
      <c r="H79" s="260" t="s">
        <v>491</v>
      </c>
      <c r="I79" s="260" t="s">
        <v>372</v>
      </c>
      <c r="K79" s="257" t="s">
        <v>488</v>
      </c>
      <c r="L79" s="257" t="s">
        <v>489</v>
      </c>
      <c r="M79" s="260" t="s">
        <v>490</v>
      </c>
      <c r="N79" s="259"/>
      <c r="O79" s="273">
        <f>$G164*$F$2</f>
        <v>6.75</v>
      </c>
      <c r="Q79" s="257" t="s">
        <v>488</v>
      </c>
      <c r="R79" s="257" t="s">
        <v>489</v>
      </c>
      <c r="S79" s="260" t="s">
        <v>490</v>
      </c>
      <c r="T79" s="259"/>
      <c r="U79" s="273">
        <f>$G164*$F$2</f>
        <v>6.75</v>
      </c>
    </row>
    <row r="80" spans="1:21" s="262" customFormat="1">
      <c r="B80" s="260">
        <v>46</v>
      </c>
      <c r="C80" s="257" t="s">
        <v>492</v>
      </c>
      <c r="D80" s="257" t="s">
        <v>493</v>
      </c>
      <c r="E80" s="260">
        <v>2</v>
      </c>
      <c r="F80" s="259"/>
      <c r="G80" s="273">
        <f t="shared" si="15"/>
        <v>16.200000000000003</v>
      </c>
      <c r="H80" s="260" t="s">
        <v>491</v>
      </c>
      <c r="I80" s="260" t="s">
        <v>372</v>
      </c>
      <c r="K80" s="257" t="s">
        <v>492</v>
      </c>
      <c r="L80" s="257" t="s">
        <v>493</v>
      </c>
      <c r="M80" s="260">
        <v>0</v>
      </c>
      <c r="N80" s="259"/>
      <c r="O80" s="273">
        <f t="shared" si="8"/>
        <v>0</v>
      </c>
      <c r="Q80" s="257" t="s">
        <v>492</v>
      </c>
      <c r="R80" s="257" t="s">
        <v>493</v>
      </c>
      <c r="S80" s="260">
        <v>0</v>
      </c>
      <c r="T80" s="259"/>
      <c r="U80" s="273">
        <f t="shared" ref="U80:U84" si="17">T80*S80</f>
        <v>0</v>
      </c>
    </row>
    <row r="81" spans="1:21" s="262" customFormat="1">
      <c r="B81" s="260">
        <v>47</v>
      </c>
      <c r="C81" s="257" t="s">
        <v>494</v>
      </c>
      <c r="D81" s="257" t="s">
        <v>495</v>
      </c>
      <c r="E81" s="260">
        <v>2</v>
      </c>
      <c r="F81" s="259"/>
      <c r="G81" s="273">
        <f t="shared" si="15"/>
        <v>821.25</v>
      </c>
      <c r="H81" s="260" t="s">
        <v>496</v>
      </c>
      <c r="I81" s="260" t="s">
        <v>355</v>
      </c>
      <c r="K81" s="257" t="s">
        <v>494</v>
      </c>
      <c r="L81" s="257" t="s">
        <v>495</v>
      </c>
      <c r="M81" s="260">
        <v>0</v>
      </c>
      <c r="N81" s="259"/>
      <c r="O81" s="273">
        <f t="shared" si="8"/>
        <v>0</v>
      </c>
      <c r="Q81" s="257" t="s">
        <v>494</v>
      </c>
      <c r="R81" s="257" t="s">
        <v>495</v>
      </c>
      <c r="S81" s="260">
        <v>0</v>
      </c>
      <c r="T81" s="259"/>
      <c r="U81" s="273">
        <f t="shared" si="17"/>
        <v>0</v>
      </c>
    </row>
    <row r="82" spans="1:21" s="262" customFormat="1">
      <c r="A82" s="257"/>
      <c r="B82" s="260">
        <v>48</v>
      </c>
      <c r="C82" s="257" t="s">
        <v>497</v>
      </c>
      <c r="D82" s="257" t="s">
        <v>498</v>
      </c>
      <c r="E82" s="260">
        <v>4</v>
      </c>
      <c r="F82" s="259">
        <f>$F167*$F$2</f>
        <v>167.75</v>
      </c>
      <c r="G82" s="273">
        <f t="shared" si="15"/>
        <v>671</v>
      </c>
      <c r="H82" s="260" t="s">
        <v>499</v>
      </c>
      <c r="I82" s="260" t="s">
        <v>500</v>
      </c>
      <c r="K82" s="257" t="s">
        <v>497</v>
      </c>
      <c r="L82" s="257" t="s">
        <v>498</v>
      </c>
      <c r="M82" s="260">
        <v>0</v>
      </c>
      <c r="N82" s="259">
        <f>$F167*$F$2</f>
        <v>167.75</v>
      </c>
      <c r="O82" s="273">
        <f t="shared" si="8"/>
        <v>0</v>
      </c>
      <c r="Q82" s="257" t="s">
        <v>497</v>
      </c>
      <c r="R82" s="257" t="s">
        <v>498</v>
      </c>
      <c r="S82" s="260">
        <v>0</v>
      </c>
      <c r="T82" s="259">
        <f>$F167*$F$2</f>
        <v>167.75</v>
      </c>
      <c r="U82" s="273">
        <f t="shared" si="17"/>
        <v>0</v>
      </c>
    </row>
    <row r="83" spans="1:21" s="257" customFormat="1">
      <c r="B83" s="260">
        <v>49</v>
      </c>
      <c r="C83" s="257" t="s">
        <v>501</v>
      </c>
      <c r="D83" s="257" t="s">
        <v>502</v>
      </c>
      <c r="E83" s="260">
        <v>4</v>
      </c>
      <c r="F83" s="259">
        <f>$F168*$F$2</f>
        <v>13.0375</v>
      </c>
      <c r="G83" s="273">
        <f t="shared" si="15"/>
        <v>52.15</v>
      </c>
      <c r="H83" s="260" t="s">
        <v>499</v>
      </c>
      <c r="I83" s="260" t="s">
        <v>500</v>
      </c>
      <c r="K83" s="257" t="s">
        <v>501</v>
      </c>
      <c r="L83" s="257" t="s">
        <v>502</v>
      </c>
      <c r="M83" s="260">
        <v>0</v>
      </c>
      <c r="N83" s="259">
        <f>$F168*$F$2</f>
        <v>13.0375</v>
      </c>
      <c r="O83" s="273">
        <f t="shared" si="8"/>
        <v>0</v>
      </c>
      <c r="Q83" s="257" t="s">
        <v>501</v>
      </c>
      <c r="R83" s="257" t="s">
        <v>502</v>
      </c>
      <c r="S83" s="260">
        <v>0</v>
      </c>
      <c r="T83" s="259">
        <f>$F168*$F$2</f>
        <v>13.0375</v>
      </c>
      <c r="U83" s="273">
        <f t="shared" si="17"/>
        <v>0</v>
      </c>
    </row>
    <row r="84" spans="1:21" s="257" customFormat="1">
      <c r="B84" s="260">
        <v>50</v>
      </c>
      <c r="C84" s="257" t="s">
        <v>503</v>
      </c>
      <c r="D84" s="257" t="s">
        <v>504</v>
      </c>
      <c r="E84" s="260">
        <v>2</v>
      </c>
      <c r="F84" s="259">
        <f>$F169*$F$2</f>
        <v>15.725</v>
      </c>
      <c r="G84" s="273">
        <f t="shared" si="15"/>
        <v>15.725</v>
      </c>
      <c r="H84" s="260" t="s">
        <v>499</v>
      </c>
      <c r="I84" s="260" t="s">
        <v>500</v>
      </c>
      <c r="K84" s="257" t="s">
        <v>503</v>
      </c>
      <c r="L84" s="257" t="s">
        <v>504</v>
      </c>
      <c r="M84" s="260">
        <v>0</v>
      </c>
      <c r="N84" s="259">
        <f>$F169*$F$2</f>
        <v>15.725</v>
      </c>
      <c r="O84" s="273">
        <f t="shared" si="8"/>
        <v>0</v>
      </c>
      <c r="Q84" s="257" t="s">
        <v>503</v>
      </c>
      <c r="R84" s="257" t="s">
        <v>504</v>
      </c>
      <c r="S84" s="260">
        <v>0</v>
      </c>
      <c r="T84" s="259">
        <f>$F169*$F$2</f>
        <v>15.725</v>
      </c>
      <c r="U84" s="273">
        <f t="shared" si="17"/>
        <v>0</v>
      </c>
    </row>
    <row r="85" spans="1:21" s="257" customFormat="1" ht="15.75" thickBot="1">
      <c r="A85" s="262"/>
      <c r="B85" s="260">
        <v>51</v>
      </c>
      <c r="C85" s="257" t="s">
        <v>505</v>
      </c>
      <c r="D85" s="274" t="s">
        <v>506</v>
      </c>
      <c r="E85" s="260" t="s">
        <v>507</v>
      </c>
      <c r="F85" s="259"/>
      <c r="G85" s="273">
        <f t="shared" si="15"/>
        <v>666.5</v>
      </c>
      <c r="H85" s="260" t="s">
        <v>508</v>
      </c>
      <c r="I85" s="260" t="s">
        <v>372</v>
      </c>
      <c r="K85" s="257" t="s">
        <v>505</v>
      </c>
      <c r="L85" s="274" t="s">
        <v>506</v>
      </c>
      <c r="M85" s="260" t="s">
        <v>507</v>
      </c>
      <c r="N85" s="259"/>
      <c r="O85" s="273">
        <f>$G170*$F$2</f>
        <v>666.5</v>
      </c>
      <c r="Q85" s="257" t="s">
        <v>505</v>
      </c>
      <c r="R85" s="274" t="s">
        <v>506</v>
      </c>
      <c r="S85" s="260" t="s">
        <v>507</v>
      </c>
      <c r="T85" s="259"/>
      <c r="U85" s="273">
        <f>$G170*$F$2</f>
        <v>666.5</v>
      </c>
    </row>
    <row r="86" spans="1:21" s="262" customFormat="1" ht="15.75" thickTop="1">
      <c r="B86" s="260">
        <v>52</v>
      </c>
      <c r="C86" s="257" t="s">
        <v>509</v>
      </c>
      <c r="D86" s="257" t="s">
        <v>510</v>
      </c>
      <c r="E86" s="260">
        <v>6</v>
      </c>
      <c r="F86" s="259">
        <f>$F172*$F$2</f>
        <v>581.25</v>
      </c>
      <c r="G86" s="273">
        <f>$G172*$F$2</f>
        <v>3487.5</v>
      </c>
      <c r="H86" s="260">
        <v>606110</v>
      </c>
      <c r="I86" s="260" t="s">
        <v>342</v>
      </c>
      <c r="K86" s="257" t="s">
        <v>509</v>
      </c>
      <c r="L86" s="257" t="s">
        <v>510</v>
      </c>
      <c r="M86" s="260">
        <v>0</v>
      </c>
      <c r="N86" s="259">
        <f>$F172*$F$2</f>
        <v>581.25</v>
      </c>
      <c r="O86" s="273">
        <f t="shared" si="8"/>
        <v>0</v>
      </c>
      <c r="Q86" s="257" t="s">
        <v>509</v>
      </c>
      <c r="R86" s="257" t="s">
        <v>510</v>
      </c>
      <c r="S86" s="260">
        <v>0</v>
      </c>
      <c r="T86" s="259">
        <f>$F172*$F$2</f>
        <v>581.25</v>
      </c>
      <c r="U86" s="273">
        <f t="shared" ref="U86:U87" si="18">T86*S86</f>
        <v>0</v>
      </c>
    </row>
    <row r="87" spans="1:21" s="262" customFormat="1">
      <c r="C87" s="257"/>
      <c r="D87" s="213" t="s">
        <v>511</v>
      </c>
      <c r="E87" s="275">
        <v>2</v>
      </c>
      <c r="F87" s="259">
        <v>1100</v>
      </c>
      <c r="G87" s="273">
        <f>F87*E87</f>
        <v>2200</v>
      </c>
      <c r="H87" s="260"/>
      <c r="I87" s="260"/>
      <c r="K87" s="257"/>
      <c r="L87" s="213" t="s">
        <v>511</v>
      </c>
      <c r="M87" s="275">
        <v>0</v>
      </c>
      <c r="N87" s="259">
        <v>1100</v>
      </c>
      <c r="O87" s="273">
        <f t="shared" si="8"/>
        <v>0</v>
      </c>
      <c r="Q87" s="257"/>
      <c r="R87" s="213" t="s">
        <v>511</v>
      </c>
      <c r="S87" s="275">
        <v>0</v>
      </c>
      <c r="T87" s="259">
        <v>1100</v>
      </c>
      <c r="U87" s="273">
        <f t="shared" si="18"/>
        <v>0</v>
      </c>
    </row>
    <row r="88" spans="1:21" s="262" customFormat="1">
      <c r="A88"/>
      <c r="B88"/>
      <c r="C88"/>
      <c r="D88"/>
      <c r="E88" s="46"/>
      <c r="F88" s="222"/>
      <c r="G88" s="265">
        <f>SUM(G35:G87)</f>
        <v>127610.825</v>
      </c>
      <c r="H88" s="46"/>
      <c r="I88" s="46"/>
      <c r="O88" s="265">
        <f>SUM(O35:O87)</f>
        <v>178221.04356060608</v>
      </c>
      <c r="U88" s="265">
        <f>SUM(U35:U87)</f>
        <v>35926.905303030297</v>
      </c>
    </row>
    <row r="89" spans="1:21" s="262" customFormat="1">
      <c r="A89"/>
      <c r="B89"/>
      <c r="C89"/>
      <c r="D89"/>
      <c r="E89" s="46"/>
      <c r="F89" s="222"/>
      <c r="G89" s="265"/>
      <c r="H89" s="46"/>
      <c r="I89" s="46"/>
      <c r="K89" s="257"/>
      <c r="L89" s="257"/>
      <c r="M89" s="260"/>
      <c r="N89" s="259"/>
      <c r="O89" s="273"/>
      <c r="Q89" s="257"/>
      <c r="R89" s="257"/>
      <c r="S89" s="260"/>
      <c r="T89" s="259"/>
      <c r="U89" s="273"/>
    </row>
    <row r="90" spans="1:21" s="262" customFormat="1">
      <c r="A90"/>
      <c r="B90"/>
      <c r="C90" s="266" t="s">
        <v>384</v>
      </c>
      <c r="D90" s="45" t="s">
        <v>385</v>
      </c>
      <c r="E90" s="45" t="s">
        <v>386</v>
      </c>
      <c r="F90" s="45" t="s">
        <v>387</v>
      </c>
      <c r="G90" s="45"/>
      <c r="H90" s="45"/>
      <c r="I90"/>
      <c r="J90" s="258"/>
      <c r="K90" s="266" t="s">
        <v>384</v>
      </c>
      <c r="L90" s="45" t="s">
        <v>385</v>
      </c>
      <c r="M90" s="45" t="s">
        <v>386</v>
      </c>
      <c r="N90" s="45" t="s">
        <v>387</v>
      </c>
      <c r="O90" s="45"/>
      <c r="Q90" s="266" t="s">
        <v>384</v>
      </c>
      <c r="R90" s="45" t="s">
        <v>385</v>
      </c>
      <c r="S90" s="45" t="s">
        <v>386</v>
      </c>
      <c r="T90" s="45" t="s">
        <v>387</v>
      </c>
      <c r="U90" s="45"/>
    </row>
    <row r="91" spans="1:21" s="262" customFormat="1">
      <c r="A91"/>
      <c r="B91"/>
      <c r="C91" s="166" t="s">
        <v>391</v>
      </c>
      <c r="D91" s="258">
        <v>1</v>
      </c>
      <c r="E91" s="266">
        <v>108</v>
      </c>
      <c r="F91" s="258">
        <f>8*45</f>
        <v>360</v>
      </c>
      <c r="G91" s="276">
        <f>E91*F91</f>
        <v>38880</v>
      </c>
      <c r="H91" s="276"/>
      <c r="J91" s="258"/>
      <c r="K91" s="166" t="s">
        <v>391</v>
      </c>
      <c r="L91" s="258">
        <v>1</v>
      </c>
      <c r="M91" s="266">
        <v>108</v>
      </c>
      <c r="N91" s="258">
        <f>8*42</f>
        <v>336</v>
      </c>
      <c r="O91" s="276">
        <f>M91*N91</f>
        <v>36288</v>
      </c>
      <c r="Q91" s="166" t="s">
        <v>391</v>
      </c>
      <c r="R91" s="258">
        <v>1</v>
      </c>
      <c r="S91" s="266">
        <v>108</v>
      </c>
      <c r="T91" s="258">
        <f>8*21</f>
        <v>168</v>
      </c>
      <c r="U91" s="276">
        <f>S91*T91</f>
        <v>18144</v>
      </c>
    </row>
    <row r="92" spans="1:21">
      <c r="E92" s="46"/>
      <c r="F92" s="222"/>
      <c r="G92" s="265"/>
      <c r="H92" s="46"/>
      <c r="I92" s="46"/>
      <c r="P92"/>
      <c r="Q92"/>
    </row>
    <row r="93" spans="1:21">
      <c r="G93" s="277"/>
      <c r="K93" s="46"/>
      <c r="M93"/>
      <c r="N93"/>
      <c r="O93" s="277"/>
      <c r="P93"/>
      <c r="Q93"/>
      <c r="U93" s="277"/>
    </row>
    <row r="94" spans="1:21" ht="15.75" thickBot="1">
      <c r="K94" s="46"/>
      <c r="M94"/>
      <c r="N94"/>
      <c r="O94"/>
      <c r="P94"/>
      <c r="Q94"/>
    </row>
    <row r="95" spans="1:21">
      <c r="B95" s="224"/>
      <c r="C95" s="226"/>
      <c r="D95" s="226"/>
      <c r="E95" s="278"/>
      <c r="F95" s="279"/>
      <c r="G95" s="279"/>
      <c r="H95" s="278"/>
      <c r="I95" s="278"/>
      <c r="J95" s="280"/>
      <c r="K95" s="226"/>
      <c r="L95" s="226"/>
      <c r="M95" s="278"/>
      <c r="N95" s="279"/>
      <c r="O95" s="279"/>
      <c r="P95" s="280"/>
      <c r="Q95" s="278"/>
      <c r="R95" s="226"/>
      <c r="S95" s="226"/>
      <c r="T95" s="226"/>
      <c r="U95" s="227"/>
    </row>
    <row r="96" spans="1:21" ht="18.75">
      <c r="B96" s="228"/>
      <c r="C96" s="281" t="s">
        <v>512</v>
      </c>
      <c r="E96" s="46"/>
      <c r="F96" s="222"/>
      <c r="G96" s="222"/>
      <c r="H96" s="46"/>
      <c r="I96" s="46"/>
      <c r="J96" s="282"/>
      <c r="U96" s="231"/>
    </row>
    <row r="97" spans="2:21" ht="15.75">
      <c r="B97" s="228"/>
      <c r="C97" s="163" t="s">
        <v>263</v>
      </c>
      <c r="E97" s="46"/>
      <c r="F97" s="222"/>
      <c r="G97" s="222"/>
      <c r="H97" s="46"/>
      <c r="I97" s="46"/>
      <c r="J97" s="282"/>
      <c r="U97" s="231"/>
    </row>
    <row r="98" spans="2:21">
      <c r="B98" s="284"/>
      <c r="C98" s="254" t="s">
        <v>335</v>
      </c>
      <c r="D98" s="254" t="s">
        <v>173</v>
      </c>
      <c r="E98" s="254" t="s">
        <v>15</v>
      </c>
      <c r="F98" s="255" t="s">
        <v>336</v>
      </c>
      <c r="G98" s="255" t="s">
        <v>337</v>
      </c>
      <c r="H98" s="254" t="s">
        <v>338</v>
      </c>
      <c r="I98" s="254" t="s">
        <v>339</v>
      </c>
      <c r="J98" s="285"/>
      <c r="U98" s="231"/>
    </row>
    <row r="99" spans="2:21">
      <c r="B99" s="228"/>
      <c r="C99" s="257" t="s">
        <v>340</v>
      </c>
      <c r="D99" s="166" t="s">
        <v>341</v>
      </c>
      <c r="E99" s="258">
        <v>2</v>
      </c>
      <c r="F99" s="259">
        <v>2495</v>
      </c>
      <c r="G99" s="259">
        <v>4990</v>
      </c>
      <c r="H99" s="258">
        <v>602597</v>
      </c>
      <c r="I99" s="258" t="s">
        <v>342</v>
      </c>
      <c r="J99" s="282"/>
      <c r="U99" s="231"/>
    </row>
    <row r="100" spans="2:21">
      <c r="B100" s="286"/>
      <c r="C100" s="257" t="s">
        <v>343</v>
      </c>
      <c r="D100" s="257" t="s">
        <v>344</v>
      </c>
      <c r="E100" s="260">
        <v>5600</v>
      </c>
      <c r="F100" s="273">
        <v>4.49</v>
      </c>
      <c r="G100" s="273">
        <v>25144</v>
      </c>
      <c r="H100" s="260">
        <v>603978</v>
      </c>
      <c r="I100" s="260" t="s">
        <v>345</v>
      </c>
      <c r="J100" s="287"/>
      <c r="U100" s="231"/>
    </row>
    <row r="101" spans="2:21">
      <c r="B101" s="228"/>
      <c r="C101" s="166"/>
      <c r="D101" s="166" t="s">
        <v>346</v>
      </c>
      <c r="E101" s="258">
        <v>1</v>
      </c>
      <c r="F101" s="259"/>
      <c r="G101" s="259">
        <v>31250</v>
      </c>
      <c r="H101" s="258">
        <v>603978</v>
      </c>
      <c r="I101" s="258" t="s">
        <v>345</v>
      </c>
      <c r="J101" s="282"/>
      <c r="U101" s="231"/>
    </row>
    <row r="102" spans="2:21">
      <c r="B102" s="228"/>
      <c r="C102" s="166" t="s">
        <v>347</v>
      </c>
      <c r="D102" s="166" t="s">
        <v>348</v>
      </c>
      <c r="E102" s="258">
        <v>8</v>
      </c>
      <c r="F102" s="259">
        <v>38</v>
      </c>
      <c r="G102" s="259">
        <v>304</v>
      </c>
      <c r="H102" s="258">
        <v>602129</v>
      </c>
      <c r="I102" s="258" t="s">
        <v>349</v>
      </c>
      <c r="J102" s="282"/>
      <c r="U102" s="231"/>
    </row>
    <row r="103" spans="2:21">
      <c r="B103" s="228"/>
      <c r="C103" s="166" t="s">
        <v>350</v>
      </c>
      <c r="D103" s="166" t="s">
        <v>351</v>
      </c>
      <c r="E103" s="258">
        <v>8</v>
      </c>
      <c r="F103" s="259">
        <v>86</v>
      </c>
      <c r="G103" s="259">
        <v>688</v>
      </c>
      <c r="H103" s="258">
        <v>602129</v>
      </c>
      <c r="I103" s="258" t="s">
        <v>349</v>
      </c>
      <c r="J103" s="282"/>
      <c r="U103" s="231"/>
    </row>
    <row r="104" spans="2:21">
      <c r="B104" s="286"/>
      <c r="C104" s="257" t="s">
        <v>352</v>
      </c>
      <c r="D104" s="257" t="s">
        <v>353</v>
      </c>
      <c r="E104" s="260">
        <v>3</v>
      </c>
      <c r="F104" s="273"/>
      <c r="G104" s="273">
        <v>876</v>
      </c>
      <c r="H104" s="260" t="s">
        <v>354</v>
      </c>
      <c r="I104" s="260" t="s">
        <v>355</v>
      </c>
      <c r="J104" s="287"/>
      <c r="U104" s="231"/>
    </row>
    <row r="105" spans="2:21">
      <c r="B105" s="286"/>
      <c r="C105" s="257" t="s">
        <v>356</v>
      </c>
      <c r="D105" s="257" t="s">
        <v>357</v>
      </c>
      <c r="E105" s="260">
        <v>2</v>
      </c>
      <c r="F105" s="273">
        <v>170</v>
      </c>
      <c r="G105" s="273">
        <v>340</v>
      </c>
      <c r="H105" s="260">
        <v>605430</v>
      </c>
      <c r="I105" s="261" t="s">
        <v>349</v>
      </c>
      <c r="J105" s="287"/>
      <c r="U105" s="231"/>
    </row>
    <row r="106" spans="2:21">
      <c r="B106" s="286"/>
      <c r="C106" s="257" t="s">
        <v>358</v>
      </c>
      <c r="D106" s="257" t="s">
        <v>359</v>
      </c>
      <c r="E106" s="260">
        <v>2</v>
      </c>
      <c r="F106" s="273">
        <v>124</v>
      </c>
      <c r="G106" s="273">
        <v>248</v>
      </c>
      <c r="H106" s="260">
        <v>605430</v>
      </c>
      <c r="I106" s="261" t="s">
        <v>349</v>
      </c>
      <c r="J106" s="287"/>
      <c r="U106" s="231"/>
    </row>
    <row r="107" spans="2:21">
      <c r="B107" s="286"/>
      <c r="C107" s="257" t="s">
        <v>360</v>
      </c>
      <c r="D107" s="257" t="s">
        <v>361</v>
      </c>
      <c r="E107" s="260">
        <v>2</v>
      </c>
      <c r="F107" s="273">
        <v>203</v>
      </c>
      <c r="G107" s="273">
        <v>406</v>
      </c>
      <c r="H107" s="260">
        <v>605430</v>
      </c>
      <c r="I107" s="261" t="s">
        <v>349</v>
      </c>
      <c r="J107" s="287"/>
      <c r="U107" s="231"/>
    </row>
    <row r="108" spans="2:21">
      <c r="B108" s="286"/>
      <c r="C108" s="257" t="s">
        <v>362</v>
      </c>
      <c r="D108" s="257" t="s">
        <v>363</v>
      </c>
      <c r="E108" s="260">
        <v>2</v>
      </c>
      <c r="F108" s="273">
        <v>127</v>
      </c>
      <c r="G108" s="273">
        <v>254</v>
      </c>
      <c r="H108" s="260">
        <v>605430</v>
      </c>
      <c r="I108" s="261" t="s">
        <v>349</v>
      </c>
      <c r="J108" s="287"/>
      <c r="U108" s="231"/>
    </row>
    <row r="109" spans="2:21">
      <c r="B109" s="286"/>
      <c r="C109" s="257" t="s">
        <v>364</v>
      </c>
      <c r="D109" s="257" t="s">
        <v>365</v>
      </c>
      <c r="E109" s="260">
        <v>2</v>
      </c>
      <c r="F109" s="273">
        <v>98</v>
      </c>
      <c r="G109" s="273">
        <v>196</v>
      </c>
      <c r="H109" s="260">
        <v>605430</v>
      </c>
      <c r="I109" s="261" t="s">
        <v>349</v>
      </c>
      <c r="J109" s="287"/>
      <c r="U109" s="231"/>
    </row>
    <row r="110" spans="2:21">
      <c r="B110" s="286"/>
      <c r="C110" s="257" t="s">
        <v>366</v>
      </c>
      <c r="D110" s="257" t="s">
        <v>367</v>
      </c>
      <c r="E110" s="260">
        <v>2</v>
      </c>
      <c r="F110" s="273">
        <v>66</v>
      </c>
      <c r="G110" s="273">
        <v>132</v>
      </c>
      <c r="H110" s="260">
        <v>605430</v>
      </c>
      <c r="I110" s="261" t="s">
        <v>349</v>
      </c>
      <c r="J110" s="287"/>
      <c r="U110" s="231"/>
    </row>
    <row r="111" spans="2:21">
      <c r="B111" s="286"/>
      <c r="C111" s="257" t="s">
        <v>368</v>
      </c>
      <c r="D111" s="257" t="s">
        <v>369</v>
      </c>
      <c r="E111" s="260" t="s">
        <v>370</v>
      </c>
      <c r="F111" s="273"/>
      <c r="G111" s="273">
        <v>90.75</v>
      </c>
      <c r="H111" s="260" t="s">
        <v>371</v>
      </c>
      <c r="I111" s="260" t="s">
        <v>372</v>
      </c>
      <c r="J111" s="287"/>
      <c r="U111" s="231"/>
    </row>
    <row r="112" spans="2:21">
      <c r="B112" s="288"/>
      <c r="C112" s="257" t="s">
        <v>373</v>
      </c>
      <c r="D112" s="257" t="s">
        <v>374</v>
      </c>
      <c r="E112" s="260">
        <v>6</v>
      </c>
      <c r="F112" s="273">
        <v>36.47</v>
      </c>
      <c r="G112" s="273">
        <v>218.82</v>
      </c>
      <c r="H112" s="260" t="s">
        <v>375</v>
      </c>
      <c r="I112" s="260" t="s">
        <v>376</v>
      </c>
      <c r="J112" s="285"/>
      <c r="U112" s="231"/>
    </row>
    <row r="113" spans="2:21">
      <c r="B113" s="286"/>
      <c r="C113" s="257" t="s">
        <v>368</v>
      </c>
      <c r="D113" s="263" t="s">
        <v>377</v>
      </c>
      <c r="E113" s="260" t="s">
        <v>378</v>
      </c>
      <c r="F113" s="273"/>
      <c r="G113" s="273">
        <v>80.75</v>
      </c>
      <c r="H113" s="260" t="s">
        <v>379</v>
      </c>
      <c r="I113" s="260" t="s">
        <v>372</v>
      </c>
      <c r="J113" s="287"/>
      <c r="U113" s="231"/>
    </row>
    <row r="114" spans="2:21">
      <c r="B114" s="228"/>
      <c r="C114" s="166" t="s">
        <v>380</v>
      </c>
      <c r="D114" s="166" t="s">
        <v>381</v>
      </c>
      <c r="E114" s="258">
        <v>18</v>
      </c>
      <c r="F114" s="259">
        <v>19.43</v>
      </c>
      <c r="G114" s="259">
        <v>349.74</v>
      </c>
      <c r="H114" s="258" t="s">
        <v>382</v>
      </c>
      <c r="I114" s="258" t="s">
        <v>372</v>
      </c>
      <c r="J114" s="282"/>
      <c r="U114" s="231"/>
    </row>
    <row r="115" spans="2:21">
      <c r="B115" s="228"/>
      <c r="C115" s="166"/>
      <c r="D115" s="166" t="s">
        <v>383</v>
      </c>
      <c r="E115" s="258">
        <v>1</v>
      </c>
      <c r="F115" s="259">
        <f>350+1241</f>
        <v>1591</v>
      </c>
      <c r="G115" s="259">
        <f>F115*E115</f>
        <v>1591</v>
      </c>
      <c r="H115" s="258"/>
      <c r="I115" s="258"/>
      <c r="J115" s="282"/>
      <c r="U115" s="231"/>
    </row>
    <row r="116" spans="2:21">
      <c r="B116" s="228"/>
      <c r="C116" s="166"/>
      <c r="D116" s="166"/>
      <c r="E116" s="258"/>
      <c r="F116" s="259"/>
      <c r="G116" s="221">
        <f>SUM(G99:G115)</f>
        <v>67159.06</v>
      </c>
      <c r="H116" s="258"/>
      <c r="I116" s="258"/>
      <c r="J116" s="282"/>
      <c r="U116" s="231"/>
    </row>
    <row r="117" spans="2:21" ht="15.75">
      <c r="B117" s="228"/>
      <c r="C117" s="163" t="s">
        <v>394</v>
      </c>
      <c r="D117" s="166"/>
      <c r="E117" s="258"/>
      <c r="F117" s="259"/>
      <c r="G117" s="259"/>
      <c r="H117" s="258"/>
      <c r="I117" s="258"/>
      <c r="J117" s="282"/>
      <c r="U117" s="231"/>
    </row>
    <row r="118" spans="2:21">
      <c r="B118" s="289"/>
      <c r="C118" s="272" t="s">
        <v>395</v>
      </c>
      <c r="D118" s="272" t="s">
        <v>396</v>
      </c>
      <c r="E118" s="260">
        <v>4</v>
      </c>
      <c r="F118" s="273"/>
      <c r="G118" s="273">
        <v>657</v>
      </c>
      <c r="H118" s="260" t="s">
        <v>397</v>
      </c>
      <c r="I118" s="260" t="s">
        <v>355</v>
      </c>
      <c r="J118" s="287"/>
      <c r="U118" s="231"/>
    </row>
    <row r="119" spans="2:21">
      <c r="B119" s="289"/>
      <c r="C119" s="272" t="s">
        <v>398</v>
      </c>
      <c r="D119" s="260" t="s">
        <v>399</v>
      </c>
      <c r="E119" s="260">
        <v>2</v>
      </c>
      <c r="F119" s="273"/>
      <c r="G119" s="273">
        <v>365</v>
      </c>
      <c r="H119" s="260" t="s">
        <v>397</v>
      </c>
      <c r="I119" s="260" t="s">
        <v>355</v>
      </c>
      <c r="J119" s="287"/>
      <c r="U119" s="231"/>
    </row>
    <row r="120" spans="2:21">
      <c r="B120" s="286"/>
      <c r="C120" s="257" t="s">
        <v>513</v>
      </c>
      <c r="D120" s="257" t="s">
        <v>514</v>
      </c>
      <c r="E120" s="260">
        <v>4</v>
      </c>
      <c r="F120" s="273">
        <v>210</v>
      </c>
      <c r="G120" s="273">
        <v>840</v>
      </c>
      <c r="H120" s="260">
        <v>604293</v>
      </c>
      <c r="I120" s="260" t="s">
        <v>515</v>
      </c>
      <c r="J120" s="287"/>
      <c r="U120" s="231"/>
    </row>
    <row r="121" spans="2:21">
      <c r="B121" s="286"/>
      <c r="C121" s="257" t="s">
        <v>516</v>
      </c>
      <c r="D121" s="257" t="s">
        <v>517</v>
      </c>
      <c r="E121" s="260">
        <v>8</v>
      </c>
      <c r="F121" s="273">
        <v>66</v>
      </c>
      <c r="G121" s="273">
        <v>528</v>
      </c>
      <c r="H121" s="260">
        <v>604293</v>
      </c>
      <c r="I121" s="260" t="s">
        <v>515</v>
      </c>
      <c r="J121" s="287"/>
      <c r="U121" s="231"/>
    </row>
    <row r="122" spans="2:21">
      <c r="B122" s="288"/>
      <c r="C122" s="257" t="s">
        <v>400</v>
      </c>
      <c r="D122" s="257" t="s">
        <v>401</v>
      </c>
      <c r="E122" s="260">
        <v>8</v>
      </c>
      <c r="F122" s="273">
        <v>85</v>
      </c>
      <c r="G122" s="273">
        <v>680</v>
      </c>
      <c r="H122" s="260">
        <v>605071</v>
      </c>
      <c r="I122" s="260" t="s">
        <v>342</v>
      </c>
      <c r="J122" s="285"/>
      <c r="U122" s="231"/>
    </row>
    <row r="123" spans="2:21">
      <c r="B123" s="286"/>
      <c r="C123" s="257" t="s">
        <v>402</v>
      </c>
      <c r="D123" s="257" t="s">
        <v>403</v>
      </c>
      <c r="E123" s="260">
        <v>1</v>
      </c>
      <c r="F123" s="273"/>
      <c r="G123" s="273">
        <v>100</v>
      </c>
      <c r="H123" s="260">
        <v>605071</v>
      </c>
      <c r="I123" s="260" t="s">
        <v>342</v>
      </c>
      <c r="J123" s="287"/>
      <c r="U123" s="231"/>
    </row>
    <row r="124" spans="2:21">
      <c r="B124" s="286"/>
      <c r="C124" s="257" t="s">
        <v>404</v>
      </c>
      <c r="D124" s="257" t="s">
        <v>405</v>
      </c>
      <c r="E124" s="260">
        <v>1</v>
      </c>
      <c r="F124" s="273"/>
      <c r="G124" s="273">
        <v>900</v>
      </c>
      <c r="H124" s="260">
        <v>605071</v>
      </c>
      <c r="I124" s="260" t="s">
        <v>342</v>
      </c>
      <c r="J124" s="287"/>
      <c r="U124" s="231"/>
    </row>
    <row r="125" spans="2:21">
      <c r="B125" s="286"/>
      <c r="C125" s="257" t="s">
        <v>406</v>
      </c>
      <c r="D125" s="257" t="s">
        <v>407</v>
      </c>
      <c r="E125" s="260">
        <v>1</v>
      </c>
      <c r="F125" s="273"/>
      <c r="G125" s="273">
        <v>885</v>
      </c>
      <c r="H125" s="260">
        <v>605071</v>
      </c>
      <c r="I125" s="260" t="s">
        <v>342</v>
      </c>
      <c r="J125" s="287"/>
      <c r="U125" s="231"/>
    </row>
    <row r="126" spans="2:21">
      <c r="B126" s="288"/>
      <c r="C126" s="257" t="s">
        <v>408</v>
      </c>
      <c r="D126" s="257" t="s">
        <v>409</v>
      </c>
      <c r="E126" s="260">
        <v>1</v>
      </c>
      <c r="F126" s="273"/>
      <c r="G126" s="273">
        <v>95</v>
      </c>
      <c r="H126" s="260">
        <v>605071</v>
      </c>
      <c r="I126" s="260" t="s">
        <v>342</v>
      </c>
      <c r="J126" s="285"/>
      <c r="U126" s="231"/>
    </row>
    <row r="127" spans="2:21">
      <c r="B127" s="288"/>
      <c r="C127" s="257" t="s">
        <v>410</v>
      </c>
      <c r="D127" s="257" t="s">
        <v>411</v>
      </c>
      <c r="E127" s="260">
        <v>1</v>
      </c>
      <c r="F127" s="273"/>
      <c r="G127" s="273">
        <v>1200</v>
      </c>
      <c r="H127" s="260">
        <v>605071</v>
      </c>
      <c r="I127" s="260" t="s">
        <v>342</v>
      </c>
      <c r="J127" s="285"/>
      <c r="U127" s="231"/>
    </row>
    <row r="128" spans="2:21">
      <c r="B128" s="286"/>
      <c r="C128" s="257" t="s">
        <v>412</v>
      </c>
      <c r="D128" s="257" t="s">
        <v>413</v>
      </c>
      <c r="E128" s="260">
        <v>12</v>
      </c>
      <c r="F128" s="273">
        <v>425</v>
      </c>
      <c r="G128" s="273">
        <v>5100</v>
      </c>
      <c r="H128" s="260">
        <v>605003</v>
      </c>
      <c r="I128" s="260" t="s">
        <v>414</v>
      </c>
      <c r="J128" s="287"/>
      <c r="U128" s="231"/>
    </row>
    <row r="129" spans="2:21">
      <c r="B129" s="286"/>
      <c r="C129" s="257" t="s">
        <v>415</v>
      </c>
      <c r="D129" s="257" t="s">
        <v>416</v>
      </c>
      <c r="E129" s="260">
        <v>56</v>
      </c>
      <c r="F129" s="273">
        <v>190</v>
      </c>
      <c r="G129" s="273">
        <v>10640</v>
      </c>
      <c r="H129" s="260">
        <v>605003</v>
      </c>
      <c r="I129" s="260" t="s">
        <v>414</v>
      </c>
      <c r="J129" s="287"/>
      <c r="U129" s="231"/>
    </row>
    <row r="130" spans="2:21">
      <c r="B130" s="286"/>
      <c r="C130" s="257" t="s">
        <v>417</v>
      </c>
      <c r="D130" s="257" t="s">
        <v>418</v>
      </c>
      <c r="E130" s="260">
        <v>1</v>
      </c>
      <c r="F130" s="273"/>
      <c r="G130" s="273">
        <v>2930</v>
      </c>
      <c r="H130" s="260">
        <v>605035</v>
      </c>
      <c r="I130" s="260" t="s">
        <v>342</v>
      </c>
      <c r="J130" s="287"/>
      <c r="U130" s="231"/>
    </row>
    <row r="131" spans="2:21">
      <c r="B131" s="288"/>
      <c r="C131" s="257" t="s">
        <v>419</v>
      </c>
      <c r="D131" s="257" t="s">
        <v>420</v>
      </c>
      <c r="E131" s="260">
        <v>1</v>
      </c>
      <c r="F131" s="273"/>
      <c r="G131" s="273">
        <v>2575</v>
      </c>
      <c r="H131" s="260">
        <v>605035</v>
      </c>
      <c r="I131" s="260" t="s">
        <v>342</v>
      </c>
      <c r="J131" s="285"/>
      <c r="U131" s="231"/>
    </row>
    <row r="132" spans="2:21">
      <c r="B132" s="286"/>
      <c r="C132" s="257" t="s">
        <v>421</v>
      </c>
      <c r="D132" s="257" t="s">
        <v>422</v>
      </c>
      <c r="E132" s="260">
        <v>1</v>
      </c>
      <c r="F132" s="273"/>
      <c r="G132" s="273">
        <v>2400</v>
      </c>
      <c r="H132" s="260">
        <v>605035</v>
      </c>
      <c r="I132" s="260" t="s">
        <v>342</v>
      </c>
      <c r="J132" s="287"/>
      <c r="U132" s="231"/>
    </row>
    <row r="133" spans="2:21">
      <c r="B133" s="286"/>
      <c r="C133" s="257" t="s">
        <v>423</v>
      </c>
      <c r="D133" s="257" t="s">
        <v>424</v>
      </c>
      <c r="E133" s="260">
        <v>4</v>
      </c>
      <c r="F133" s="273">
        <v>450</v>
      </c>
      <c r="G133" s="273">
        <v>1800</v>
      </c>
      <c r="H133" s="260">
        <v>605003</v>
      </c>
      <c r="I133" s="260" t="s">
        <v>414</v>
      </c>
      <c r="J133" s="287"/>
      <c r="U133" s="231"/>
    </row>
    <row r="134" spans="2:21">
      <c r="B134" s="288"/>
      <c r="C134" s="257" t="s">
        <v>425</v>
      </c>
      <c r="D134" s="257" t="s">
        <v>426</v>
      </c>
      <c r="E134" s="260">
        <v>2</v>
      </c>
      <c r="F134" s="273">
        <v>1075</v>
      </c>
      <c r="G134" s="273">
        <v>2150</v>
      </c>
      <c r="H134" s="260">
        <v>605772</v>
      </c>
      <c r="I134" s="261" t="s">
        <v>427</v>
      </c>
      <c r="J134" s="285"/>
      <c r="U134" s="231"/>
    </row>
    <row r="135" spans="2:21">
      <c r="B135" s="288"/>
      <c r="C135" s="257" t="s">
        <v>428</v>
      </c>
      <c r="D135" s="257" t="s">
        <v>429</v>
      </c>
      <c r="E135" s="260">
        <v>7</v>
      </c>
      <c r="F135" s="273">
        <v>1075</v>
      </c>
      <c r="G135" s="273">
        <v>7525</v>
      </c>
      <c r="H135" s="260">
        <v>605772</v>
      </c>
      <c r="I135" s="261" t="s">
        <v>427</v>
      </c>
      <c r="J135" s="285"/>
      <c r="U135" s="231"/>
    </row>
    <row r="136" spans="2:21">
      <c r="B136" s="288"/>
      <c r="C136" s="257" t="s">
        <v>430</v>
      </c>
      <c r="D136" s="257" t="s">
        <v>431</v>
      </c>
      <c r="E136" s="260">
        <v>1</v>
      </c>
      <c r="F136" s="273"/>
      <c r="G136" s="273">
        <v>1718</v>
      </c>
      <c r="H136" s="260">
        <v>606915</v>
      </c>
      <c r="I136" s="261" t="s">
        <v>427</v>
      </c>
      <c r="J136" s="285"/>
      <c r="U136" s="231"/>
    </row>
    <row r="137" spans="2:21">
      <c r="B137" s="288"/>
      <c r="C137" s="257" t="s">
        <v>432</v>
      </c>
      <c r="D137" s="257" t="s">
        <v>433</v>
      </c>
      <c r="E137" s="260">
        <v>1</v>
      </c>
      <c r="F137" s="273"/>
      <c r="G137" s="273">
        <v>2390</v>
      </c>
      <c r="H137" s="260">
        <v>606915</v>
      </c>
      <c r="I137" s="261" t="s">
        <v>427</v>
      </c>
      <c r="J137" s="285"/>
      <c r="U137" s="231"/>
    </row>
    <row r="138" spans="2:21">
      <c r="B138" s="288"/>
      <c r="C138" s="257" t="s">
        <v>434</v>
      </c>
      <c r="D138" s="257" t="s">
        <v>435</v>
      </c>
      <c r="E138" s="260">
        <v>1</v>
      </c>
      <c r="F138" s="273"/>
      <c r="G138" s="273">
        <v>1766</v>
      </c>
      <c r="H138" s="260">
        <v>606915</v>
      </c>
      <c r="I138" s="261" t="s">
        <v>427</v>
      </c>
      <c r="J138" s="285"/>
      <c r="U138" s="231"/>
    </row>
    <row r="139" spans="2:21">
      <c r="B139" s="288"/>
      <c r="C139" s="257" t="s">
        <v>436</v>
      </c>
      <c r="D139" s="257" t="s">
        <v>437</v>
      </c>
      <c r="E139" s="260">
        <v>1</v>
      </c>
      <c r="F139" s="273"/>
      <c r="G139" s="273">
        <v>2390</v>
      </c>
      <c r="H139" s="260">
        <v>606915</v>
      </c>
      <c r="I139" s="261" t="s">
        <v>427</v>
      </c>
      <c r="J139" s="285"/>
      <c r="U139" s="231"/>
    </row>
    <row r="140" spans="2:21">
      <c r="B140" s="288"/>
      <c r="C140" s="257" t="s">
        <v>438</v>
      </c>
      <c r="D140" s="257" t="s">
        <v>439</v>
      </c>
      <c r="E140" s="260">
        <v>12</v>
      </c>
      <c r="F140" s="273">
        <v>659</v>
      </c>
      <c r="G140" s="273">
        <v>7908</v>
      </c>
      <c r="H140" s="260">
        <v>606915</v>
      </c>
      <c r="I140" s="261" t="s">
        <v>427</v>
      </c>
      <c r="J140" s="285"/>
      <c r="U140" s="231"/>
    </row>
    <row r="141" spans="2:21">
      <c r="B141" s="288"/>
      <c r="C141" s="257" t="s">
        <v>440</v>
      </c>
      <c r="D141" s="257" t="s">
        <v>441</v>
      </c>
      <c r="E141" s="260">
        <v>12</v>
      </c>
      <c r="F141" s="273">
        <v>659</v>
      </c>
      <c r="G141" s="273">
        <v>7908</v>
      </c>
      <c r="H141" s="260">
        <v>606915</v>
      </c>
      <c r="I141" s="261" t="s">
        <v>427</v>
      </c>
      <c r="J141" s="285"/>
      <c r="U141" s="231"/>
    </row>
    <row r="142" spans="2:21">
      <c r="B142" s="288"/>
      <c r="C142" s="257" t="s">
        <v>442</v>
      </c>
      <c r="D142" s="257" t="s">
        <v>443</v>
      </c>
      <c r="E142" s="260">
        <v>24</v>
      </c>
      <c r="F142" s="273">
        <v>614</v>
      </c>
      <c r="G142" s="273">
        <v>14736</v>
      </c>
      <c r="H142" s="260">
        <v>606915</v>
      </c>
      <c r="I142" s="261" t="s">
        <v>427</v>
      </c>
      <c r="J142" s="285"/>
      <c r="U142" s="231"/>
    </row>
    <row r="143" spans="2:21">
      <c r="B143" s="286"/>
      <c r="C143" s="257" t="s">
        <v>444</v>
      </c>
      <c r="D143" s="257" t="s">
        <v>445</v>
      </c>
      <c r="E143" s="260">
        <v>2</v>
      </c>
      <c r="F143" s="273">
        <v>218</v>
      </c>
      <c r="G143" s="273">
        <v>436</v>
      </c>
      <c r="H143" s="260">
        <v>605670</v>
      </c>
      <c r="I143" s="261" t="s">
        <v>349</v>
      </c>
      <c r="J143" s="287"/>
      <c r="U143" s="231"/>
    </row>
    <row r="144" spans="2:21">
      <c r="B144" s="286"/>
      <c r="C144" s="257" t="s">
        <v>446</v>
      </c>
      <c r="D144" s="257" t="s">
        <v>447</v>
      </c>
      <c r="E144" s="260">
        <v>2</v>
      </c>
      <c r="F144" s="273">
        <v>89</v>
      </c>
      <c r="G144" s="273">
        <v>178</v>
      </c>
      <c r="H144" s="260">
        <v>605670</v>
      </c>
      <c r="I144" s="261" t="s">
        <v>349</v>
      </c>
      <c r="J144" s="287"/>
      <c r="U144" s="231"/>
    </row>
    <row r="145" spans="2:21">
      <c r="B145" s="288"/>
      <c r="C145" s="257" t="s">
        <v>448</v>
      </c>
      <c r="D145" s="257" t="s">
        <v>449</v>
      </c>
      <c r="E145" s="260">
        <v>2</v>
      </c>
      <c r="F145" s="273">
        <v>950</v>
      </c>
      <c r="G145" s="273">
        <v>1900</v>
      </c>
      <c r="H145" s="260">
        <v>606709</v>
      </c>
      <c r="I145" s="261" t="s">
        <v>450</v>
      </c>
      <c r="J145" s="285"/>
      <c r="U145" s="231"/>
    </row>
    <row r="146" spans="2:21">
      <c r="B146" s="286"/>
      <c r="C146" s="257" t="s">
        <v>451</v>
      </c>
      <c r="D146" s="257" t="s">
        <v>452</v>
      </c>
      <c r="E146" s="260">
        <v>18</v>
      </c>
      <c r="F146" s="273">
        <v>35</v>
      </c>
      <c r="G146" s="273">
        <v>630</v>
      </c>
      <c r="H146" s="260">
        <v>605670</v>
      </c>
      <c r="I146" s="261" t="s">
        <v>349</v>
      </c>
      <c r="J146" s="287"/>
      <c r="U146" s="231"/>
    </row>
    <row r="147" spans="2:21">
      <c r="B147" s="288"/>
      <c r="C147" s="257" t="s">
        <v>453</v>
      </c>
      <c r="D147" s="257" t="s">
        <v>454</v>
      </c>
      <c r="E147" s="260">
        <v>1</v>
      </c>
      <c r="F147" s="273"/>
      <c r="G147" s="273">
        <v>950</v>
      </c>
      <c r="H147" s="260">
        <v>606709</v>
      </c>
      <c r="I147" s="261" t="s">
        <v>450</v>
      </c>
      <c r="J147" s="285"/>
      <c r="U147" s="231"/>
    </row>
    <row r="148" spans="2:21">
      <c r="B148" s="288"/>
      <c r="C148" s="257" t="s">
        <v>455</v>
      </c>
      <c r="D148" s="257" t="s">
        <v>456</v>
      </c>
      <c r="E148" s="260">
        <v>6</v>
      </c>
      <c r="F148" s="273">
        <v>440</v>
      </c>
      <c r="G148" s="273">
        <v>2640</v>
      </c>
      <c r="H148" s="260">
        <v>605772</v>
      </c>
      <c r="I148" s="261" t="s">
        <v>427</v>
      </c>
      <c r="J148" s="285"/>
      <c r="U148" s="231"/>
    </row>
    <row r="149" spans="2:21">
      <c r="B149" s="288"/>
      <c r="C149" s="257" t="s">
        <v>457</v>
      </c>
      <c r="D149" s="257" t="s">
        <v>458</v>
      </c>
      <c r="E149" s="260">
        <v>2</v>
      </c>
      <c r="F149" s="273">
        <v>440</v>
      </c>
      <c r="G149" s="273">
        <v>880</v>
      </c>
      <c r="H149" s="260">
        <v>605772</v>
      </c>
      <c r="I149" s="261" t="s">
        <v>427</v>
      </c>
      <c r="J149" s="285"/>
      <c r="U149" s="231"/>
    </row>
    <row r="150" spans="2:21">
      <c r="B150" s="288"/>
      <c r="C150" s="257" t="s">
        <v>459</v>
      </c>
      <c r="D150" s="257" t="s">
        <v>460</v>
      </c>
      <c r="E150" s="260">
        <v>2</v>
      </c>
      <c r="F150" s="273">
        <v>440</v>
      </c>
      <c r="G150" s="273">
        <v>880</v>
      </c>
      <c r="H150" s="260">
        <v>605772</v>
      </c>
      <c r="I150" s="261" t="s">
        <v>427</v>
      </c>
      <c r="J150" s="285"/>
      <c r="U150" s="231"/>
    </row>
    <row r="151" spans="2:21">
      <c r="B151" s="286"/>
      <c r="C151" s="257" t="s">
        <v>461</v>
      </c>
      <c r="D151" s="257" t="s">
        <v>462</v>
      </c>
      <c r="E151" s="260">
        <v>6</v>
      </c>
      <c r="F151" s="273">
        <v>49</v>
      </c>
      <c r="G151" s="273">
        <v>294</v>
      </c>
      <c r="H151" s="260">
        <v>605670</v>
      </c>
      <c r="I151" s="261" t="s">
        <v>349</v>
      </c>
      <c r="J151" s="287"/>
      <c r="U151" s="231"/>
    </row>
    <row r="152" spans="2:21">
      <c r="B152" s="286"/>
      <c r="C152" s="257" t="s">
        <v>463</v>
      </c>
      <c r="D152" s="257" t="s">
        <v>464</v>
      </c>
      <c r="E152" s="260">
        <v>2</v>
      </c>
      <c r="F152" s="273">
        <v>218</v>
      </c>
      <c r="G152" s="273">
        <v>436</v>
      </c>
      <c r="H152" s="260">
        <v>605670</v>
      </c>
      <c r="I152" s="261" t="s">
        <v>349</v>
      </c>
      <c r="J152" s="287"/>
      <c r="U152" s="231"/>
    </row>
    <row r="153" spans="2:21">
      <c r="B153" s="288"/>
      <c r="C153" s="257" t="s">
        <v>465</v>
      </c>
      <c r="D153" s="257" t="s">
        <v>466</v>
      </c>
      <c r="E153" s="260">
        <v>2</v>
      </c>
      <c r="F153" s="273">
        <v>440</v>
      </c>
      <c r="G153" s="273">
        <v>880</v>
      </c>
      <c r="H153" s="260">
        <v>605772</v>
      </c>
      <c r="I153" s="261" t="s">
        <v>427</v>
      </c>
      <c r="J153" s="285"/>
      <c r="U153" s="231"/>
    </row>
    <row r="154" spans="2:21">
      <c r="B154" s="288"/>
      <c r="C154" s="257" t="s">
        <v>467</v>
      </c>
      <c r="D154" s="257" t="s">
        <v>468</v>
      </c>
      <c r="E154" s="260">
        <v>2</v>
      </c>
      <c r="F154" s="273"/>
      <c r="G154" s="273">
        <v>219</v>
      </c>
      <c r="H154" s="260" t="s">
        <v>469</v>
      </c>
      <c r="I154" s="260" t="s">
        <v>355</v>
      </c>
      <c r="J154" s="285"/>
      <c r="U154" s="231"/>
    </row>
    <row r="155" spans="2:21">
      <c r="B155" s="288"/>
      <c r="C155" s="257" t="s">
        <v>470</v>
      </c>
      <c r="D155" s="257" t="s">
        <v>471</v>
      </c>
      <c r="E155" s="260">
        <v>4</v>
      </c>
      <c r="F155" s="273"/>
      <c r="G155" s="273">
        <v>292</v>
      </c>
      <c r="H155" s="260" t="s">
        <v>469</v>
      </c>
      <c r="I155" s="260" t="s">
        <v>355</v>
      </c>
      <c r="J155" s="285"/>
      <c r="U155" s="231"/>
    </row>
    <row r="156" spans="2:21">
      <c r="B156" s="288"/>
      <c r="C156" s="257" t="s">
        <v>472</v>
      </c>
      <c r="D156" s="257" t="s">
        <v>473</v>
      </c>
      <c r="E156" s="260">
        <v>12</v>
      </c>
      <c r="F156" s="273"/>
      <c r="G156" s="273">
        <v>511</v>
      </c>
      <c r="H156" s="260" t="s">
        <v>469</v>
      </c>
      <c r="I156" s="260" t="s">
        <v>355</v>
      </c>
      <c r="J156" s="285"/>
      <c r="U156" s="231"/>
    </row>
    <row r="157" spans="2:21">
      <c r="B157" s="286"/>
      <c r="C157" s="257" t="s">
        <v>474</v>
      </c>
      <c r="D157" s="257" t="s">
        <v>475</v>
      </c>
      <c r="E157" s="260">
        <v>20</v>
      </c>
      <c r="F157" s="273">
        <v>55</v>
      </c>
      <c r="G157" s="273">
        <v>1100</v>
      </c>
      <c r="H157" s="260">
        <v>606420</v>
      </c>
      <c r="I157" s="260" t="s">
        <v>349</v>
      </c>
      <c r="J157" s="287"/>
      <c r="U157" s="231"/>
    </row>
    <row r="158" spans="2:21">
      <c r="B158" s="286"/>
      <c r="C158" s="257" t="s">
        <v>476</v>
      </c>
      <c r="D158" s="257" t="s">
        <v>477</v>
      </c>
      <c r="E158" s="260">
        <v>20</v>
      </c>
      <c r="F158" s="273">
        <v>31</v>
      </c>
      <c r="G158" s="273">
        <v>620</v>
      </c>
      <c r="H158" s="260">
        <v>606420</v>
      </c>
      <c r="I158" s="260" t="s">
        <v>349</v>
      </c>
      <c r="J158" s="287"/>
      <c r="U158" s="231"/>
    </row>
    <row r="159" spans="2:21">
      <c r="B159" s="286"/>
      <c r="C159" s="257" t="s">
        <v>478</v>
      </c>
      <c r="D159" s="257" t="s">
        <v>479</v>
      </c>
      <c r="E159" s="260">
        <v>20</v>
      </c>
      <c r="F159" s="273">
        <v>66</v>
      </c>
      <c r="G159" s="273">
        <v>1320</v>
      </c>
      <c r="H159" s="260">
        <v>606420</v>
      </c>
      <c r="I159" s="260" t="s">
        <v>349</v>
      </c>
      <c r="J159" s="287"/>
      <c r="U159" s="231"/>
    </row>
    <row r="160" spans="2:21">
      <c r="B160" s="286"/>
      <c r="C160" s="257" t="s">
        <v>480</v>
      </c>
      <c r="D160" s="257" t="s">
        <v>481</v>
      </c>
      <c r="E160" s="260">
        <v>20</v>
      </c>
      <c r="F160" s="273">
        <v>37</v>
      </c>
      <c r="G160" s="273">
        <v>740</v>
      </c>
      <c r="H160" s="260">
        <v>606420</v>
      </c>
      <c r="I160" s="260" t="s">
        <v>349</v>
      </c>
      <c r="J160" s="287"/>
      <c r="U160" s="231"/>
    </row>
    <row r="161" spans="2:21" ht="15.75" thickBot="1">
      <c r="B161" s="288"/>
      <c r="C161" s="274" t="s">
        <v>482</v>
      </c>
      <c r="D161" s="274" t="s">
        <v>483</v>
      </c>
      <c r="E161" s="260"/>
      <c r="F161" s="273"/>
      <c r="G161" s="273"/>
      <c r="H161" s="260"/>
      <c r="I161" s="260"/>
      <c r="J161" s="285"/>
      <c r="U161" s="231"/>
    </row>
    <row r="162" spans="2:21" ht="15.75" thickTop="1">
      <c r="B162" s="288"/>
      <c r="C162" s="257" t="s">
        <v>484</v>
      </c>
      <c r="D162" s="257" t="s">
        <v>485</v>
      </c>
      <c r="E162" s="260">
        <v>2</v>
      </c>
      <c r="F162" s="273">
        <v>695</v>
      </c>
      <c r="G162" s="273">
        <v>1390</v>
      </c>
      <c r="H162" s="260">
        <v>606708</v>
      </c>
      <c r="I162" s="260" t="s">
        <v>342</v>
      </c>
      <c r="J162" s="285"/>
      <c r="U162" s="231"/>
    </row>
    <row r="163" spans="2:21">
      <c r="B163" s="288"/>
      <c r="C163" s="257" t="s">
        <v>486</v>
      </c>
      <c r="D163" s="257" t="s">
        <v>487</v>
      </c>
      <c r="E163" s="260">
        <v>1</v>
      </c>
      <c r="F163" s="273"/>
      <c r="G163" s="273">
        <v>625</v>
      </c>
      <c r="H163" s="260">
        <v>606708</v>
      </c>
      <c r="I163" s="260" t="s">
        <v>342</v>
      </c>
      <c r="J163" s="285"/>
      <c r="U163" s="231"/>
    </row>
    <row r="164" spans="2:21">
      <c r="B164" s="288"/>
      <c r="C164" s="257" t="s">
        <v>488</v>
      </c>
      <c r="D164" s="257" t="s">
        <v>489</v>
      </c>
      <c r="E164" s="260" t="s">
        <v>490</v>
      </c>
      <c r="F164" s="273"/>
      <c r="G164" s="273">
        <v>5.4</v>
      </c>
      <c r="H164" s="260" t="s">
        <v>491</v>
      </c>
      <c r="I164" s="260" t="s">
        <v>372</v>
      </c>
      <c r="J164" s="285"/>
      <c r="U164" s="231"/>
    </row>
    <row r="165" spans="2:21">
      <c r="B165" s="288"/>
      <c r="C165" s="257" t="s">
        <v>492</v>
      </c>
      <c r="D165" s="257" t="s">
        <v>493</v>
      </c>
      <c r="E165" s="260">
        <v>2</v>
      </c>
      <c r="F165" s="273"/>
      <c r="G165" s="273">
        <f>2*6.48</f>
        <v>12.96</v>
      </c>
      <c r="H165" s="260" t="s">
        <v>491</v>
      </c>
      <c r="I165" s="260" t="s">
        <v>372</v>
      </c>
      <c r="J165" s="285"/>
      <c r="U165" s="231"/>
    </row>
    <row r="166" spans="2:21">
      <c r="B166" s="288"/>
      <c r="C166" s="257" t="s">
        <v>494</v>
      </c>
      <c r="D166" s="257" t="s">
        <v>495</v>
      </c>
      <c r="E166" s="260">
        <v>2</v>
      </c>
      <c r="F166" s="273"/>
      <c r="G166" s="273">
        <v>657</v>
      </c>
      <c r="H166" s="260" t="s">
        <v>496</v>
      </c>
      <c r="I166" s="260" t="s">
        <v>355</v>
      </c>
      <c r="J166" s="285"/>
      <c r="U166" s="231"/>
    </row>
    <row r="167" spans="2:21">
      <c r="B167" s="286"/>
      <c r="C167" s="257" t="s">
        <v>497</v>
      </c>
      <c r="D167" s="257" t="s">
        <v>498</v>
      </c>
      <c r="E167" s="260">
        <v>4</v>
      </c>
      <c r="F167" s="273">
        <v>134.19999999999999</v>
      </c>
      <c r="G167" s="273">
        <v>536.79999999999995</v>
      </c>
      <c r="H167" s="260" t="s">
        <v>499</v>
      </c>
      <c r="I167" s="260" t="s">
        <v>500</v>
      </c>
      <c r="J167" s="287"/>
      <c r="U167" s="231"/>
    </row>
    <row r="168" spans="2:21">
      <c r="B168" s="286"/>
      <c r="C168" s="257" t="s">
        <v>501</v>
      </c>
      <c r="D168" s="257" t="s">
        <v>502</v>
      </c>
      <c r="E168" s="260">
        <v>4</v>
      </c>
      <c r="F168" s="273">
        <v>10.43</v>
      </c>
      <c r="G168" s="273">
        <v>41.72</v>
      </c>
      <c r="H168" s="260" t="s">
        <v>499</v>
      </c>
      <c r="I168" s="260" t="s">
        <v>500</v>
      </c>
      <c r="J168" s="287"/>
      <c r="U168" s="231"/>
    </row>
    <row r="169" spans="2:21">
      <c r="B169" s="286"/>
      <c r="C169" s="257" t="s">
        <v>503</v>
      </c>
      <c r="D169" s="257" t="s">
        <v>504</v>
      </c>
      <c r="E169" s="260">
        <v>2</v>
      </c>
      <c r="F169" s="273">
        <v>12.58</v>
      </c>
      <c r="G169" s="273">
        <v>12.58</v>
      </c>
      <c r="H169" s="260" t="s">
        <v>499</v>
      </c>
      <c r="I169" s="260" t="s">
        <v>500</v>
      </c>
      <c r="J169" s="287"/>
      <c r="U169" s="231"/>
    </row>
    <row r="170" spans="2:21" ht="15.75" thickBot="1">
      <c r="B170" s="288"/>
      <c r="C170" s="257" t="s">
        <v>505</v>
      </c>
      <c r="D170" s="274" t="s">
        <v>506</v>
      </c>
      <c r="E170" s="260" t="s">
        <v>507</v>
      </c>
      <c r="F170" s="273"/>
      <c r="G170" s="273">
        <v>533.20000000000005</v>
      </c>
      <c r="H170" s="260" t="s">
        <v>508</v>
      </c>
      <c r="I170" s="260" t="s">
        <v>372</v>
      </c>
      <c r="J170" s="285"/>
      <c r="U170" s="231"/>
    </row>
    <row r="171" spans="2:21" ht="15.75" thickTop="1">
      <c r="B171" s="288"/>
      <c r="C171" s="257" t="s">
        <v>518</v>
      </c>
      <c r="D171" s="257" t="s">
        <v>519</v>
      </c>
      <c r="E171" s="260">
        <v>6</v>
      </c>
      <c r="F171" s="273">
        <v>180</v>
      </c>
      <c r="G171" s="273">
        <v>1080</v>
      </c>
      <c r="H171" s="260">
        <v>606110</v>
      </c>
      <c r="I171" s="260" t="s">
        <v>342</v>
      </c>
      <c r="J171" s="285"/>
      <c r="U171" s="231"/>
    </row>
    <row r="172" spans="2:21">
      <c r="B172" s="288"/>
      <c r="C172" s="257" t="s">
        <v>509</v>
      </c>
      <c r="D172" s="257" t="s">
        <v>510</v>
      </c>
      <c r="E172" s="260">
        <v>6</v>
      </c>
      <c r="F172" s="273">
        <v>465</v>
      </c>
      <c r="G172" s="273">
        <v>2790</v>
      </c>
      <c r="H172" s="260">
        <v>606110</v>
      </c>
      <c r="I172" s="260" t="s">
        <v>342</v>
      </c>
      <c r="J172" s="285"/>
      <c r="U172" s="231"/>
    </row>
    <row r="173" spans="2:21">
      <c r="B173" s="288"/>
      <c r="C173" s="257" t="s">
        <v>520</v>
      </c>
      <c r="D173" s="257" t="s">
        <v>521</v>
      </c>
      <c r="E173" s="260">
        <v>12</v>
      </c>
      <c r="F173" s="273">
        <v>78.25</v>
      </c>
      <c r="G173" s="273">
        <v>939</v>
      </c>
      <c r="H173" s="260">
        <v>606110</v>
      </c>
      <c r="I173" s="260" t="s">
        <v>342</v>
      </c>
      <c r="J173" s="285"/>
      <c r="U173" s="231"/>
    </row>
    <row r="174" spans="2:21">
      <c r="B174" s="288"/>
      <c r="C174" s="257" t="s">
        <v>522</v>
      </c>
      <c r="D174" s="257" t="s">
        <v>523</v>
      </c>
      <c r="E174" s="260">
        <v>6</v>
      </c>
      <c r="F174" s="273">
        <v>140</v>
      </c>
      <c r="G174" s="273">
        <v>840</v>
      </c>
      <c r="H174" s="260">
        <v>606110</v>
      </c>
      <c r="I174" s="260" t="s">
        <v>342</v>
      </c>
      <c r="J174" s="285"/>
      <c r="U174" s="231"/>
    </row>
    <row r="175" spans="2:21">
      <c r="B175" s="288"/>
      <c r="C175" s="257"/>
      <c r="D175" s="213" t="s">
        <v>511</v>
      </c>
      <c r="E175" s="275">
        <v>2</v>
      </c>
      <c r="F175" s="259">
        <v>1100</v>
      </c>
      <c r="G175" s="273">
        <f>F175*E175</f>
        <v>2200</v>
      </c>
      <c r="H175" s="260"/>
      <c r="I175" s="260"/>
      <c r="J175" s="285"/>
      <c r="U175" s="231"/>
    </row>
    <row r="176" spans="2:21">
      <c r="B176" s="228"/>
      <c r="E176" s="46"/>
      <c r="F176" s="222"/>
      <c r="G176" s="221">
        <f>SUM(G118:G175)</f>
        <v>106755.66</v>
      </c>
      <c r="H176" s="46"/>
      <c r="I176" s="46"/>
      <c r="J176" s="282"/>
      <c r="U176" s="231"/>
    </row>
    <row r="177" spans="2:21" ht="15.75" thickBot="1">
      <c r="B177" s="250"/>
      <c r="C177" s="251"/>
      <c r="D177" s="251"/>
      <c r="E177" s="290"/>
      <c r="F177" s="291"/>
      <c r="G177" s="291"/>
      <c r="H177" s="290"/>
      <c r="I177" s="290"/>
      <c r="J177" s="292"/>
      <c r="K177" s="251"/>
      <c r="L177" s="251"/>
      <c r="M177" s="290"/>
      <c r="N177" s="291"/>
      <c r="O177" s="291"/>
      <c r="P177" s="292"/>
      <c r="Q177" s="290"/>
      <c r="R177" s="251"/>
      <c r="S177" s="251"/>
      <c r="T177" s="251"/>
      <c r="U177" s="252"/>
    </row>
    <row r="178" spans="2:21">
      <c r="E178" s="46"/>
      <c r="F178" s="222"/>
      <c r="G178" s="222"/>
      <c r="H178" s="46"/>
      <c r="I178" s="46"/>
      <c r="J178" s="28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Summary</vt:lpstr>
      <vt:lpstr>Material</vt:lpstr>
      <vt:lpstr>Labor</vt:lpstr>
      <vt:lpstr>FNALLaborRates</vt:lpstr>
      <vt:lpstr>CoilTechLaborfromP6</vt:lpstr>
      <vt:lpstr>M&amp;S Cost Estimate for MQXF</vt:lpstr>
      <vt:lpstr>Cable cost MQXF  </vt:lpstr>
      <vt:lpstr>Coil Parts</vt:lpstr>
      <vt:lpstr>Winding and Curing Tooling</vt:lpstr>
      <vt:lpstr>Reaction and Impre. Tooling</vt:lpstr>
      <vt:lpstr>Testing Summary</vt:lpstr>
      <vt:lpstr>Test Stand</vt:lpstr>
      <vt:lpstr>Test Stand Details</vt:lpstr>
      <vt:lpstr>Operations</vt:lpstr>
      <vt:lpstr>Operation Details</vt:lpstr>
      <vt:lpstr>Cryostat - half-length</vt:lpstr>
      <vt:lpstr>Cryostat-Full Length</vt:lpstr>
      <vt:lpstr>Overheads</vt:lpstr>
      <vt:lpstr>QX estimate WBS Final</vt:lpstr>
      <vt:lpstr>LQ</vt:lpstr>
      <vt:lpstr>HD3</vt:lpstr>
      <vt:lpstr>LR</vt:lpstr>
      <vt:lpstr>Labor!Print_Area</vt:lpstr>
      <vt:lpstr>Material!Print_Area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Marc Kaducak</cp:lastModifiedBy>
  <cp:lastPrinted>2012-10-29T19:34:08Z</cp:lastPrinted>
  <dcterms:created xsi:type="dcterms:W3CDTF">2012-06-01T16:18:36Z</dcterms:created>
  <dcterms:modified xsi:type="dcterms:W3CDTF">2012-12-04T16:11:55Z</dcterms:modified>
</cp:coreProperties>
</file>