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75" yWindow="-345" windowWidth="14970" windowHeight="7725"/>
  </bookViews>
  <sheets>
    <sheet name="Sheet2" sheetId="2" r:id="rId1"/>
    <sheet name="Sheet3" sheetId="3" r:id="rId2"/>
  </sheets>
  <externalReferences>
    <externalReference r:id="rId3"/>
  </externalReferences>
  <definedNames>
    <definedName name="BOE">[1]Lists!$E$3:$E$7</definedName>
    <definedName name="_xlnm.Print_Area" localSheetId="0">Sheet2!$B$4:$P$41</definedName>
    <definedName name="System">[1]Lists!$A$3:$A$8</definedName>
    <definedName name="Task">[1]Lists!$C$3:$C$10</definedName>
  </definedNames>
  <calcPr calcId="145621" concurrentCalc="0"/>
</workbook>
</file>

<file path=xl/calcChain.xml><?xml version="1.0" encoding="utf-8"?>
<calcChain xmlns="http://schemas.openxmlformats.org/spreadsheetml/2006/main">
  <c r="O13" i="2" l="1"/>
  <c r="M27" i="2"/>
  <c r="O27" i="2"/>
  <c r="D18" i="2"/>
  <c r="E18" i="2"/>
  <c r="F18" i="2"/>
  <c r="G18" i="2"/>
  <c r="H18" i="2"/>
  <c r="I18" i="2"/>
  <c r="J18" i="2"/>
  <c r="K18" i="2"/>
  <c r="L18" i="2"/>
  <c r="C18" i="2"/>
  <c r="D13" i="2"/>
  <c r="E13" i="2"/>
  <c r="F13" i="2"/>
  <c r="G13" i="2"/>
  <c r="H13" i="2"/>
  <c r="I13" i="2"/>
  <c r="J13" i="2"/>
  <c r="K13" i="2"/>
  <c r="L13" i="2"/>
  <c r="C13" i="2"/>
  <c r="M13" i="2"/>
  <c r="F38" i="2"/>
  <c r="G38" i="2"/>
  <c r="H38" i="2"/>
  <c r="I38" i="2"/>
  <c r="J38" i="2"/>
  <c r="K38" i="2"/>
  <c r="L38" i="2"/>
  <c r="E38" i="2"/>
  <c r="F23" i="2"/>
  <c r="F24" i="2"/>
  <c r="E23" i="2"/>
  <c r="E24" i="2"/>
  <c r="D23" i="2"/>
  <c r="D24" i="2"/>
  <c r="C23" i="2"/>
  <c r="C24" i="2"/>
  <c r="M22" i="2"/>
  <c r="O22" i="2"/>
  <c r="M24" i="2"/>
  <c r="O24" i="2"/>
  <c r="M38" i="2"/>
  <c r="O38" i="2"/>
  <c r="M23" i="2"/>
  <c r="O23" i="2"/>
  <c r="D41" i="2"/>
  <c r="E41" i="2"/>
  <c r="F41" i="2"/>
  <c r="G41" i="2"/>
  <c r="H41" i="2"/>
  <c r="I41" i="2"/>
  <c r="J41" i="2"/>
  <c r="K41" i="2"/>
  <c r="L41" i="2"/>
  <c r="C41" i="2"/>
  <c r="M40" i="2"/>
  <c r="D26" i="2"/>
  <c r="D29" i="2"/>
  <c r="D34" i="2"/>
  <c r="E26" i="2"/>
  <c r="E28" i="2"/>
  <c r="E34" i="2"/>
  <c r="F20" i="2"/>
  <c r="F26" i="2"/>
  <c r="F28" i="2"/>
  <c r="F34" i="2"/>
  <c r="G26" i="2"/>
  <c r="G28" i="2"/>
  <c r="G34" i="2"/>
  <c r="H26" i="2"/>
  <c r="H28" i="2"/>
  <c r="H34" i="2"/>
  <c r="I20" i="2"/>
  <c r="I26" i="2"/>
  <c r="I29" i="2"/>
  <c r="I34" i="2"/>
  <c r="J20" i="2"/>
  <c r="J26" i="2"/>
  <c r="J29" i="2"/>
  <c r="J34" i="2"/>
  <c r="K29" i="2"/>
  <c r="K34" i="2"/>
  <c r="L20" i="2"/>
  <c r="L29" i="2"/>
  <c r="L34" i="2"/>
  <c r="M10" i="2"/>
  <c r="O10" i="2"/>
  <c r="M11" i="2"/>
  <c r="O11" i="2"/>
  <c r="M12" i="2"/>
  <c r="O12" i="2"/>
  <c r="M15" i="2"/>
  <c r="M17" i="2"/>
  <c r="C26" i="2"/>
  <c r="M26" i="2"/>
  <c r="O26" i="2"/>
  <c r="M31" i="2"/>
  <c r="M34" i="2"/>
  <c r="O16" i="2"/>
  <c r="C34" i="2"/>
  <c r="O15" i="2"/>
  <c r="M18" i="2"/>
  <c r="C29" i="2"/>
  <c r="C36" i="2"/>
  <c r="H29" i="2"/>
  <c r="H36" i="2"/>
  <c r="G29" i="2"/>
  <c r="G36" i="2"/>
  <c r="F29" i="2"/>
  <c r="F36" i="2"/>
  <c r="O31" i="2"/>
  <c r="O34" i="2"/>
  <c r="E29" i="2"/>
  <c r="I36" i="2"/>
  <c r="C20" i="2"/>
  <c r="J36" i="2"/>
  <c r="D36" i="2"/>
  <c r="H20" i="2"/>
  <c r="D20" i="2"/>
  <c r="K36" i="2"/>
  <c r="L36" i="2"/>
  <c r="E36" i="2"/>
  <c r="K20" i="2"/>
  <c r="G20" i="2"/>
  <c r="E20" i="2"/>
  <c r="O17" i="2"/>
  <c r="M28" i="2"/>
  <c r="O28" i="2"/>
  <c r="O29" i="2"/>
  <c r="O18" i="2"/>
  <c r="N18" i="2"/>
  <c r="M37" i="2"/>
  <c r="M20" i="2"/>
  <c r="M29" i="2"/>
  <c r="M36" i="2"/>
  <c r="O37" i="2"/>
  <c r="O41" i="2"/>
  <c r="M41" i="2"/>
  <c r="O36" i="2"/>
  <c r="O20" i="2"/>
</calcChain>
</file>

<file path=xl/sharedStrings.xml><?xml version="1.0" encoding="utf-8"?>
<sst xmlns="http://schemas.openxmlformats.org/spreadsheetml/2006/main" count="61" uniqueCount="61">
  <si>
    <t>FY13</t>
  </si>
  <si>
    <t>FY14</t>
  </si>
  <si>
    <t>FY15</t>
  </si>
  <si>
    <t>FY16</t>
  </si>
  <si>
    <t>FY17</t>
  </si>
  <si>
    <t>FY18</t>
  </si>
  <si>
    <t>FY19</t>
  </si>
  <si>
    <t>FY20</t>
  </si>
  <si>
    <t>FY21</t>
  </si>
  <si>
    <t>FY22</t>
  </si>
  <si>
    <t>Total w/o Contingency</t>
  </si>
  <si>
    <t>Contingency %</t>
  </si>
  <si>
    <t>Total incl. Contingency</t>
  </si>
  <si>
    <t>Project Mgmt</t>
  </si>
  <si>
    <t>Item</t>
  </si>
  <si>
    <t>R&amp;D and Prototyping</t>
  </si>
  <si>
    <t>LARP Budget for Projects</t>
  </si>
  <si>
    <t>Assume CERN contributions</t>
  </si>
  <si>
    <t>Notes</t>
  </si>
  <si>
    <t>Assume FY14 CD-0</t>
  </si>
  <si>
    <t>Other Projects</t>
  </si>
  <si>
    <t>11T Dipole</t>
  </si>
  <si>
    <t>D2 Separators</t>
  </si>
  <si>
    <t>Other Project Subtotal</t>
  </si>
  <si>
    <t>R&amp;D, Prototype Subtotal</t>
  </si>
  <si>
    <t>Construction Subtotal</t>
  </si>
  <si>
    <t xml:space="preserve">  </t>
  </si>
  <si>
    <t>Q1 and Q3 cold masses, total qty.20. Assumes prototypes and test facility upgrades in R&amp;D phase</t>
  </si>
  <si>
    <t>Prototype thru test in SPS</t>
  </si>
  <si>
    <t>US Grand Total</t>
  </si>
  <si>
    <t>CERN IR Quad R&amp;D</t>
  </si>
  <si>
    <t>SQXF, HQ, WP3DS</t>
  </si>
  <si>
    <t>CERN Crab Cavity</t>
  </si>
  <si>
    <t>CERN Feedback</t>
  </si>
  <si>
    <t>Kicker assemblies, pickup structure, tunnel cables, racks, power, other.</t>
  </si>
  <si>
    <t>Cryo, RF coupler, RF Power, Installation</t>
  </si>
  <si>
    <t>CERN Total</t>
  </si>
  <si>
    <t>CERN IR Quad Contruction</t>
  </si>
  <si>
    <t>SQXF, WP3DS-LQ-HQ-HQM, LHQ, LQXF, test stand upgrades</t>
  </si>
  <si>
    <t>IR Quad R&amp;D</t>
  </si>
  <si>
    <t>Crab Cavity Prototype</t>
  </si>
  <si>
    <t>Crab Cavity Construction</t>
  </si>
  <si>
    <t>IR Quad Construction</t>
  </si>
  <si>
    <t>Total LARP Budget</t>
  </si>
  <si>
    <t>US-LARP Budget</t>
  </si>
  <si>
    <t>Construction Project</t>
  </si>
  <si>
    <t>Total R&amp;D and Construction for LARP Related Deliverables</t>
  </si>
  <si>
    <t>Does not include Crab.  CERN input needed to produce accurate table.</t>
  </si>
  <si>
    <t>LARP Related R&amp;D, Const.</t>
  </si>
  <si>
    <t>Diffusor (electron lens)</t>
  </si>
  <si>
    <t>Conductor R&amp;D, LQ-HQ-HQM, LHQ Rad Hard, Infrastructure</t>
  </si>
  <si>
    <t>Placeholders until scope is better understood</t>
  </si>
  <si>
    <t>IR Quad - To be Verified</t>
  </si>
  <si>
    <t>GAD and Infrastructure</t>
  </si>
  <si>
    <t>SRF Related GAD - TBD</t>
  </si>
  <si>
    <t>Feedback Related GAD - TBD</t>
  </si>
  <si>
    <t xml:space="preserve">Total LARP Construction and Related R&amp;D Costs ($AY)
20-Dec-2012
</t>
  </si>
  <si>
    <t>Other LARP Budget:
-General Accelerator R&amp;D
-Toohig and Long Term Visitors
-Programmatic Travel and Management</t>
  </si>
  <si>
    <t>Assume equivalent cost to US contribution.</t>
  </si>
  <si>
    <t>GAD and Infrastructure Subtotal</t>
  </si>
  <si>
    <t>Feedback Functioning Prototype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</si>
</sst>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Times New Roman"/>
      <family val="1"/>
    </font>
    <font>
      <sz val="10"/>
      <name val="Arial"/>
      <family val="2"/>
    </font>
    <font>
      <sz val="10"/>
      <name val="Verdan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</fills>
  <borders count="2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auto="1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ck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4" fillId="0" borderId="0"/>
    <xf numFmtId="0" fontId="4" fillId="0" borderId="0"/>
    <xf numFmtId="0" fontId="3" fillId="0" borderId="0"/>
    <xf numFmtId="0" fontId="5" fillId="0" borderId="0"/>
  </cellStyleXfs>
  <cellXfs count="76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3" xfId="0" applyFont="1" applyFill="1" applyBorder="1" applyAlignment="1">
      <alignment horizontal="right"/>
    </xf>
    <xf numFmtId="0" fontId="1" fillId="0" borderId="4" xfId="0" applyFont="1" applyBorder="1"/>
    <xf numFmtId="0" fontId="2" fillId="0" borderId="7" xfId="0" applyFont="1" applyFill="1" applyBorder="1" applyAlignment="1">
      <alignment horizontal="right"/>
    </xf>
    <xf numFmtId="0" fontId="0" fillId="0" borderId="8" xfId="0" applyFill="1" applyBorder="1" applyAlignment="1">
      <alignment horizontal="center"/>
    </xf>
    <xf numFmtId="164" fontId="0" fillId="0" borderId="8" xfId="0" applyNumberFormat="1" applyBorder="1"/>
    <xf numFmtId="164" fontId="1" fillId="0" borderId="9" xfId="0" applyNumberFormat="1" applyFont="1" applyBorder="1"/>
    <xf numFmtId="0" fontId="0" fillId="0" borderId="10" xfId="0" applyBorder="1"/>
    <xf numFmtId="0" fontId="2" fillId="0" borderId="7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0" fillId="0" borderId="6" xfId="0" applyBorder="1"/>
    <xf numFmtId="0" fontId="0" fillId="0" borderId="0" xfId="0" applyBorder="1"/>
    <xf numFmtId="0" fontId="0" fillId="0" borderId="8" xfId="0" applyFill="1" applyBorder="1" applyAlignment="1">
      <alignment horizontal="center" wrapText="1"/>
    </xf>
    <xf numFmtId="164" fontId="1" fillId="0" borderId="8" xfId="0" applyNumberFormat="1" applyFont="1" applyBorder="1"/>
    <xf numFmtId="9" fontId="0" fillId="0" borderId="8" xfId="0" applyNumberFormat="1" applyBorder="1"/>
    <xf numFmtId="9" fontId="1" fillId="0" borderId="9" xfId="0" applyNumberFormat="1" applyFont="1" applyBorder="1"/>
    <xf numFmtId="0" fontId="0" fillId="0" borderId="12" xfId="0" applyBorder="1"/>
    <xf numFmtId="0" fontId="0" fillId="0" borderId="13" xfId="0" applyBorder="1"/>
    <xf numFmtId="0" fontId="0" fillId="0" borderId="14" xfId="0" applyFill="1" applyBorder="1" applyAlignment="1">
      <alignment horizontal="center" wrapText="1"/>
    </xf>
    <xf numFmtId="164" fontId="1" fillId="0" borderId="14" xfId="0" applyNumberFormat="1" applyFont="1" applyBorder="1"/>
    <xf numFmtId="164" fontId="1" fillId="0" borderId="15" xfId="0" applyNumberFormat="1" applyFont="1" applyBorder="1"/>
    <xf numFmtId="164" fontId="0" fillId="0" borderId="8" xfId="0" applyNumberFormat="1" applyBorder="1"/>
    <xf numFmtId="164" fontId="0" fillId="0" borderId="0" xfId="0" applyNumberFormat="1"/>
    <xf numFmtId="0" fontId="0" fillId="0" borderId="0" xfId="0" applyAlignment="1">
      <alignment wrapText="1"/>
    </xf>
    <xf numFmtId="0" fontId="0" fillId="0" borderId="17" xfId="0" applyBorder="1" applyAlignment="1">
      <alignment wrapText="1"/>
    </xf>
    <xf numFmtId="0" fontId="1" fillId="0" borderId="17" xfId="0" applyFont="1" applyFill="1" applyBorder="1" applyAlignment="1">
      <alignment horizontal="left" wrapText="1"/>
    </xf>
    <xf numFmtId="0" fontId="6" fillId="0" borderId="4" xfId="0" applyFont="1" applyBorder="1"/>
    <xf numFmtId="164" fontId="7" fillId="0" borderId="8" xfId="0" applyNumberFormat="1" applyFont="1" applyBorder="1"/>
    <xf numFmtId="164" fontId="6" fillId="0" borderId="8" xfId="0" applyNumberFormat="1" applyFont="1" applyBorder="1"/>
    <xf numFmtId="9" fontId="7" fillId="0" borderId="8" xfId="0" applyNumberFormat="1" applyFont="1" applyBorder="1"/>
    <xf numFmtId="164" fontId="6" fillId="0" borderId="14" xfId="0" applyNumberFormat="1" applyFont="1" applyBorder="1"/>
    <xf numFmtId="0" fontId="7" fillId="0" borderId="17" xfId="0" applyFont="1" applyBorder="1" applyAlignment="1">
      <alignment wrapText="1"/>
    </xf>
    <xf numFmtId="0" fontId="0" fillId="0" borderId="4" xfId="0" applyFont="1" applyBorder="1"/>
    <xf numFmtId="0" fontId="1" fillId="0" borderId="18" xfId="0" applyFont="1" applyBorder="1"/>
    <xf numFmtId="164" fontId="1" fillId="0" borderId="19" xfId="0" applyNumberFormat="1" applyFont="1" applyBorder="1"/>
    <xf numFmtId="9" fontId="1" fillId="0" borderId="19" xfId="0" applyNumberFormat="1" applyFont="1" applyBorder="1"/>
    <xf numFmtId="164" fontId="1" fillId="0" borderId="20" xfId="0" applyNumberFormat="1" applyFont="1" applyBorder="1"/>
    <xf numFmtId="164" fontId="1" fillId="0" borderId="7" xfId="0" applyNumberFormat="1" applyFont="1" applyBorder="1"/>
    <xf numFmtId="0" fontId="7" fillId="0" borderId="8" xfId="0" applyFont="1" applyFill="1" applyBorder="1" applyAlignment="1">
      <alignment horizontal="center"/>
    </xf>
    <xf numFmtId="0" fontId="7" fillId="0" borderId="8" xfId="0" applyFont="1" applyFill="1" applyBorder="1" applyAlignment="1">
      <alignment horizontal="center" wrapText="1"/>
    </xf>
    <xf numFmtId="0" fontId="7" fillId="0" borderId="14" xfId="0" applyFont="1" applyFill="1" applyBorder="1" applyAlignment="1">
      <alignment horizontal="center" wrapText="1"/>
    </xf>
    <xf numFmtId="0" fontId="7" fillId="0" borderId="4" xfId="0" applyFont="1" applyBorder="1"/>
    <xf numFmtId="9" fontId="0" fillId="0" borderId="19" xfId="0" applyNumberFormat="1" applyFont="1" applyBorder="1"/>
    <xf numFmtId="164" fontId="0" fillId="0" borderId="19" xfId="0" applyNumberFormat="1" applyBorder="1"/>
    <xf numFmtId="0" fontId="1" fillId="3" borderId="18" xfId="0" applyFont="1" applyFill="1" applyBorder="1"/>
    <xf numFmtId="0" fontId="6" fillId="2" borderId="4" xfId="0" applyFont="1" applyFill="1" applyBorder="1"/>
    <xf numFmtId="164" fontId="1" fillId="0" borderId="22" xfId="0" applyNumberFormat="1" applyFont="1" applyBorder="1"/>
    <xf numFmtId="0" fontId="0" fillId="0" borderId="18" xfId="0" applyFont="1" applyBorder="1"/>
    <xf numFmtId="9" fontId="1" fillId="0" borderId="8" xfId="0" applyNumberFormat="1" applyFont="1" applyBorder="1"/>
    <xf numFmtId="0" fontId="1" fillId="2" borderId="5" xfId="0" applyFont="1" applyFill="1" applyBorder="1" applyAlignment="1">
      <alignment wrapText="1"/>
    </xf>
    <xf numFmtId="0" fontId="1" fillId="3" borderId="21" xfId="0" applyFont="1" applyFill="1" applyBorder="1"/>
    <xf numFmtId="164" fontId="1" fillId="0" borderId="24" xfId="0" applyNumberFormat="1" applyFont="1" applyBorder="1"/>
    <xf numFmtId="164" fontId="1" fillId="0" borderId="25" xfId="0" applyNumberFormat="1" applyFont="1" applyBorder="1"/>
    <xf numFmtId="0" fontId="1" fillId="4" borderId="18" xfId="0" applyFont="1" applyFill="1" applyBorder="1"/>
    <xf numFmtId="0" fontId="1" fillId="0" borderId="23" xfId="0" applyFont="1" applyBorder="1"/>
    <xf numFmtId="164" fontId="1" fillId="0" borderId="26" xfId="0" applyNumberFormat="1" applyFont="1" applyBorder="1"/>
    <xf numFmtId="0" fontId="0" fillId="0" borderId="8" xfId="0" applyBorder="1"/>
    <xf numFmtId="0" fontId="0" fillId="0" borderId="3" xfId="0" applyBorder="1"/>
    <xf numFmtId="164" fontId="0" fillId="0" borderId="7" xfId="0" applyNumberFormat="1" applyBorder="1"/>
    <xf numFmtId="0" fontId="0" fillId="0" borderId="4" xfId="0" applyBorder="1"/>
    <xf numFmtId="0" fontId="0" fillId="0" borderId="5" xfId="0" applyFill="1" applyBorder="1"/>
    <xf numFmtId="0" fontId="0" fillId="0" borderId="27" xfId="0" applyBorder="1"/>
    <xf numFmtId="164" fontId="0" fillId="0" borderId="27" xfId="0" applyNumberFormat="1" applyBorder="1"/>
    <xf numFmtId="0" fontId="0" fillId="0" borderId="4" xfId="0" applyBorder="1" applyAlignment="1">
      <alignment wrapText="1"/>
    </xf>
    <xf numFmtId="164" fontId="0" fillId="0" borderId="9" xfId="0" applyNumberFormat="1" applyBorder="1"/>
    <xf numFmtId="0" fontId="0" fillId="0" borderId="18" xfId="0" applyBorder="1"/>
    <xf numFmtId="164" fontId="0" fillId="0" borderId="28" xfId="0" applyNumberFormat="1" applyBorder="1"/>
    <xf numFmtId="0" fontId="1" fillId="5" borderId="4" xfId="0" applyFont="1" applyFill="1" applyBorder="1"/>
    <xf numFmtId="0" fontId="6" fillId="5" borderId="4" xfId="0" applyFont="1" applyFill="1" applyBorder="1"/>
    <xf numFmtId="164" fontId="0" fillId="0" borderId="11" xfId="0" applyNumberFormat="1" applyBorder="1"/>
    <xf numFmtId="0" fontId="6" fillId="0" borderId="4" xfId="0" applyFont="1" applyBorder="1" applyAlignment="1">
      <alignment wrapText="1"/>
    </xf>
    <xf numFmtId="0" fontId="0" fillId="0" borderId="6" xfId="0" applyBorder="1" applyAlignment="1">
      <alignment horizontal="left" wrapText="1"/>
    </xf>
    <xf numFmtId="0" fontId="0" fillId="0" borderId="16" xfId="0" applyBorder="1" applyAlignment="1">
      <alignment horizontal="left" wrapText="1"/>
    </xf>
  </cellXfs>
  <cellStyles count="8">
    <cellStyle name="Currency 2" xfId="1"/>
    <cellStyle name="Currency 3" xfId="2"/>
    <cellStyle name="Normal" xfId="0" builtinId="0"/>
    <cellStyle name="Normal 2" xfId="3"/>
    <cellStyle name="Normal 2 2" xfId="4"/>
    <cellStyle name="Normal 2 3" xfId="5"/>
    <cellStyle name="Normal 3" xfId="6"/>
    <cellStyle name="Normal 4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uben/AppData/Local/Temp/ITER%20EOI%20Estimate%20Template%20-%20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Lists"/>
      <sheetName val="Operating"/>
    </sheetNames>
    <sheetDataSet>
      <sheetData sheetId="0" refreshError="1"/>
      <sheetData sheetId="1">
        <row r="3">
          <cell r="A3" t="str">
            <v>Cryo System</v>
          </cell>
          <cell r="C3" t="str">
            <v>Design</v>
          </cell>
          <cell r="E3" t="str">
            <v>Vendor quote</v>
          </cell>
        </row>
        <row r="4">
          <cell r="A4" t="str">
            <v>Power System</v>
          </cell>
          <cell r="C4" t="str">
            <v>Procurement</v>
          </cell>
          <cell r="E4" t="str">
            <v>Prior procurement</v>
          </cell>
        </row>
        <row r="5">
          <cell r="A5" t="str">
            <v>Test Cryostat</v>
          </cell>
          <cell r="C5" t="str">
            <v>Fabrication</v>
          </cell>
          <cell r="E5" t="str">
            <v>Past experience</v>
          </cell>
        </row>
        <row r="6">
          <cell r="A6" t="str">
            <v>DAQ and Controls</v>
          </cell>
          <cell r="C6" t="str">
            <v>Installation</v>
          </cell>
          <cell r="E6" t="str">
            <v>Engr. estimate</v>
          </cell>
        </row>
        <row r="7">
          <cell r="A7" t="str">
            <v>Quench Protection</v>
          </cell>
          <cell r="C7" t="str">
            <v>Modifications</v>
          </cell>
        </row>
        <row r="8">
          <cell r="C8" t="str">
            <v>Commissioning</v>
          </cell>
        </row>
        <row r="9">
          <cell r="C9" t="str">
            <v>Removal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P43"/>
  <sheetViews>
    <sheetView tabSelected="1" zoomScaleNormal="100" workbookViewId="0">
      <selection activeCell="R19" sqref="R19"/>
    </sheetView>
  </sheetViews>
  <sheetFormatPr defaultRowHeight="15" x14ac:dyDescent="0.25"/>
  <cols>
    <col min="2" max="2" width="29.42578125" customWidth="1"/>
    <col min="3" max="3" width="11.85546875" customWidth="1"/>
    <col min="4" max="4" width="11.7109375" customWidth="1"/>
    <col min="5" max="5" width="11.140625" customWidth="1"/>
    <col min="6" max="6" width="11" customWidth="1"/>
    <col min="7" max="7" width="11.42578125" customWidth="1"/>
    <col min="8" max="8" width="11.28515625" customWidth="1"/>
    <col min="9" max="9" width="11.85546875" customWidth="1"/>
    <col min="10" max="10" width="11.42578125" customWidth="1"/>
    <col min="11" max="11" width="12.140625" customWidth="1"/>
    <col min="12" max="12" width="11.28515625" customWidth="1"/>
    <col min="13" max="13" width="12.7109375" customWidth="1"/>
    <col min="14" max="14" width="12.140625" customWidth="1"/>
    <col min="15" max="15" width="12.85546875" customWidth="1"/>
    <col min="16" max="16" width="21.7109375" style="26" customWidth="1"/>
  </cols>
  <sheetData>
    <row r="3" spans="2:16" ht="40.5" customHeight="1" thickBot="1" x14ac:dyDescent="0.3"/>
    <row r="4" spans="2:16" ht="24.75" customHeight="1" thickTop="1" x14ac:dyDescent="0.25">
      <c r="B4" s="1"/>
      <c r="C4" s="74" t="s">
        <v>56</v>
      </c>
      <c r="D4" s="74"/>
      <c r="E4" s="74"/>
      <c r="F4" s="74"/>
      <c r="G4" s="74"/>
      <c r="H4" s="74"/>
      <c r="I4" s="74"/>
      <c r="J4" s="74"/>
      <c r="K4" s="74"/>
      <c r="L4" s="74"/>
      <c r="M4" s="13"/>
      <c r="N4" s="13"/>
      <c r="O4" s="19"/>
    </row>
    <row r="5" spans="2:16" ht="20.25" customHeight="1" thickBot="1" x14ac:dyDescent="0.3">
      <c r="B5" s="2"/>
      <c r="C5" s="75"/>
      <c r="D5" s="75"/>
      <c r="E5" s="75"/>
      <c r="F5" s="75"/>
      <c r="G5" s="75"/>
      <c r="H5" s="75"/>
      <c r="I5" s="75"/>
      <c r="J5" s="75"/>
      <c r="K5" s="75"/>
      <c r="L5" s="75"/>
      <c r="M5" s="14"/>
      <c r="N5" s="14"/>
      <c r="O5" s="20"/>
    </row>
    <row r="6" spans="2:16" ht="19.5" thickTop="1" x14ac:dyDescent="0.3">
      <c r="B6" s="3"/>
      <c r="C6" s="5"/>
      <c r="D6" s="5"/>
      <c r="E6" s="5"/>
      <c r="F6" s="5"/>
      <c r="G6" s="10"/>
      <c r="H6" s="9"/>
      <c r="I6" s="11"/>
      <c r="J6" s="11"/>
      <c r="K6" s="11"/>
      <c r="L6" s="12"/>
      <c r="N6" s="14"/>
      <c r="O6" s="20"/>
    </row>
    <row r="7" spans="2:16" ht="30" x14ac:dyDescent="0.25">
      <c r="B7" s="4" t="s">
        <v>14</v>
      </c>
      <c r="C7" s="6" t="s">
        <v>0</v>
      </c>
      <c r="D7" s="6" t="s">
        <v>1</v>
      </c>
      <c r="E7" s="6" t="s">
        <v>2</v>
      </c>
      <c r="F7" s="6" t="s">
        <v>3</v>
      </c>
      <c r="G7" s="6" t="s">
        <v>4</v>
      </c>
      <c r="H7" s="6" t="s">
        <v>5</v>
      </c>
      <c r="I7" s="6" t="s">
        <v>6</v>
      </c>
      <c r="J7" s="6" t="s">
        <v>7</v>
      </c>
      <c r="K7" s="6" t="s">
        <v>8</v>
      </c>
      <c r="L7" s="6" t="s">
        <v>9</v>
      </c>
      <c r="M7" s="15" t="s">
        <v>10</v>
      </c>
      <c r="N7" s="15" t="s">
        <v>11</v>
      </c>
      <c r="O7" s="21" t="s">
        <v>12</v>
      </c>
      <c r="P7" s="28" t="s">
        <v>18</v>
      </c>
    </row>
    <row r="8" spans="2:16" x14ac:dyDescent="0.25">
      <c r="B8" s="48" t="s">
        <v>48</v>
      </c>
      <c r="C8" s="6"/>
      <c r="D8" s="6"/>
      <c r="E8" s="6"/>
      <c r="F8" s="6"/>
      <c r="G8" s="6"/>
      <c r="H8" s="6"/>
      <c r="I8" s="6"/>
      <c r="J8" s="6"/>
      <c r="K8" s="6"/>
      <c r="L8" s="6"/>
      <c r="M8" s="15"/>
      <c r="N8" s="15"/>
      <c r="O8" s="21"/>
      <c r="P8" s="28"/>
    </row>
    <row r="9" spans="2:16" x14ac:dyDescent="0.25">
      <c r="B9" s="48" t="s">
        <v>15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41"/>
      <c r="O9" s="43"/>
      <c r="P9" s="28"/>
    </row>
    <row r="10" spans="2:16" ht="45" x14ac:dyDescent="0.25">
      <c r="B10" s="44" t="s">
        <v>39</v>
      </c>
      <c r="C10" s="30">
        <v>6884000</v>
      </c>
      <c r="D10" s="30">
        <v>7295000</v>
      </c>
      <c r="E10" s="30">
        <v>7889000</v>
      </c>
      <c r="F10" s="30">
        <v>5776000</v>
      </c>
      <c r="G10" s="30">
        <v>1678000</v>
      </c>
      <c r="H10" s="30"/>
      <c r="I10" s="30"/>
      <c r="J10" s="30"/>
      <c r="K10" s="30"/>
      <c r="L10" s="30"/>
      <c r="M10" s="31">
        <f t="shared" ref="M10:M12" si="0">SUM(C10:L10)</f>
        <v>29522000</v>
      </c>
      <c r="N10" s="32">
        <v>0</v>
      </c>
      <c r="O10" s="33">
        <f t="shared" ref="O10:O13" si="1">M10*(1+N10)</f>
        <v>29522000</v>
      </c>
      <c r="P10" s="27" t="s">
        <v>38</v>
      </c>
    </row>
    <row r="11" spans="2:16" ht="30" x14ac:dyDescent="0.25">
      <c r="B11" s="44" t="s">
        <v>40</v>
      </c>
      <c r="C11" s="30">
        <v>1437449.9999999998</v>
      </c>
      <c r="D11" s="30">
        <v>3014884.9999999995</v>
      </c>
      <c r="E11" s="30">
        <v>1920195.0000000002</v>
      </c>
      <c r="F11" s="30"/>
      <c r="G11" s="30"/>
      <c r="H11" s="30"/>
      <c r="I11" s="30"/>
      <c r="J11" s="30"/>
      <c r="K11" s="30"/>
      <c r="L11" s="30"/>
      <c r="M11" s="31">
        <f t="shared" si="0"/>
        <v>6372529.9999999991</v>
      </c>
      <c r="N11" s="32">
        <v>0</v>
      </c>
      <c r="O11" s="33">
        <f t="shared" si="1"/>
        <v>6372529.9999999991</v>
      </c>
      <c r="P11" s="27" t="s">
        <v>28</v>
      </c>
    </row>
    <row r="12" spans="2:16" ht="30" x14ac:dyDescent="0.25">
      <c r="B12" s="44" t="s">
        <v>60</v>
      </c>
      <c r="C12" s="30">
        <v>1095350</v>
      </c>
      <c r="D12" s="30">
        <v>1116430</v>
      </c>
      <c r="E12" s="30">
        <v>1357538</v>
      </c>
      <c r="F12" s="30">
        <v>1362104</v>
      </c>
      <c r="G12" s="30">
        <v>1857308</v>
      </c>
      <c r="H12" s="30">
        <v>2019940.5</v>
      </c>
      <c r="I12" s="30">
        <v>706515.5</v>
      </c>
      <c r="J12" s="30"/>
      <c r="K12" s="30"/>
      <c r="L12" s="30"/>
      <c r="M12" s="31">
        <f t="shared" si="0"/>
        <v>9515186</v>
      </c>
      <c r="N12" s="32">
        <v>0.25263527954156656</v>
      </c>
      <c r="O12" s="33">
        <f t="shared" si="1"/>
        <v>11919057.675000001</v>
      </c>
      <c r="P12" s="27" t="s">
        <v>17</v>
      </c>
    </row>
    <row r="13" spans="2:16" x14ac:dyDescent="0.25">
      <c r="B13" s="29" t="s">
        <v>24</v>
      </c>
      <c r="C13" s="31">
        <f t="shared" ref="C13:L13" si="2">SUM(C10:C12)</f>
        <v>9416800</v>
      </c>
      <c r="D13" s="31">
        <f t="shared" si="2"/>
        <v>11426315</v>
      </c>
      <c r="E13" s="31">
        <f t="shared" si="2"/>
        <v>11166733</v>
      </c>
      <c r="F13" s="31">
        <f t="shared" si="2"/>
        <v>7138104</v>
      </c>
      <c r="G13" s="31">
        <f t="shared" si="2"/>
        <v>3535308</v>
      </c>
      <c r="H13" s="31">
        <f t="shared" si="2"/>
        <v>2019940.5</v>
      </c>
      <c r="I13" s="31">
        <f t="shared" si="2"/>
        <v>706515.5</v>
      </c>
      <c r="J13" s="31">
        <f t="shared" si="2"/>
        <v>0</v>
      </c>
      <c r="K13" s="31">
        <f t="shared" si="2"/>
        <v>0</v>
      </c>
      <c r="L13" s="31">
        <f t="shared" si="2"/>
        <v>0</v>
      </c>
      <c r="M13" s="31">
        <f>SUM(C13:L13)</f>
        <v>45409716</v>
      </c>
      <c r="N13" s="32"/>
      <c r="O13" s="33">
        <f>SUM(O10:O12)</f>
        <v>47813587.674999997</v>
      </c>
      <c r="P13" s="27"/>
    </row>
    <row r="14" spans="2:16" x14ac:dyDescent="0.25">
      <c r="B14" s="48" t="s">
        <v>45</v>
      </c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1"/>
      <c r="N14" s="32"/>
      <c r="O14" s="33"/>
      <c r="P14" s="34"/>
    </row>
    <row r="15" spans="2:16" x14ac:dyDescent="0.25">
      <c r="B15" s="35" t="s">
        <v>13</v>
      </c>
      <c r="C15" s="7">
        <v>0</v>
      </c>
      <c r="D15" s="7">
        <v>1484846.0130000003</v>
      </c>
      <c r="E15" s="7">
        <v>1729896.8870400002</v>
      </c>
      <c r="F15" s="7">
        <v>1776496.6464</v>
      </c>
      <c r="G15" s="7">
        <v>1824417.4943999997</v>
      </c>
      <c r="H15" s="7">
        <v>1873743.3455999999</v>
      </c>
      <c r="I15" s="7">
        <v>1924392.872</v>
      </c>
      <c r="J15" s="7">
        <v>1976338.3423999997</v>
      </c>
      <c r="K15" s="7">
        <v>2029819.0912000001</v>
      </c>
      <c r="L15" s="7">
        <v>1944290.8160000001</v>
      </c>
      <c r="M15" s="16">
        <f>SUM(C15:L15)</f>
        <v>16564241.508039998</v>
      </c>
      <c r="N15" s="17">
        <v>0.10630000000000001</v>
      </c>
      <c r="O15" s="22">
        <f>M15*(1+N15)</f>
        <v>18325020.380344652</v>
      </c>
      <c r="P15" s="27" t="s">
        <v>19</v>
      </c>
    </row>
    <row r="16" spans="2:16" ht="75" x14ac:dyDescent="0.25">
      <c r="B16" s="35" t="s">
        <v>42</v>
      </c>
      <c r="C16" s="7">
        <v>0</v>
      </c>
      <c r="D16" s="7">
        <v>0</v>
      </c>
      <c r="E16" s="7">
        <v>3094342.1641269843</v>
      </c>
      <c r="F16" s="7">
        <v>15378306.862370923</v>
      </c>
      <c r="G16" s="7">
        <v>17684631.169472475</v>
      </c>
      <c r="H16" s="7">
        <v>26976139.739729457</v>
      </c>
      <c r="I16" s="7">
        <v>25461524.428454407</v>
      </c>
      <c r="J16" s="7">
        <v>10789956.293904763</v>
      </c>
      <c r="K16" s="7">
        <v>5716839.1393015869</v>
      </c>
      <c r="L16" s="7">
        <v>724747.4</v>
      </c>
      <c r="M16" s="16">
        <v>105826487.19736061</v>
      </c>
      <c r="N16" s="17">
        <v>0.3</v>
      </c>
      <c r="O16" s="22">
        <f t="shared" ref="O16:O17" si="3">M16*(1+N16)</f>
        <v>137574433.35656878</v>
      </c>
      <c r="P16" s="27" t="s">
        <v>27</v>
      </c>
    </row>
    <row r="17" spans="2:16" x14ac:dyDescent="0.25">
      <c r="B17" s="35" t="s">
        <v>41</v>
      </c>
      <c r="C17" s="7"/>
      <c r="D17" s="7"/>
      <c r="E17" s="7"/>
      <c r="F17" s="7">
        <v>5744940.0000000009</v>
      </c>
      <c r="G17" s="7">
        <v>5860750</v>
      </c>
      <c r="H17" s="7">
        <v>6098955</v>
      </c>
      <c r="I17" s="7">
        <v>6075607.5</v>
      </c>
      <c r="J17" s="7">
        <v>2917890</v>
      </c>
      <c r="K17" s="7">
        <v>2849030</v>
      </c>
      <c r="L17" s="7">
        <v>2117384.9999999995</v>
      </c>
      <c r="M17" s="16">
        <f>SUM(C17:L17)</f>
        <v>31664557.5</v>
      </c>
      <c r="N17" s="17">
        <v>0.35</v>
      </c>
      <c r="O17" s="22">
        <f t="shared" si="3"/>
        <v>42747152.625</v>
      </c>
      <c r="P17" s="27"/>
    </row>
    <row r="18" spans="2:16" x14ac:dyDescent="0.25">
      <c r="B18" s="4" t="s">
        <v>25</v>
      </c>
      <c r="C18" s="16">
        <f>SUM(C15:C17)</f>
        <v>0</v>
      </c>
      <c r="D18" s="16">
        <f>SUM(D15:D17)</f>
        <v>1484846.0130000003</v>
      </c>
      <c r="E18" s="16">
        <f>SUM(E15:E17)</f>
        <v>4824239.0511669843</v>
      </c>
      <c r="F18" s="16">
        <f>SUM(F15:F17)</f>
        <v>22899743.508770924</v>
      </c>
      <c r="G18" s="16">
        <f>SUM(G15:G17)</f>
        <v>25369798.663872473</v>
      </c>
      <c r="H18" s="16">
        <f>SUM(H15:H17)</f>
        <v>34948838.085329458</v>
      </c>
      <c r="I18" s="16">
        <f>SUM(I15:I17)</f>
        <v>33461524.800454408</v>
      </c>
      <c r="J18" s="16">
        <f>SUM(J15:J17)</f>
        <v>15684184.636304762</v>
      </c>
      <c r="K18" s="16">
        <f>SUM(K15:K17)</f>
        <v>10595688.230501587</v>
      </c>
      <c r="L18" s="16">
        <f>SUM(L15:L17)</f>
        <v>4786423.216</v>
      </c>
      <c r="M18" s="16">
        <f>SUM(M15:M17)</f>
        <v>154055286.20540059</v>
      </c>
      <c r="N18" s="51">
        <f>(O18-M18)/M18</f>
        <v>0.28945011401335252</v>
      </c>
      <c r="O18" s="22">
        <f>SUM(O15:O17)</f>
        <v>198646606.36191344</v>
      </c>
      <c r="P18" s="27"/>
    </row>
    <row r="19" spans="2:16" x14ac:dyDescent="0.25">
      <c r="B19" s="4" t="s">
        <v>26</v>
      </c>
      <c r="C19" s="7"/>
      <c r="D19" s="7"/>
      <c r="E19" s="7"/>
      <c r="F19" s="7"/>
      <c r="G19" s="7"/>
      <c r="H19" s="7"/>
      <c r="I19" s="7"/>
      <c r="J19" s="7"/>
      <c r="K19" s="7"/>
      <c r="L19" s="7"/>
      <c r="M19" s="16"/>
      <c r="N19" s="17"/>
      <c r="O19" s="22"/>
      <c r="P19" s="27"/>
    </row>
    <row r="20" spans="2:16" ht="30.75" thickBot="1" x14ac:dyDescent="0.3">
      <c r="B20" s="52" t="s">
        <v>46</v>
      </c>
      <c r="C20" s="8">
        <f>C13+C18</f>
        <v>9416800</v>
      </c>
      <c r="D20" s="8">
        <f>D13+D18</f>
        <v>12911161.013</v>
      </c>
      <c r="E20" s="8">
        <f>E13+E18</f>
        <v>15990972.051166985</v>
      </c>
      <c r="F20" s="8">
        <f>F13+F18</f>
        <v>30037847.508770924</v>
      </c>
      <c r="G20" s="8">
        <f>G13+G18</f>
        <v>28905106.663872473</v>
      </c>
      <c r="H20" s="8">
        <f>H13+H18</f>
        <v>36968778.585329458</v>
      </c>
      <c r="I20" s="8">
        <f>I13+I18</f>
        <v>34168040.300454408</v>
      </c>
      <c r="J20" s="8">
        <f>J13+J18</f>
        <v>15684184.636304762</v>
      </c>
      <c r="K20" s="8">
        <f>K13+K18</f>
        <v>10595688.230501587</v>
      </c>
      <c r="L20" s="8">
        <f>L13+L18</f>
        <v>4786423.216</v>
      </c>
      <c r="M20" s="8">
        <f>SUM(C20:L20)</f>
        <v>199465002.20540062</v>
      </c>
      <c r="N20" s="18"/>
      <c r="O20" s="23">
        <f>O13+O18</f>
        <v>246460194.03691345</v>
      </c>
      <c r="P20" s="27"/>
    </row>
    <row r="21" spans="2:16" ht="15.75" thickTop="1" x14ac:dyDescent="0.25">
      <c r="B21" s="70" t="s">
        <v>44</v>
      </c>
      <c r="C21" s="6"/>
      <c r="D21" s="6"/>
      <c r="E21" s="6"/>
      <c r="F21" s="6"/>
      <c r="G21" s="6"/>
      <c r="H21" s="6"/>
      <c r="I21" s="6"/>
      <c r="J21" s="6"/>
      <c r="K21" s="6"/>
      <c r="L21" s="6"/>
      <c r="M21" s="15"/>
      <c r="N21" s="15"/>
      <c r="O21" s="21"/>
      <c r="P21" s="28"/>
    </row>
    <row r="22" spans="2:16" x14ac:dyDescent="0.25">
      <c r="B22" s="29" t="s">
        <v>16</v>
      </c>
      <c r="C22" s="31">
        <v>8500000</v>
      </c>
      <c r="D22" s="31">
        <v>8500000</v>
      </c>
      <c r="E22" s="31">
        <v>8500000</v>
      </c>
      <c r="F22" s="31">
        <v>8500000</v>
      </c>
      <c r="G22" s="31"/>
      <c r="H22" s="31"/>
      <c r="I22" s="31"/>
      <c r="J22" s="31"/>
      <c r="K22" s="31"/>
      <c r="L22" s="31"/>
      <c r="M22" s="31">
        <f>SUM(C22:L22)</f>
        <v>34000000</v>
      </c>
      <c r="N22" s="32"/>
      <c r="O22" s="33">
        <f t="shared" ref="O22:O24" si="4">M22*(1+N22)</f>
        <v>34000000</v>
      </c>
      <c r="P22" s="27"/>
    </row>
    <row r="23" spans="2:16" ht="90.75" customHeight="1" x14ac:dyDescent="0.25">
      <c r="B23" s="73" t="s">
        <v>57</v>
      </c>
      <c r="C23" s="31">
        <f>12400000-C22</f>
        <v>3900000</v>
      </c>
      <c r="D23" s="31">
        <f t="shared" ref="D23" si="5">12400000-D22</f>
        <v>3900000</v>
      </c>
      <c r="E23" s="31">
        <f t="shared" ref="E23" si="6">12400000-E22</f>
        <v>3900000</v>
      </c>
      <c r="F23" s="31">
        <f t="shared" ref="F23" si="7">12400000-F22</f>
        <v>3900000</v>
      </c>
      <c r="G23" s="31"/>
      <c r="H23" s="31"/>
      <c r="I23" s="31"/>
      <c r="J23" s="31"/>
      <c r="K23" s="31"/>
      <c r="L23" s="31"/>
      <c r="M23" s="31">
        <f>SUM(C23:L23)</f>
        <v>15600000</v>
      </c>
      <c r="N23" s="32"/>
      <c r="O23" s="33">
        <f t="shared" si="4"/>
        <v>15600000</v>
      </c>
      <c r="P23" s="27"/>
    </row>
    <row r="24" spans="2:16" x14ac:dyDescent="0.25">
      <c r="B24" s="71" t="s">
        <v>43</v>
      </c>
      <c r="C24" s="31">
        <f>SUM(C22:C23)</f>
        <v>12400000</v>
      </c>
      <c r="D24" s="31">
        <f t="shared" ref="D24" si="8">SUM(D22:D23)</f>
        <v>12400000</v>
      </c>
      <c r="E24" s="31">
        <f t="shared" ref="E24" si="9">SUM(E22:E23)</f>
        <v>12400000</v>
      </c>
      <c r="F24" s="31">
        <f t="shared" ref="F24" si="10">SUM(F22:F23)</f>
        <v>12400000</v>
      </c>
      <c r="G24" s="31"/>
      <c r="H24" s="31"/>
      <c r="I24" s="31"/>
      <c r="J24" s="31"/>
      <c r="K24" s="31"/>
      <c r="L24" s="31"/>
      <c r="M24" s="31">
        <f>SUM(C24:L24)</f>
        <v>49600000</v>
      </c>
      <c r="N24" s="32"/>
      <c r="O24" s="33">
        <f t="shared" si="4"/>
        <v>49600000</v>
      </c>
      <c r="P24" s="27"/>
    </row>
    <row r="25" spans="2:16" x14ac:dyDescent="0.25">
      <c r="B25" s="47" t="s">
        <v>20</v>
      </c>
      <c r="C25" s="37"/>
      <c r="D25" s="37"/>
      <c r="E25" s="37"/>
      <c r="F25" s="37"/>
      <c r="G25" s="37"/>
      <c r="H25" s="37"/>
      <c r="I25" s="37"/>
      <c r="J25" s="37"/>
      <c r="K25" s="37"/>
      <c r="L25" s="37"/>
      <c r="M25" s="37"/>
      <c r="N25" s="38"/>
      <c r="O25" s="39"/>
      <c r="P25" s="27"/>
    </row>
    <row r="26" spans="2:16" ht="45" x14ac:dyDescent="0.25">
      <c r="B26" s="50" t="s">
        <v>21</v>
      </c>
      <c r="C26" s="24">
        <f>2*1000000</f>
        <v>2000000</v>
      </c>
      <c r="D26" s="24">
        <f>2*1000000</f>
        <v>2000000</v>
      </c>
      <c r="E26" s="24">
        <f>6.2*1000000</f>
        <v>6200000</v>
      </c>
      <c r="F26" s="24">
        <f>13.7*1000000</f>
        <v>13700000</v>
      </c>
      <c r="G26" s="24">
        <f>5.4*1000000</f>
        <v>5400000</v>
      </c>
      <c r="H26" s="24">
        <f>5.7*1000000</f>
        <v>5700000</v>
      </c>
      <c r="I26" s="24">
        <f>15.2*1000000</f>
        <v>15200000</v>
      </c>
      <c r="J26" s="24">
        <f>5.9*1000000</f>
        <v>5900000</v>
      </c>
      <c r="K26" s="24"/>
      <c r="L26" s="24"/>
      <c r="M26" s="37">
        <f>SUM(C26:L26)</f>
        <v>56100000</v>
      </c>
      <c r="N26" s="45">
        <v>0.3</v>
      </c>
      <c r="O26" s="22">
        <f t="shared" ref="O26:O28" si="11">M26*(1+N26)</f>
        <v>72930000</v>
      </c>
      <c r="P26" s="27" t="s">
        <v>51</v>
      </c>
    </row>
    <row r="27" spans="2:16" x14ac:dyDescent="0.25">
      <c r="B27" s="50" t="s">
        <v>49</v>
      </c>
      <c r="C27" s="24">
        <v>959500</v>
      </c>
      <c r="D27" s="24">
        <v>1190379.9999999998</v>
      </c>
      <c r="E27" s="24">
        <v>1112455</v>
      </c>
      <c r="F27" s="24">
        <v>918170</v>
      </c>
      <c r="G27" s="24">
        <v>830399.99999999988</v>
      </c>
      <c r="H27" s="24">
        <v>1702350.0000000002</v>
      </c>
      <c r="I27" s="24">
        <v>3764160</v>
      </c>
      <c r="J27" s="24">
        <v>5593040.0000000009</v>
      </c>
      <c r="K27" s="24">
        <v>3958319.9999999995</v>
      </c>
      <c r="L27" s="24">
        <v>2286299.9999999995</v>
      </c>
      <c r="M27" s="37">
        <f>SUM(C27:L27)</f>
        <v>22315075</v>
      </c>
      <c r="N27" s="45">
        <v>0.3</v>
      </c>
      <c r="O27" s="22">
        <f t="shared" si="11"/>
        <v>29009597.5</v>
      </c>
      <c r="P27" s="27"/>
    </row>
    <row r="28" spans="2:16" x14ac:dyDescent="0.25">
      <c r="B28" s="50" t="s">
        <v>22</v>
      </c>
      <c r="C28" s="24"/>
      <c r="D28" s="24"/>
      <c r="E28" s="24">
        <f>2843.5*1000</f>
        <v>2843500</v>
      </c>
      <c r="F28" s="24">
        <f>2843.5*1000</f>
        <v>2843500</v>
      </c>
      <c r="G28" s="24">
        <f>5038.5*1000</f>
        <v>5038500</v>
      </c>
      <c r="H28" s="24">
        <f>5038.5*1000</f>
        <v>5038500</v>
      </c>
      <c r="I28" s="24"/>
      <c r="J28" s="24"/>
      <c r="K28" s="24"/>
      <c r="L28" s="24"/>
      <c r="M28" s="37">
        <f>SUM(C28:L28)</f>
        <v>15764000</v>
      </c>
      <c r="N28" s="45">
        <v>0.3</v>
      </c>
      <c r="O28" s="22">
        <f t="shared" si="11"/>
        <v>20493200</v>
      </c>
      <c r="P28" s="27"/>
    </row>
    <row r="29" spans="2:16" ht="15.75" thickBot="1" x14ac:dyDescent="0.3">
      <c r="B29" s="53" t="s">
        <v>23</v>
      </c>
      <c r="C29" s="49">
        <f t="shared" ref="C29:M29" si="12">SUM(C26:C28)</f>
        <v>2959500</v>
      </c>
      <c r="D29" s="49">
        <f t="shared" si="12"/>
        <v>3190380</v>
      </c>
      <c r="E29" s="49">
        <f t="shared" si="12"/>
        <v>10155955</v>
      </c>
      <c r="F29" s="49">
        <f t="shared" si="12"/>
        <v>17461670</v>
      </c>
      <c r="G29" s="49">
        <f t="shared" si="12"/>
        <v>11268900</v>
      </c>
      <c r="H29" s="49">
        <f t="shared" si="12"/>
        <v>12440850</v>
      </c>
      <c r="I29" s="49">
        <f t="shared" si="12"/>
        <v>18964160</v>
      </c>
      <c r="J29" s="49">
        <f t="shared" si="12"/>
        <v>11493040</v>
      </c>
      <c r="K29" s="49">
        <f t="shared" si="12"/>
        <v>3958319.9999999995</v>
      </c>
      <c r="L29" s="49">
        <f t="shared" si="12"/>
        <v>2286299.9999999995</v>
      </c>
      <c r="M29" s="49">
        <f t="shared" si="12"/>
        <v>94179075</v>
      </c>
      <c r="N29" s="49"/>
      <c r="O29" s="55">
        <f>SUM(O26:O28)</f>
        <v>122432797.5</v>
      </c>
      <c r="P29" s="27"/>
    </row>
    <row r="30" spans="2:16" x14ac:dyDescent="0.25">
      <c r="B30" s="56" t="s">
        <v>53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37"/>
      <c r="N30" s="45"/>
      <c r="O30" s="39"/>
      <c r="P30" s="27"/>
    </row>
    <row r="31" spans="2:16" ht="45" x14ac:dyDescent="0.25">
      <c r="B31" s="50" t="s">
        <v>52</v>
      </c>
      <c r="C31" s="46">
        <v>2090000</v>
      </c>
      <c r="D31" s="46">
        <v>3342000</v>
      </c>
      <c r="E31" s="46">
        <v>1397000</v>
      </c>
      <c r="F31" s="46">
        <v>100000</v>
      </c>
      <c r="G31" s="46">
        <v>0</v>
      </c>
      <c r="H31" s="46"/>
      <c r="I31" s="46"/>
      <c r="J31" s="46"/>
      <c r="K31" s="46"/>
      <c r="L31" s="46"/>
      <c r="M31" s="37">
        <f>SUM(C31:L31)</f>
        <v>6929000</v>
      </c>
      <c r="N31" s="45">
        <v>0</v>
      </c>
      <c r="O31" s="22">
        <f t="shared" ref="O31" si="13">M31*(1+N31)</f>
        <v>6929000</v>
      </c>
      <c r="P31" s="27" t="s">
        <v>50</v>
      </c>
    </row>
    <row r="32" spans="2:16" x14ac:dyDescent="0.25">
      <c r="B32" s="50" t="s">
        <v>54</v>
      </c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37"/>
      <c r="N32" s="45"/>
      <c r="O32" s="39"/>
      <c r="P32" s="27"/>
    </row>
    <row r="33" spans="1:16" x14ac:dyDescent="0.25">
      <c r="B33" s="50" t="s">
        <v>55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37"/>
      <c r="N33" s="45"/>
      <c r="O33" s="39"/>
      <c r="P33" s="27"/>
    </row>
    <row r="34" spans="1:16" x14ac:dyDescent="0.25">
      <c r="B34" s="56" t="s">
        <v>59</v>
      </c>
      <c r="C34" s="37">
        <f>C31+C33</f>
        <v>2090000</v>
      </c>
      <c r="D34" s="37">
        <f t="shared" ref="D34:O34" si="14">D31+D33</f>
        <v>3342000</v>
      </c>
      <c r="E34" s="37">
        <f t="shared" si="14"/>
        <v>1397000</v>
      </c>
      <c r="F34" s="37">
        <f t="shared" si="14"/>
        <v>100000</v>
      </c>
      <c r="G34" s="37">
        <f t="shared" si="14"/>
        <v>0</v>
      </c>
      <c r="H34" s="37">
        <f t="shared" si="14"/>
        <v>0</v>
      </c>
      <c r="I34" s="37">
        <f t="shared" si="14"/>
        <v>0</v>
      </c>
      <c r="J34" s="37">
        <f t="shared" si="14"/>
        <v>0</v>
      </c>
      <c r="K34" s="37">
        <f t="shared" si="14"/>
        <v>0</v>
      </c>
      <c r="L34" s="37">
        <f t="shared" si="14"/>
        <v>0</v>
      </c>
      <c r="M34" s="37">
        <f t="shared" si="14"/>
        <v>6929000</v>
      </c>
      <c r="N34" s="37"/>
      <c r="O34" s="22">
        <f t="shared" si="14"/>
        <v>6929000</v>
      </c>
      <c r="P34" s="27"/>
    </row>
    <row r="35" spans="1:16" x14ac:dyDescent="0.25">
      <c r="B35" s="36"/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8"/>
      <c r="O35" s="39"/>
      <c r="P35" s="27"/>
    </row>
    <row r="36" spans="1:16" ht="15.75" thickBot="1" x14ac:dyDescent="0.3">
      <c r="B36" s="57" t="s">
        <v>29</v>
      </c>
      <c r="C36" s="54">
        <f>C13+C18+C29+C34</f>
        <v>14466300</v>
      </c>
      <c r="D36" s="54">
        <f>D13+D18+D29+D34</f>
        <v>19443541.013</v>
      </c>
      <c r="E36" s="54">
        <f>E13+E18+E29+E34</f>
        <v>27543927.051166985</v>
      </c>
      <c r="F36" s="54">
        <f>F13+F18+F29+F34</f>
        <v>47599517.508770928</v>
      </c>
      <c r="G36" s="54">
        <f>G13+G18+G29+G34</f>
        <v>40174006.663872473</v>
      </c>
      <c r="H36" s="54">
        <f>H13+H18+H29+H34</f>
        <v>49409628.585329458</v>
      </c>
      <c r="I36" s="54">
        <f>I13+I18+I29+I34</f>
        <v>53132200.300454408</v>
      </c>
      <c r="J36" s="54">
        <f>J13+J18+J29+J34</f>
        <v>27177224.636304762</v>
      </c>
      <c r="K36" s="54">
        <f>K13+K18+K29+K34</f>
        <v>14554008.230501587</v>
      </c>
      <c r="L36" s="54">
        <f>L13+L18+L29+L34</f>
        <v>7072723.216</v>
      </c>
      <c r="M36" s="54">
        <f>M13+M18+M29+M34</f>
        <v>300573077.20540059</v>
      </c>
      <c r="N36" s="54"/>
      <c r="O36" s="58">
        <f>O13+O18+O29+O34</f>
        <v>375821991.53691345</v>
      </c>
      <c r="P36" s="27"/>
    </row>
    <row r="37" spans="1:16" ht="15.75" thickTop="1" x14ac:dyDescent="0.25">
      <c r="B37" s="60" t="s">
        <v>30</v>
      </c>
      <c r="C37" s="61">
        <v>2900000</v>
      </c>
      <c r="D37" s="61">
        <v>2540000</v>
      </c>
      <c r="E37" s="61">
        <v>2970000</v>
      </c>
      <c r="F37" s="61">
        <v>1800000</v>
      </c>
      <c r="G37" s="61"/>
      <c r="H37" s="61"/>
      <c r="I37" s="61"/>
      <c r="J37" s="61"/>
      <c r="K37" s="61"/>
      <c r="L37" s="61"/>
      <c r="M37" s="40">
        <f>SUM(C37:L37)</f>
        <v>10210000</v>
      </c>
      <c r="N37" s="61"/>
      <c r="O37" s="72">
        <f>M37*(1+N37)</f>
        <v>10210000</v>
      </c>
      <c r="P37" s="66" t="s">
        <v>31</v>
      </c>
    </row>
    <row r="38" spans="1:16" ht="45" x14ac:dyDescent="0.25">
      <c r="B38" s="68" t="s">
        <v>37</v>
      </c>
      <c r="C38" s="46"/>
      <c r="D38" s="46"/>
      <c r="E38" s="46">
        <f>E16</f>
        <v>3094342.1641269843</v>
      </c>
      <c r="F38" s="46">
        <f>F16</f>
        <v>15378306.862370923</v>
      </c>
      <c r="G38" s="46">
        <f>G16</f>
        <v>17684631.169472475</v>
      </c>
      <c r="H38" s="46">
        <f>H16</f>
        <v>26976139.739729457</v>
      </c>
      <c r="I38" s="46">
        <f>I16</f>
        <v>25461524.428454407</v>
      </c>
      <c r="J38" s="46">
        <f>J16</f>
        <v>10789956.293904763</v>
      </c>
      <c r="K38" s="46">
        <f>K16</f>
        <v>5716839.1393015869</v>
      </c>
      <c r="L38" s="46">
        <f>L16</f>
        <v>724747.4</v>
      </c>
      <c r="M38" s="37">
        <f>SUM(C38:L38)</f>
        <v>105826487.19736061</v>
      </c>
      <c r="N38" s="46"/>
      <c r="O38" s="69">
        <f>M38*(1+N38)</f>
        <v>105826487.19736061</v>
      </c>
      <c r="P38" s="66" t="s">
        <v>58</v>
      </c>
    </row>
    <row r="39" spans="1:16" ht="30" x14ac:dyDescent="0.25">
      <c r="B39" s="62" t="s">
        <v>32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64"/>
      <c r="P39" s="66" t="s">
        <v>35</v>
      </c>
    </row>
    <row r="40" spans="1:16" ht="60" x14ac:dyDescent="0.25">
      <c r="A40" s="14"/>
      <c r="B40" s="62" t="s">
        <v>33</v>
      </c>
      <c r="C40" s="24">
        <v>181440</v>
      </c>
      <c r="D40" s="24">
        <v>185076</v>
      </c>
      <c r="E40" s="24">
        <v>284553</v>
      </c>
      <c r="F40" s="24">
        <v>291654</v>
      </c>
      <c r="G40" s="24">
        <v>298944</v>
      </c>
      <c r="H40" s="24">
        <v>306423</v>
      </c>
      <c r="I40" s="24">
        <v>2857812.9935000008</v>
      </c>
      <c r="J40" s="24">
        <v>2933644.4810000006</v>
      </c>
      <c r="K40" s="24"/>
      <c r="L40" s="24"/>
      <c r="M40" s="24">
        <f>SUM(C40:L40)</f>
        <v>7339547.4745000014</v>
      </c>
      <c r="N40" s="59"/>
      <c r="O40" s="65">
        <v>10463100.91175</v>
      </c>
      <c r="P40" s="66" t="s">
        <v>34</v>
      </c>
    </row>
    <row r="41" spans="1:16" ht="60.75" thickBot="1" x14ac:dyDescent="0.3">
      <c r="B41" s="63" t="s">
        <v>36</v>
      </c>
      <c r="C41" s="67">
        <f t="shared" ref="C41:M41" si="15">SUM(C37:C40)</f>
        <v>3081440</v>
      </c>
      <c r="D41" s="67">
        <f t="shared" si="15"/>
        <v>2725076</v>
      </c>
      <c r="E41" s="67">
        <f t="shared" si="15"/>
        <v>6348895.1641269848</v>
      </c>
      <c r="F41" s="67">
        <f t="shared" si="15"/>
        <v>17469960.862370923</v>
      </c>
      <c r="G41" s="67">
        <f t="shared" si="15"/>
        <v>17983575.169472475</v>
      </c>
      <c r="H41" s="67">
        <f t="shared" si="15"/>
        <v>27282562.739729457</v>
      </c>
      <c r="I41" s="67">
        <f t="shared" si="15"/>
        <v>28319337.421954408</v>
      </c>
      <c r="J41" s="67">
        <f t="shared" si="15"/>
        <v>13723600.774904763</v>
      </c>
      <c r="K41" s="67">
        <f t="shared" si="15"/>
        <v>5716839.1393015869</v>
      </c>
      <c r="L41" s="67">
        <f t="shared" si="15"/>
        <v>724747.4</v>
      </c>
      <c r="M41" s="67">
        <f t="shared" si="15"/>
        <v>123376034.67186061</v>
      </c>
      <c r="N41" s="67"/>
      <c r="O41" s="67">
        <f>SUM(O37:O40)</f>
        <v>126499588.10911061</v>
      </c>
      <c r="P41" s="66" t="s">
        <v>47</v>
      </c>
    </row>
    <row r="42" spans="1:16" ht="15.75" thickTop="1" x14ac:dyDescent="0.25"/>
    <row r="43" spans="1:16" x14ac:dyDescent="0.25">
      <c r="M43" s="25"/>
    </row>
  </sheetData>
  <mergeCells count="1">
    <mergeCell ref="C4:L5"/>
  </mergeCells>
  <pageMargins left="0.7" right="0.7" top="0.75" bottom="0.75" header="0.3" footer="0.3"/>
  <pageSetup scale="54" orientation="landscape" r:id="rId1"/>
  <ignoredErrors>
    <ignoredError sqref="N18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Sheet3</vt:lpstr>
      <vt:lpstr>Sheet2!Print_Area</vt:lpstr>
    </vt:vector>
  </TitlesOfParts>
  <Company>Fermi National Accelerator Laboratory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L. Kaducak</dc:creator>
  <cp:lastModifiedBy>Marc L. Kaducak</cp:lastModifiedBy>
  <cp:lastPrinted>2012-12-18T22:08:11Z</cp:lastPrinted>
  <dcterms:created xsi:type="dcterms:W3CDTF">2012-11-05T23:31:38Z</dcterms:created>
  <dcterms:modified xsi:type="dcterms:W3CDTF">2012-12-20T20:01:35Z</dcterms:modified>
</cp:coreProperties>
</file>